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SF/Dropbox/@Eric&lt;--&gt;Rafter/PLOS One Submission 2020/Supplemental Data/"/>
    </mc:Choice>
  </mc:AlternateContent>
  <xr:revisionPtr revIDLastSave="0" documentId="13_ncr:1_{CE8EC537-6309-4345-B425-35113E6C92BC}" xr6:coauthVersionLast="45" xr6:coauthVersionMax="45" xr10:uidLastSave="{00000000-0000-0000-0000-000000000000}"/>
  <bookViews>
    <workbookView xWindow="0" yWindow="460" windowWidth="28800" windowHeight="17540" activeTab="2" xr2:uid="{5E97441F-7975-0F44-AF34-670262EB6B8B}"/>
  </bookViews>
  <sheets>
    <sheet name="Summary and Ranking" sheetId="4" r:id="rId1"/>
    <sheet name="Ranking by Plant Form" sheetId="7" r:id="rId2"/>
    <sheet name="Summary by Plant Form" sheetId="11" r:id="rId3"/>
    <sheet name="Meta-analysis" sheetId="2" r:id="rId4"/>
    <sheet name="Reference Crops" sheetId="10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636" i="2" l="1"/>
  <c r="V322" i="7"/>
  <c r="V321" i="7"/>
  <c r="V173" i="7"/>
  <c r="V174" i="7" s="1"/>
  <c r="V177" i="7" s="1"/>
  <c r="D3" i="11" s="1"/>
  <c r="B12" i="11" s="1"/>
  <c r="V172" i="7"/>
  <c r="V444" i="7"/>
  <c r="E7" i="11" s="1"/>
  <c r="F13" i="11" s="1"/>
  <c r="V440" i="7"/>
  <c r="V439" i="7"/>
  <c r="V441" i="7" s="1"/>
  <c r="V400" i="7"/>
  <c r="V399" i="7"/>
  <c r="V389" i="7"/>
  <c r="V388" i="7"/>
  <c r="V390" i="7" s="1"/>
  <c r="V393" i="7" s="1"/>
  <c r="E5" i="11" s="1"/>
  <c r="D13" i="11" s="1"/>
  <c r="V307" i="7"/>
  <c r="V306" i="7"/>
  <c r="V288" i="7"/>
  <c r="V287" i="7"/>
  <c r="V289" i="7" s="1"/>
  <c r="V292" i="7" s="1"/>
  <c r="D5" i="11" s="1"/>
  <c r="D12" i="11" s="1"/>
  <c r="V272" i="7"/>
  <c r="V271" i="7"/>
  <c r="V273" i="7" s="1"/>
  <c r="V276" i="7" s="1"/>
  <c r="D4" i="11" s="1"/>
  <c r="C12" i="11" s="1"/>
  <c r="J232" i="7"/>
  <c r="V165" i="7"/>
  <c r="V164" i="7"/>
  <c r="V144" i="7"/>
  <c r="V145" i="7" s="1"/>
  <c r="V148" i="7" s="1"/>
  <c r="C6" i="11" s="1"/>
  <c r="E11" i="11" s="1"/>
  <c r="V143" i="7"/>
  <c r="V135" i="7"/>
  <c r="V134" i="7"/>
  <c r="V115" i="7"/>
  <c r="V114" i="7"/>
  <c r="V116" i="7" s="1"/>
  <c r="V119" i="7" s="1"/>
  <c r="C3" i="11" s="1"/>
  <c r="B11" i="11" s="1"/>
  <c r="V107" i="7"/>
  <c r="V108" i="7" s="1"/>
  <c r="V111" i="7" s="1"/>
  <c r="B7" i="11" s="1"/>
  <c r="F10" i="11" s="1"/>
  <c r="V81" i="7"/>
  <c r="V72" i="7"/>
  <c r="V73" i="7" s="1"/>
  <c r="V76" i="7" s="1"/>
  <c r="B5" i="11" s="1"/>
  <c r="D10" i="11" s="1"/>
  <c r="V51" i="7"/>
  <c r="V13" i="7"/>
  <c r="V106" i="7"/>
  <c r="V80" i="7"/>
  <c r="V82" i="7" s="1"/>
  <c r="V85" i="7" s="1"/>
  <c r="B6" i="11" s="1"/>
  <c r="E10" i="11" s="1"/>
  <c r="V71" i="7"/>
  <c r="V50" i="7"/>
  <c r="V52" i="7" s="1"/>
  <c r="V55" i="7" s="1"/>
  <c r="B4" i="11" s="1"/>
  <c r="C10" i="11" s="1"/>
  <c r="V12" i="7"/>
  <c r="V15" i="7"/>
  <c r="V17" i="7" s="1"/>
  <c r="B3" i="11" s="1"/>
  <c r="B10" i="11" s="1"/>
  <c r="V323" i="7"/>
  <c r="V326" i="7" s="1"/>
  <c r="E3" i="11" s="1"/>
  <c r="B13" i="11" s="1"/>
  <c r="V401" i="7"/>
  <c r="V404" i="7"/>
  <c r="E6" i="11" s="1"/>
  <c r="E13" i="11" s="1"/>
  <c r="V308" i="7"/>
  <c r="V311" i="7" s="1"/>
  <c r="D6" i="11" s="1"/>
  <c r="E12" i="11" s="1"/>
  <c r="V166" i="7"/>
  <c r="V169" i="7" s="1"/>
  <c r="C7" i="11" s="1"/>
  <c r="F11" i="11" s="1"/>
  <c r="V136" i="7"/>
  <c r="V139" i="7"/>
  <c r="C5" i="11" s="1"/>
  <c r="D11" i="11" s="1"/>
  <c r="V14" i="7"/>
  <c r="J275" i="4"/>
  <c r="J435" i="2"/>
  <c r="R60" i="10"/>
  <c r="Q60" i="10"/>
  <c r="P60" i="10"/>
  <c r="N60" i="10"/>
  <c r="M60" i="10"/>
  <c r="L60" i="10"/>
  <c r="K27" i="10"/>
  <c r="S60" i="10"/>
  <c r="O60" i="10"/>
  <c r="K60" i="10"/>
  <c r="S54" i="10"/>
  <c r="R54" i="10"/>
  <c r="Q54" i="10"/>
  <c r="P54" i="10"/>
  <c r="O54" i="10"/>
  <c r="N54" i="10"/>
  <c r="M54" i="10"/>
  <c r="L54" i="10"/>
  <c r="K54" i="10"/>
  <c r="S40" i="10"/>
  <c r="S41" i="10"/>
  <c r="S39" i="10"/>
  <c r="L27" i="10"/>
  <c r="P27" i="10"/>
  <c r="P28" i="10" s="1"/>
  <c r="N26" i="10"/>
  <c r="N32" i="10"/>
  <c r="R26" i="10"/>
  <c r="R33" i="10"/>
  <c r="O27" i="10"/>
  <c r="M26" i="10"/>
  <c r="M32" i="10" s="1"/>
  <c r="M27" i="10"/>
  <c r="Q26" i="10"/>
  <c r="Q33" i="10"/>
  <c r="Q27" i="10"/>
  <c r="S27" i="10"/>
  <c r="S28" i="10" s="1"/>
  <c r="N27" i="10"/>
  <c r="N28" i="10" s="1"/>
  <c r="R27" i="10"/>
  <c r="R28" i="10" s="1"/>
  <c r="K26" i="10"/>
  <c r="K38" i="10" s="1"/>
  <c r="O26" i="10"/>
  <c r="O38" i="10" s="1"/>
  <c r="S26" i="10"/>
  <c r="L26" i="10"/>
  <c r="L28" i="10" s="1"/>
  <c r="P26" i="10"/>
  <c r="P33" i="10" s="1"/>
  <c r="K32" i="10"/>
  <c r="K34" i="10"/>
  <c r="K35" i="10"/>
  <c r="K33" i="10"/>
  <c r="N33" i="10"/>
  <c r="R32" i="10"/>
  <c r="Q28" i="10"/>
  <c r="Q36" i="10" s="1"/>
  <c r="Q37" i="10" s="1"/>
  <c r="Q34" i="10"/>
  <c r="Q35" i="10"/>
  <c r="O28" i="10"/>
  <c r="O36" i="10" s="1"/>
  <c r="O37" i="10" s="1"/>
  <c r="Q32" i="10"/>
  <c r="P32" i="10"/>
  <c r="L32" i="10"/>
  <c r="S33" i="10"/>
  <c r="S32" i="10"/>
  <c r="O32" i="10"/>
  <c r="O33" i="10"/>
  <c r="K28" i="10"/>
  <c r="K36" i="10"/>
  <c r="K37" i="10"/>
  <c r="Q38" i="10"/>
  <c r="Q39" i="10" s="1"/>
  <c r="Q40" i="10"/>
  <c r="Q41" i="10"/>
  <c r="P113" i="2"/>
  <c r="P224" i="2"/>
  <c r="M42" i="2"/>
  <c r="J42" i="2"/>
  <c r="J34" i="2"/>
  <c r="Q1562" i="2"/>
  <c r="P1557" i="2"/>
  <c r="Q1455" i="2"/>
  <c r="O1455" i="2"/>
  <c r="N1455" i="2"/>
  <c r="S717" i="2"/>
  <c r="R717" i="2"/>
  <c r="Q717" i="2"/>
  <c r="O717" i="2"/>
  <c r="N717" i="2"/>
  <c r="M717" i="2"/>
  <c r="L717" i="2"/>
  <c r="K717" i="2"/>
  <c r="J717" i="2"/>
  <c r="Q122" i="2"/>
  <c r="N122" i="2"/>
  <c r="S1175" i="2"/>
  <c r="R1175" i="2"/>
  <c r="Q1175" i="2"/>
  <c r="O1175" i="2"/>
  <c r="N1175" i="2"/>
  <c r="M1175" i="2"/>
  <c r="L1175" i="2"/>
  <c r="K1175" i="2"/>
  <c r="J1175" i="2"/>
  <c r="S1110" i="2"/>
  <c r="Q1110" i="2"/>
  <c r="R1118" i="2"/>
  <c r="S104" i="2"/>
  <c r="R104" i="2"/>
  <c r="Q104" i="2"/>
  <c r="P104" i="2"/>
  <c r="O104" i="2"/>
  <c r="N104" i="2"/>
  <c r="M104" i="2"/>
  <c r="L104" i="2"/>
  <c r="K104" i="2"/>
  <c r="J104" i="2"/>
  <c r="R507" i="2"/>
  <c r="O507" i="2"/>
  <c r="N507" i="2"/>
  <c r="M507" i="2"/>
  <c r="L507" i="2"/>
  <c r="J507" i="2"/>
  <c r="N289" i="2"/>
  <c r="M289" i="2"/>
  <c r="L289" i="2"/>
  <c r="P288" i="2"/>
  <c r="P289" i="2" s="1"/>
  <c r="N1605" i="2"/>
  <c r="M1605" i="2"/>
  <c r="L1605" i="2"/>
  <c r="O938" i="2"/>
  <c r="N938" i="2"/>
  <c r="L938" i="2"/>
  <c r="K938" i="2"/>
  <c r="J938" i="2"/>
  <c r="M759" i="2"/>
  <c r="L759" i="2"/>
  <c r="K759" i="2"/>
  <c r="J759" i="2"/>
  <c r="O511" i="2"/>
  <c r="N511" i="2"/>
  <c r="M511" i="2"/>
  <c r="L511" i="2"/>
  <c r="O1386" i="2"/>
  <c r="S1386" i="2"/>
  <c r="J1384" i="2"/>
  <c r="O320" i="2"/>
  <c r="M320" i="2"/>
  <c r="L320" i="2"/>
  <c r="K320" i="2"/>
  <c r="J320" i="2"/>
  <c r="O446" i="2"/>
  <c r="N446" i="2"/>
  <c r="M446" i="2"/>
  <c r="L446" i="2"/>
  <c r="K446" i="2"/>
  <c r="J446" i="2"/>
  <c r="R224" i="2"/>
  <c r="M224" i="2"/>
  <c r="L224" i="2"/>
  <c r="K224" i="2"/>
  <c r="J224" i="2"/>
  <c r="S816" i="2"/>
  <c r="P816" i="2"/>
  <c r="O816" i="2"/>
  <c r="O817" i="2" s="1"/>
  <c r="N816" i="2"/>
  <c r="N817" i="2"/>
  <c r="M816" i="2"/>
  <c r="M817" i="2" s="1"/>
  <c r="L816" i="2"/>
  <c r="L817" i="2"/>
  <c r="K816" i="2"/>
  <c r="K817" i="2" s="1"/>
  <c r="N966" i="2"/>
  <c r="S1552" i="2"/>
  <c r="R1552" i="2"/>
  <c r="P1552" i="2"/>
  <c r="O1552" i="2"/>
  <c r="M1552" i="2"/>
  <c r="L1552" i="2"/>
  <c r="K1552" i="2"/>
  <c r="J1552" i="2"/>
  <c r="O1523" i="2"/>
  <c r="P1520" i="2"/>
  <c r="S880" i="2"/>
  <c r="R880" i="2"/>
  <c r="Q880" i="2"/>
  <c r="O880" i="2"/>
  <c r="N880" i="2"/>
  <c r="M880" i="2"/>
  <c r="L880" i="2"/>
  <c r="K880" i="2"/>
  <c r="J880" i="2"/>
  <c r="P878" i="2"/>
  <c r="P880" i="2" s="1"/>
  <c r="R1543" i="2"/>
  <c r="P1543" i="2"/>
  <c r="M1543" i="2"/>
  <c r="L1543" i="2"/>
  <c r="K1543" i="2"/>
  <c r="J1543" i="2"/>
  <c r="S817" i="2"/>
  <c r="R817" i="2"/>
  <c r="P128" i="2"/>
  <c r="P130" i="2" s="1"/>
  <c r="P125" i="2"/>
  <c r="P127" i="2"/>
  <c r="S130" i="2"/>
  <c r="R130" i="2"/>
  <c r="Q130" i="2"/>
  <c r="M130" i="2"/>
  <c r="N130" i="2"/>
  <c r="O130" i="2"/>
  <c r="L130" i="2"/>
  <c r="K130" i="2"/>
  <c r="K127" i="2"/>
  <c r="L127" i="2"/>
  <c r="M127" i="2"/>
  <c r="N127" i="2"/>
  <c r="O127" i="2"/>
  <c r="Q127" i="2"/>
  <c r="R127" i="2"/>
  <c r="S127" i="2"/>
  <c r="S459" i="2"/>
  <c r="O459" i="2"/>
  <c r="N459" i="2"/>
  <c r="M459" i="2"/>
  <c r="L459" i="2"/>
  <c r="K459" i="2"/>
  <c r="P457" i="2"/>
  <c r="P459" i="2"/>
  <c r="P817" i="2"/>
  <c r="R268" i="2"/>
  <c r="M268" i="2"/>
  <c r="L268" i="2"/>
  <c r="J268" i="2"/>
  <c r="P266" i="2"/>
  <c r="P268" i="2" s="1"/>
  <c r="R754" i="2"/>
  <c r="M754" i="2"/>
  <c r="L754" i="2"/>
  <c r="K754" i="2"/>
  <c r="J754" i="2"/>
  <c r="J614" i="2"/>
  <c r="P1129" i="2"/>
  <c r="P1125" i="2"/>
  <c r="P535" i="2"/>
  <c r="P1212" i="2"/>
  <c r="P1214" i="2" s="1"/>
  <c r="R936" i="2"/>
  <c r="O936" i="2"/>
  <c r="N936" i="2"/>
  <c r="M936" i="2"/>
  <c r="L936" i="2"/>
  <c r="K936" i="2"/>
  <c r="J936" i="2"/>
  <c r="P934" i="2"/>
  <c r="P936" i="2" s="1"/>
  <c r="P753" i="2"/>
  <c r="P754" i="2" s="1"/>
  <c r="P612" i="2"/>
  <c r="P614" i="2" s="1"/>
  <c r="P1318" i="2"/>
  <c r="R1619" i="2"/>
  <c r="Q1619" i="2"/>
  <c r="O1619" i="2"/>
  <c r="N1619" i="2"/>
  <c r="M1619" i="2"/>
  <c r="L1619" i="2"/>
  <c r="K1619" i="2"/>
  <c r="J1619" i="2"/>
  <c r="P1618" i="2"/>
  <c r="P1619" i="2"/>
  <c r="R1131" i="2"/>
  <c r="M1131" i="2"/>
  <c r="L1131" i="2"/>
  <c r="K1131" i="2"/>
  <c r="J1131" i="2"/>
  <c r="P1130" i="2"/>
  <c r="P1131" i="2"/>
  <c r="R1199" i="2"/>
  <c r="Q1199" i="2"/>
  <c r="O1199" i="2"/>
  <c r="N1199" i="2"/>
  <c r="M1199" i="2"/>
  <c r="L1199" i="2"/>
  <c r="K1199" i="2"/>
  <c r="J1199" i="2"/>
  <c r="P1198" i="2"/>
  <c r="P1199" i="2" s="1"/>
  <c r="R1470" i="2"/>
  <c r="Q1470" i="2"/>
  <c r="O1470" i="2"/>
  <c r="N1470" i="2"/>
  <c r="M1470" i="2"/>
  <c r="L1470" i="2"/>
  <c r="K1470" i="2"/>
  <c r="J1470" i="2"/>
  <c r="P1469" i="2"/>
  <c r="P1470" i="2" s="1"/>
  <c r="P467" i="2"/>
  <c r="K1128" i="2"/>
  <c r="P1213" i="2"/>
  <c r="R1214" i="2"/>
  <c r="M1214" i="2"/>
  <c r="L1214" i="2"/>
  <c r="K1214" i="2"/>
  <c r="J1214" i="2"/>
  <c r="P1160" i="2"/>
  <c r="P1159" i="2"/>
  <c r="P1158" i="2"/>
  <c r="R1133" i="2"/>
  <c r="O1133" i="2"/>
  <c r="N1133" i="2"/>
  <c r="M1133" i="2"/>
  <c r="L1133" i="2"/>
  <c r="K1133" i="2"/>
  <c r="J1133" i="2"/>
  <c r="N932" i="2"/>
  <c r="M932" i="2"/>
  <c r="L932" i="2"/>
  <c r="R1575" i="2"/>
  <c r="P1562" i="2"/>
  <c r="P1367" i="2"/>
  <c r="P839" i="2"/>
  <c r="S663" i="2"/>
  <c r="R663" i="2"/>
  <c r="N663" i="2"/>
  <c r="M663" i="2"/>
  <c r="J572" i="2"/>
  <c r="R502" i="2"/>
  <c r="P71" i="2"/>
  <c r="P46" i="2"/>
  <c r="P210" i="2"/>
  <c r="P1454" i="2"/>
  <c r="P1407" i="2"/>
  <c r="P883" i="2"/>
  <c r="P743" i="2"/>
  <c r="P703" i="2"/>
  <c r="P403" i="2"/>
  <c r="P402" i="2"/>
  <c r="P353" i="2"/>
  <c r="P1602" i="2"/>
  <c r="P1521" i="2"/>
  <c r="P1487" i="2"/>
  <c r="P1253" i="2"/>
  <c r="P1093" i="2"/>
  <c r="P1094" i="2"/>
  <c r="P1053" i="2"/>
  <c r="P860" i="2"/>
  <c r="P564" i="2"/>
  <c r="P314" i="2"/>
  <c r="P271" i="2"/>
  <c r="P1492" i="2"/>
  <c r="P1493" i="2" s="1"/>
  <c r="P1490" i="2"/>
  <c r="P1459" i="2"/>
  <c r="P1339" i="2"/>
  <c r="P1340" i="2" s="1"/>
  <c r="P1285" i="2"/>
  <c r="P1286" i="2" s="1"/>
  <c r="P1275" i="2"/>
  <c r="P1233" i="2"/>
  <c r="P1234" i="2"/>
  <c r="P1209" i="2"/>
  <c r="P1210" i="2"/>
  <c r="P1143" i="2"/>
  <c r="P1144" i="2"/>
  <c r="P1099" i="2"/>
  <c r="P975" i="2"/>
  <c r="P807" i="2"/>
  <c r="P808" i="2"/>
  <c r="P740" i="2"/>
  <c r="P739" i="2"/>
  <c r="P521" i="2"/>
  <c r="P209" i="2"/>
  <c r="P205" i="2"/>
  <c r="P196" i="2"/>
  <c r="P197" i="2" s="1"/>
  <c r="P1623" i="2"/>
  <c r="P1622" i="2"/>
  <c r="P1614" i="2"/>
  <c r="P1601" i="2"/>
  <c r="P1599" i="2"/>
  <c r="P1598" i="2"/>
  <c r="P1597" i="2"/>
  <c r="P1595" i="2"/>
  <c r="P1594" i="2"/>
  <c r="P1593" i="2"/>
  <c r="P1592" i="2"/>
  <c r="P1591" i="2"/>
  <c r="P1574" i="2"/>
  <c r="P1573" i="2"/>
  <c r="P1571" i="2"/>
  <c r="P1572" i="2"/>
  <c r="P1553" i="2"/>
  <c r="P1554" i="2" s="1"/>
  <c r="P1545" i="2"/>
  <c r="P1546" i="2" s="1"/>
  <c r="P1532" i="2"/>
  <c r="P1510" i="2"/>
  <c r="P1503" i="2"/>
  <c r="P1485" i="2"/>
  <c r="P1481" i="2"/>
  <c r="P1465" i="2"/>
  <c r="P1463" i="2"/>
  <c r="P1452" i="2"/>
  <c r="P1451" i="2"/>
  <c r="P1441" i="2"/>
  <c r="P1442" i="2" s="1"/>
  <c r="P1436" i="2"/>
  <c r="P1433" i="2"/>
  <c r="P1425" i="2"/>
  <c r="P1427" i="2"/>
  <c r="P1412" i="2"/>
  <c r="P1406" i="2"/>
  <c r="P1405" i="2"/>
  <c r="P1353" i="2"/>
  <c r="P1329" i="2"/>
  <c r="P1323" i="2"/>
  <c r="P1321" i="2"/>
  <c r="P1320" i="2"/>
  <c r="P1315" i="2"/>
  <c r="P1313" i="2"/>
  <c r="P1312" i="2"/>
  <c r="P1303" i="2"/>
  <c r="P1304" i="2" s="1"/>
  <c r="P1287" i="2"/>
  <c r="P1289" i="2"/>
  <c r="P1282" i="2"/>
  <c r="P1270" i="2"/>
  <c r="P1268" i="2"/>
  <c r="P1269" i="2" s="1"/>
  <c r="P1258" i="2"/>
  <c r="P1255" i="2"/>
  <c r="P1257" i="2"/>
  <c r="P1236" i="2"/>
  <c r="P1235" i="2"/>
  <c r="P1248" i="2"/>
  <c r="P1238" i="2"/>
  <c r="P1229" i="2"/>
  <c r="P1230" i="2"/>
  <c r="P1222" i="2"/>
  <c r="P1223" i="2"/>
  <c r="P1220" i="2"/>
  <c r="P1219" i="2"/>
  <c r="P1201" i="2"/>
  <c r="P1200" i="2"/>
  <c r="P1190" i="2"/>
  <c r="P1189" i="2"/>
  <c r="P1188" i="2"/>
  <c r="P1184" i="2"/>
  <c r="P1181" i="2"/>
  <c r="P1147" i="2"/>
  <c r="P1145" i="2"/>
  <c r="P1138" i="2"/>
  <c r="P1139" i="2" s="1"/>
  <c r="P1124" i="2"/>
  <c r="P1128" i="2"/>
  <c r="P1122" i="2"/>
  <c r="P1123" i="2"/>
  <c r="P1109" i="2"/>
  <c r="P1104" i="2"/>
  <c r="P1102" i="2"/>
  <c r="P1097" i="2"/>
  <c r="P1092" i="2"/>
  <c r="P1085" i="2"/>
  <c r="P1084" i="2"/>
  <c r="P1077" i="2"/>
  <c r="P1076" i="2"/>
  <c r="P1073" i="2"/>
  <c r="P1070" i="2"/>
  <c r="P1069" i="2"/>
  <c r="P1067" i="2"/>
  <c r="P1050" i="2"/>
  <c r="P1020" i="2"/>
  <c r="P1022" i="2"/>
  <c r="P1011" i="2"/>
  <c r="P1006" i="2"/>
  <c r="P1002" i="2"/>
  <c r="P1003" i="2" s="1"/>
  <c r="P996" i="2"/>
  <c r="P997" i="2" s="1"/>
  <c r="P984" i="2"/>
  <c r="P969" i="2"/>
  <c r="P970" i="2"/>
  <c r="P955" i="2"/>
  <c r="P943" i="2"/>
  <c r="P941" i="2"/>
  <c r="P931" i="2"/>
  <c r="P933" i="2" s="1"/>
  <c r="P929" i="2"/>
  <c r="P917" i="2"/>
  <c r="P914" i="2"/>
  <c r="P893" i="2"/>
  <c r="P894" i="2"/>
  <c r="P895" i="2"/>
  <c r="P896" i="2"/>
  <c r="P897" i="2"/>
  <c r="P899" i="2"/>
  <c r="P901" i="2"/>
  <c r="P902" i="2"/>
  <c r="P903" i="2"/>
  <c r="P907" i="2"/>
  <c r="P889" i="2"/>
  <c r="P888" i="2"/>
  <c r="P884" i="2"/>
  <c r="P863" i="2"/>
  <c r="P859" i="2"/>
  <c r="P858" i="2"/>
  <c r="P856" i="2"/>
  <c r="P855" i="2"/>
  <c r="P854" i="2"/>
  <c r="P853" i="2"/>
  <c r="P850" i="2"/>
  <c r="P784" i="2"/>
  <c r="P783" i="2"/>
  <c r="P770" i="2"/>
  <c r="P766" i="2"/>
  <c r="P767" i="2"/>
  <c r="P742" i="2"/>
  <c r="P737" i="2"/>
  <c r="P684" i="2"/>
  <c r="P683" i="2"/>
  <c r="P679" i="2"/>
  <c r="P676" i="2"/>
  <c r="P675" i="2"/>
  <c r="P673" i="2"/>
  <c r="P674" i="2" s="1"/>
  <c r="P671" i="2"/>
  <c r="P670" i="2"/>
  <c r="P668" i="2"/>
  <c r="P667" i="2"/>
  <c r="P665" i="2"/>
  <c r="P664" i="2"/>
  <c r="P662" i="2"/>
  <c r="P661" i="2"/>
  <c r="P657" i="2"/>
  <c r="P658" i="2" s="1"/>
  <c r="P652" i="2"/>
  <c r="P645" i="2"/>
  <c r="P644" i="2"/>
  <c r="P642" i="2"/>
  <c r="P635" i="2"/>
  <c r="P627" i="2"/>
  <c r="P624" i="2"/>
  <c r="P618" i="2"/>
  <c r="P617" i="2"/>
  <c r="P616" i="2"/>
  <c r="P615" i="2"/>
  <c r="P602" i="2"/>
  <c r="P603" i="2"/>
  <c r="P596" i="2"/>
  <c r="P593" i="2"/>
  <c r="P571" i="2"/>
  <c r="P567" i="2"/>
  <c r="P565" i="2"/>
  <c r="P560" i="2"/>
  <c r="P559" i="2"/>
  <c r="P552" i="2"/>
  <c r="P545" i="2"/>
  <c r="P544" i="2"/>
  <c r="P522" i="2"/>
  <c r="P518" i="2"/>
  <c r="P515" i="2"/>
  <c r="P514" i="2"/>
  <c r="P508" i="2"/>
  <c r="P509" i="2"/>
  <c r="P500" i="2"/>
  <c r="P499" i="2"/>
  <c r="P481" i="2"/>
  <c r="P480" i="2"/>
  <c r="P479" i="2"/>
  <c r="P468" i="2"/>
  <c r="P466" i="2"/>
  <c r="P454" i="2"/>
  <c r="P453" i="2"/>
  <c r="P436" i="2"/>
  <c r="P431" i="2"/>
  <c r="P432" i="2"/>
  <c r="P429" i="2"/>
  <c r="P424" i="2"/>
  <c r="P421" i="2"/>
  <c r="P415" i="2"/>
  <c r="P414" i="2"/>
  <c r="P413" i="2"/>
  <c r="P412" i="2"/>
  <c r="P409" i="2"/>
  <c r="P408" i="2"/>
  <c r="P407" i="2"/>
  <c r="P400" i="2"/>
  <c r="P394" i="2"/>
  <c r="P392" i="2"/>
  <c r="P386" i="2"/>
  <c r="P385" i="2"/>
  <c r="P384" i="2"/>
  <c r="P381" i="2"/>
  <c r="P382" i="2"/>
  <c r="P379" i="2"/>
  <c r="P367" i="2"/>
  <c r="P361" i="2"/>
  <c r="P360" i="2"/>
  <c r="P358" i="2"/>
  <c r="P357" i="2"/>
  <c r="P356" i="2"/>
  <c r="P355" i="2"/>
  <c r="P354" i="2"/>
  <c r="P325" i="2"/>
  <c r="P324" i="2"/>
  <c r="P323" i="2"/>
  <c r="P309" i="2"/>
  <c r="P308" i="2"/>
  <c r="P307" i="2"/>
  <c r="P300" i="2"/>
  <c r="P299" i="2"/>
  <c r="P294" i="2"/>
  <c r="P291" i="2"/>
  <c r="P284" i="2"/>
  <c r="P279" i="2"/>
  <c r="P275" i="2"/>
  <c r="P274" i="2"/>
  <c r="P272" i="2"/>
  <c r="P269" i="2"/>
  <c r="P270" i="2"/>
  <c r="P264" i="2"/>
  <c r="P207" i="2"/>
  <c r="P206" i="2"/>
  <c r="P199" i="2"/>
  <c r="P179" i="2"/>
  <c r="P181" i="2"/>
  <c r="P180" i="2"/>
  <c r="P160" i="2"/>
  <c r="P161" i="2" s="1"/>
  <c r="P137" i="2"/>
  <c r="P144" i="2"/>
  <c r="P120" i="2"/>
  <c r="P122" i="2"/>
  <c r="P100" i="2"/>
  <c r="P90" i="2"/>
  <c r="P88" i="2"/>
  <c r="P102" i="2" s="1"/>
  <c r="P86" i="2"/>
  <c r="P87" i="2"/>
  <c r="P81" i="2"/>
  <c r="P80" i="2"/>
  <c r="P50" i="2"/>
  <c r="P53" i="2" s="1"/>
  <c r="P40" i="2"/>
  <c r="P36" i="2"/>
  <c r="P32" i="2"/>
  <c r="P14" i="2"/>
  <c r="P9" i="2"/>
  <c r="J1237" i="2"/>
  <c r="L1237" i="2"/>
  <c r="M1237" i="2"/>
  <c r="R1237" i="2"/>
  <c r="P1589" i="2"/>
  <c r="P1588" i="2"/>
  <c r="P1587" i="2"/>
  <c r="P1586" i="2"/>
  <c r="P1585" i="2"/>
  <c r="P1584" i="2"/>
  <c r="P1583" i="2"/>
  <c r="P1582" i="2"/>
  <c r="P1581" i="2"/>
  <c r="P1579" i="2"/>
  <c r="P1578" i="2"/>
  <c r="P1577" i="2"/>
  <c r="P1576" i="2"/>
  <c r="P1569" i="2"/>
  <c r="P1567" i="2"/>
  <c r="P1534" i="2"/>
  <c r="P1533" i="2"/>
  <c r="P1519" i="2"/>
  <c r="P1518" i="2"/>
  <c r="P1512" i="2"/>
  <c r="P1511" i="2"/>
  <c r="P1504" i="2"/>
  <c r="P1500" i="2"/>
  <c r="P1499" i="2"/>
  <c r="P1498" i="2"/>
  <c r="P1484" i="2"/>
  <c r="P1483" i="2"/>
  <c r="P1475" i="2"/>
  <c r="P1480" i="2"/>
  <c r="P1471" i="2"/>
  <c r="P1472" i="2" s="1"/>
  <c r="P1467" i="2"/>
  <c r="P1466" i="2"/>
  <c r="P1458" i="2"/>
  <c r="P1456" i="2"/>
  <c r="P1457" i="2" s="1"/>
  <c r="P1453" i="2"/>
  <c r="P1445" i="2"/>
  <c r="P1444" i="2"/>
  <c r="P1443" i="2"/>
  <c r="P1432" i="2"/>
  <c r="P1419" i="2"/>
  <c r="P1418" i="2"/>
  <c r="P1417" i="2"/>
  <c r="P1416" i="2"/>
  <c r="P1415" i="2"/>
  <c r="P1414" i="2"/>
  <c r="P1411" i="2"/>
  <c r="P1410" i="2"/>
  <c r="P1409" i="2"/>
  <c r="P1408" i="2"/>
  <c r="P1404" i="2"/>
  <c r="P1403" i="2"/>
  <c r="P1401" i="2"/>
  <c r="P1402" i="2" s="1"/>
  <c r="P1388" i="2"/>
  <c r="P1389" i="2" s="1"/>
  <c r="P1385" i="2"/>
  <c r="P1383" i="2"/>
  <c r="P1379" i="2"/>
  <c r="P1375" i="2"/>
  <c r="P1374" i="2"/>
  <c r="P1373" i="2"/>
  <c r="P1372" i="2"/>
  <c r="P1371" i="2"/>
  <c r="P1370" i="2"/>
  <c r="P1369" i="2"/>
  <c r="P1368" i="2"/>
  <c r="P1356" i="2"/>
  <c r="P1354" i="2"/>
  <c r="P1352" i="2"/>
  <c r="P1351" i="2"/>
  <c r="P1349" i="2"/>
  <c r="P1350" i="2" s="1"/>
  <c r="P1346" i="2"/>
  <c r="P1342" i="2"/>
  <c r="P1343" i="2"/>
  <c r="P1335" i="2"/>
  <c r="P1311" i="2"/>
  <c r="P1310" i="2"/>
  <c r="P1309" i="2"/>
  <c r="P1281" i="2"/>
  <c r="P1279" i="2"/>
  <c r="P1242" i="2"/>
  <c r="P1241" i="2"/>
  <c r="P1240" i="2"/>
  <c r="P1239" i="2"/>
  <c r="P1134" i="2"/>
  <c r="P1135" i="2" s="1"/>
  <c r="P1117" i="2"/>
  <c r="P1115" i="2"/>
  <c r="P1114" i="2"/>
  <c r="P1096" i="2"/>
  <c r="P1065" i="2"/>
  <c r="P1064" i="2"/>
  <c r="P1063" i="2"/>
  <c r="P1062" i="2"/>
  <c r="P1061" i="2"/>
  <c r="P1060" i="2"/>
  <c r="P1059" i="2"/>
  <c r="P1058" i="2"/>
  <c r="P1057" i="2"/>
  <c r="P1056" i="2"/>
  <c r="P1055" i="2"/>
  <c r="P1054" i="2"/>
  <c r="P1051" i="2"/>
  <c r="P1049" i="2"/>
  <c r="P1048" i="2"/>
  <c r="P1039" i="2"/>
  <c r="P1023" i="2"/>
  <c r="P1024" i="2"/>
  <c r="P1025" i="2"/>
  <c r="P1027" i="2"/>
  <c r="P1028" i="2"/>
  <c r="P1012" i="2"/>
  <c r="P1013" i="2"/>
  <c r="P1014" i="2"/>
  <c r="P1015" i="2"/>
  <c r="P1016" i="2"/>
  <c r="P1010" i="2"/>
  <c r="P1009" i="2"/>
  <c r="P1008" i="2"/>
  <c r="P1007" i="2"/>
  <c r="P998" i="2"/>
  <c r="P999" i="2" s="1"/>
  <c r="P982" i="2"/>
  <c r="P980" i="2"/>
  <c r="P979" i="2"/>
  <c r="P978" i="2"/>
  <c r="P965" i="2"/>
  <c r="P960" i="2"/>
  <c r="P954" i="2"/>
  <c r="P953" i="2"/>
  <c r="P951" i="2"/>
  <c r="P952" i="2" s="1"/>
  <c r="P949" i="2"/>
  <c r="P946" i="2"/>
  <c r="P945" i="2"/>
  <c r="P939" i="2"/>
  <c r="P940" i="2" s="1"/>
  <c r="P915" i="2"/>
  <c r="P913" i="2"/>
  <c r="P906" i="2"/>
  <c r="P905" i="2"/>
  <c r="P904" i="2"/>
  <c r="P900" i="2"/>
  <c r="P898" i="2"/>
  <c r="P891" i="2"/>
  <c r="P892" i="2" s="1"/>
  <c r="P885" i="2"/>
  <c r="P882" i="2"/>
  <c r="P881" i="2"/>
  <c r="P871" i="2"/>
  <c r="P870" i="2"/>
  <c r="P869" i="2"/>
  <c r="P868" i="2"/>
  <c r="P865" i="2"/>
  <c r="P864" i="2"/>
  <c r="P862" i="2"/>
  <c r="P861" i="2"/>
  <c r="P852" i="2"/>
  <c r="P851" i="2"/>
  <c r="P849" i="2"/>
  <c r="P848" i="2"/>
  <c r="P843" i="2"/>
  <c r="P842" i="2"/>
  <c r="P841" i="2"/>
  <c r="P840" i="2"/>
  <c r="P836" i="2"/>
  <c r="P835" i="2"/>
  <c r="P834" i="2"/>
  <c r="P823" i="2"/>
  <c r="P822" i="2"/>
  <c r="P809" i="2"/>
  <c r="P810" i="2" s="1"/>
  <c r="P805" i="2"/>
  <c r="P804" i="2"/>
  <c r="P803" i="2"/>
  <c r="P782" i="2"/>
  <c r="P780" i="2"/>
  <c r="P779" i="2"/>
  <c r="P778" i="2"/>
  <c r="P777" i="2"/>
  <c r="P776" i="2"/>
  <c r="P775" i="2"/>
  <c r="P774" i="2"/>
  <c r="P773" i="2"/>
  <c r="P772" i="2"/>
  <c r="P771" i="2"/>
  <c r="P747" i="2"/>
  <c r="P746" i="2"/>
  <c r="P744" i="2"/>
  <c r="P732" i="2"/>
  <c r="P733" i="2" s="1"/>
  <c r="P723" i="2"/>
  <c r="P726" i="2"/>
  <c r="P721" i="2"/>
  <c r="P720" i="2"/>
  <c r="P678" i="2"/>
  <c r="P659" i="2"/>
  <c r="P660" i="2" s="1"/>
  <c r="P655" i="2"/>
  <c r="P654" i="2"/>
  <c r="P656" i="2"/>
  <c r="P651" i="2"/>
  <c r="P653" i="2"/>
  <c r="P649" i="2"/>
  <c r="P650" i="2"/>
  <c r="P647" i="2"/>
  <c r="P648" i="2" s="1"/>
  <c r="P629" i="2"/>
  <c r="P628" i="2"/>
  <c r="P626" i="2"/>
  <c r="P625" i="2"/>
  <c r="P620" i="2"/>
  <c r="P621" i="2"/>
  <c r="P605" i="2"/>
  <c r="P604" i="2"/>
  <c r="P597" i="2"/>
  <c r="P595" i="2"/>
  <c r="P594" i="2"/>
  <c r="P592" i="2"/>
  <c r="P591" i="2"/>
  <c r="P590" i="2"/>
  <c r="P589" i="2"/>
  <c r="P588" i="2"/>
  <c r="P587" i="2"/>
  <c r="P585" i="2"/>
  <c r="P584" i="2"/>
  <c r="P577" i="2"/>
  <c r="P576" i="2"/>
  <c r="P557" i="2"/>
  <c r="P558" i="2" s="1"/>
  <c r="P550" i="2"/>
  <c r="P547" i="2"/>
  <c r="P548" i="2"/>
  <c r="P543" i="2"/>
  <c r="P542" i="2"/>
  <c r="P539" i="2"/>
  <c r="P536" i="2"/>
  <c r="P531" i="2"/>
  <c r="P530" i="2"/>
  <c r="P529" i="2"/>
  <c r="P528" i="2"/>
  <c r="P527" i="2"/>
  <c r="P520" i="2"/>
  <c r="P513" i="2"/>
  <c r="P512" i="2"/>
  <c r="S769" i="2"/>
  <c r="R769" i="2"/>
  <c r="K769" i="2"/>
  <c r="J769" i="2"/>
  <c r="S719" i="2"/>
  <c r="R719" i="2"/>
  <c r="K719" i="2"/>
  <c r="J719" i="2"/>
  <c r="S714" i="2"/>
  <c r="R714" i="2"/>
  <c r="K714" i="2"/>
  <c r="J714" i="2"/>
  <c r="J712" i="2"/>
  <c r="K712" i="2"/>
  <c r="R712" i="2"/>
  <c r="S712" i="2"/>
  <c r="S710" i="2"/>
  <c r="R710" i="2"/>
  <c r="K710" i="2"/>
  <c r="J710" i="2"/>
  <c r="S253" i="2"/>
  <c r="R253" i="2"/>
  <c r="O253" i="2"/>
  <c r="N253" i="2"/>
  <c r="M253" i="2"/>
  <c r="L253" i="2"/>
  <c r="K253" i="2"/>
  <c r="J253" i="2"/>
  <c r="S251" i="2"/>
  <c r="R251" i="2"/>
  <c r="N251" i="2"/>
  <c r="L251" i="2"/>
  <c r="K251" i="2"/>
  <c r="J251" i="2"/>
  <c r="J248" i="2"/>
  <c r="K248" i="2"/>
  <c r="R248" i="2"/>
  <c r="S248" i="2"/>
  <c r="S246" i="2"/>
  <c r="R246" i="2"/>
  <c r="M246" i="2"/>
  <c r="L246" i="2"/>
  <c r="K246" i="2"/>
  <c r="J246" i="2"/>
  <c r="P492" i="2"/>
  <c r="P493" i="2"/>
  <c r="P494" i="2"/>
  <c r="P475" i="2"/>
  <c r="P474" i="2"/>
  <c r="P473" i="2"/>
  <c r="P472" i="2"/>
  <c r="P471" i="2"/>
  <c r="P470" i="2"/>
  <c r="P469" i="2"/>
  <c r="P461" i="2"/>
  <c r="P460" i="2"/>
  <c r="P443" i="2"/>
  <c r="P444" i="2" s="1"/>
  <c r="P439" i="2"/>
  <c r="P352" i="2"/>
  <c r="P351" i="2"/>
  <c r="P350" i="2"/>
  <c r="P349" i="2"/>
  <c r="P348" i="2"/>
  <c r="P347" i="2"/>
  <c r="P346" i="2"/>
  <c r="P345" i="2"/>
  <c r="P344" i="2"/>
  <c r="P343" i="2"/>
  <c r="P342" i="2"/>
  <c r="P341" i="2"/>
  <c r="P340" i="2"/>
  <c r="P339" i="2"/>
  <c r="P338" i="2"/>
  <c r="P337" i="2"/>
  <c r="P336" i="2"/>
  <c r="P335" i="2"/>
  <c r="P334" i="2"/>
  <c r="P333" i="2"/>
  <c r="P332" i="2"/>
  <c r="P331" i="2"/>
  <c r="P330" i="2"/>
  <c r="P329" i="2"/>
  <c r="P328" i="2"/>
  <c r="P327" i="2"/>
  <c r="P326" i="2"/>
  <c r="P398" i="2"/>
  <c r="P397" i="2"/>
  <c r="P396" i="2"/>
  <c r="P395" i="2"/>
  <c r="P422" i="2"/>
  <c r="P423" i="2"/>
  <c r="P420" i="2"/>
  <c r="P419" i="2"/>
  <c r="P417" i="2"/>
  <c r="P390" i="2"/>
  <c r="P389" i="2"/>
  <c r="P388" i="2"/>
  <c r="P387" i="2"/>
  <c r="P377" i="2"/>
  <c r="P376" i="2"/>
  <c r="P375" i="2"/>
  <c r="P374" i="2"/>
  <c r="P373" i="2"/>
  <c r="P372" i="2"/>
  <c r="P371" i="2"/>
  <c r="P370" i="2"/>
  <c r="P369" i="2"/>
  <c r="P368" i="2"/>
  <c r="P365" i="2"/>
  <c r="P364" i="2"/>
  <c r="P363" i="2"/>
  <c r="P316" i="2"/>
  <c r="P306" i="2"/>
  <c r="P305" i="2"/>
  <c r="P304" i="2"/>
  <c r="P303" i="2"/>
  <c r="P302" i="2"/>
  <c r="P301" i="2"/>
  <c r="P283" i="2"/>
  <c r="P282" i="2"/>
  <c r="P281" i="2"/>
  <c r="P280" i="2"/>
  <c r="P234" i="2"/>
  <c r="P239" i="2"/>
  <c r="P219" i="2"/>
  <c r="P220" i="2" s="1"/>
  <c r="P214" i="2"/>
  <c r="P213" i="2"/>
  <c r="P212" i="2"/>
  <c r="P942" i="2"/>
  <c r="P925" i="2"/>
  <c r="P926" i="2"/>
  <c r="P867" i="2"/>
  <c r="P866" i="2"/>
  <c r="P845" i="2"/>
  <c r="P844" i="2"/>
  <c r="P689" i="2"/>
  <c r="P1629" i="2"/>
  <c r="P1630" i="2"/>
  <c r="P1615" i="2"/>
  <c r="P1539" i="2"/>
  <c r="P1541" i="2"/>
  <c r="P1509" i="2"/>
  <c r="P1508" i="2"/>
  <c r="P1507" i="2"/>
  <c r="P1506" i="2"/>
  <c r="P1505" i="2"/>
  <c r="P1489" i="2"/>
  <c r="P1486" i="2"/>
  <c r="P1464" i="2"/>
  <c r="P1447" i="2"/>
  <c r="P1437" i="2"/>
  <c r="P1413" i="2"/>
  <c r="P1380" i="2"/>
  <c r="P1364" i="2"/>
  <c r="P1365" i="2" s="1"/>
  <c r="P1362" i="2"/>
  <c r="P1363" i="2" s="1"/>
  <c r="P1347" i="2"/>
  <c r="P1336" i="2"/>
  <c r="P1334" i="2"/>
  <c r="P1333" i="2"/>
  <c r="P1332" i="2"/>
  <c r="P1326" i="2"/>
  <c r="P1325" i="2"/>
  <c r="P1324" i="2"/>
  <c r="P1274" i="2"/>
  <c r="P1273" i="2"/>
  <c r="P1261" i="2"/>
  <c r="P1250" i="2"/>
  <c r="P1226" i="2"/>
  <c r="P1227" i="2"/>
  <c r="P1215" i="2"/>
  <c r="P1216" i="2" s="1"/>
  <c r="P1206" i="2"/>
  <c r="P1208" i="2" s="1"/>
  <c r="P1203" i="2"/>
  <c r="P1185" i="2"/>
  <c r="P1183" i="2"/>
  <c r="P1182" i="2"/>
  <c r="P1179" i="2"/>
  <c r="P1180" i="2" s="1"/>
  <c r="P1177" i="2"/>
  <c r="P1178" i="2"/>
  <c r="P1172" i="2"/>
  <c r="P1173" i="2"/>
  <c r="P1168" i="2"/>
  <c r="P1166" i="2"/>
  <c r="P1165" i="2"/>
  <c r="P1164" i="2"/>
  <c r="P1163" i="2"/>
  <c r="P1157" i="2"/>
  <c r="P1111" i="2"/>
  <c r="P1108" i="2"/>
  <c r="P1100" i="2"/>
  <c r="P1098" i="2"/>
  <c r="P1095" i="2"/>
  <c r="P1079" i="2"/>
  <c r="P1080" i="2" s="1"/>
  <c r="P1075" i="2"/>
  <c r="P1074" i="2"/>
  <c r="P1068" i="2"/>
  <c r="P1041" i="2"/>
  <c r="P1038" i="2"/>
  <c r="P1037" i="2"/>
  <c r="P1036" i="2"/>
  <c r="P1035" i="2"/>
  <c r="P1034" i="2"/>
  <c r="P1033" i="2"/>
  <c r="P1032" i="2"/>
  <c r="P1031" i="2"/>
  <c r="P1030" i="2"/>
  <c r="P986" i="2"/>
  <c r="P985" i="2"/>
  <c r="P983" i="2"/>
  <c r="P976" i="2"/>
  <c r="P973" i="2"/>
  <c r="P964" i="2"/>
  <c r="P811" i="2"/>
  <c r="P813" i="2" s="1"/>
  <c r="P793" i="2"/>
  <c r="P792" i="2"/>
  <c r="P791" i="2"/>
  <c r="P749" i="2"/>
  <c r="P750" i="2" s="1"/>
  <c r="P701" i="2"/>
  <c r="P700" i="2"/>
  <c r="P692" i="2"/>
  <c r="P691" i="2"/>
  <c r="P579" i="2"/>
  <c r="P580" i="2" s="1"/>
  <c r="P574" i="2"/>
  <c r="P578" i="2" s="1"/>
  <c r="P570" i="2"/>
  <c r="P566" i="2"/>
  <c r="P534" i="2"/>
  <c r="P519" i="2"/>
  <c r="P501" i="2"/>
  <c r="P490" i="2"/>
  <c r="P491" i="2" s="1"/>
  <c r="P486" i="2"/>
  <c r="P487" i="2" s="1"/>
  <c r="P465" i="2"/>
  <c r="P464" i="2"/>
  <c r="P463" i="2"/>
  <c r="P450" i="2"/>
  <c r="P449" i="2"/>
  <c r="P438" i="2"/>
  <c r="P437" i="2"/>
  <c r="P440" i="2" s="1"/>
  <c r="P434" i="2"/>
  <c r="P435" i="2" s="1"/>
  <c r="P245" i="2"/>
  <c r="P246" i="2"/>
  <c r="P319" i="2"/>
  <c r="P320" i="2"/>
  <c r="P298" i="2"/>
  <c r="P297" i="2"/>
  <c r="P310" i="2" s="1"/>
  <c r="P278" i="2"/>
  <c r="P277" i="2"/>
  <c r="P276" i="2"/>
  <c r="P262" i="2"/>
  <c r="P261" i="2"/>
  <c r="P260" i="2"/>
  <c r="P201" i="2"/>
  <c r="P202" i="2"/>
  <c r="P208" i="2" s="1"/>
  <c r="P203" i="2"/>
  <c r="P200" i="2"/>
  <c r="P190" i="2"/>
  <c r="P193" i="2"/>
  <c r="P78" i="2"/>
  <c r="P75" i="2"/>
  <c r="P83" i="2" s="1"/>
  <c r="P54" i="2"/>
  <c r="P69" i="2" s="1"/>
  <c r="P646" i="2"/>
  <c r="P636" i="2"/>
  <c r="P42" i="2"/>
  <c r="P211" i="2"/>
  <c r="P702" i="2"/>
  <c r="P10" i="2"/>
  <c r="P34" i="2"/>
  <c r="P553" i="2"/>
  <c r="P561" i="2"/>
  <c r="P296" i="2"/>
  <c r="P586" i="2"/>
  <c r="P362" i="2"/>
  <c r="P452" i="2"/>
  <c r="P393" i="2"/>
  <c r="P401" i="2"/>
  <c r="P317" i="2"/>
  <c r="P546" i="2"/>
  <c r="P359" i="2"/>
  <c r="P525" i="2"/>
  <c r="P619" i="2"/>
  <c r="P572" i="2"/>
  <c r="P265" i="2"/>
  <c r="P427" i="2"/>
  <c r="P497" i="2"/>
  <c r="P532" i="2"/>
  <c r="P599" i="2"/>
  <c r="P418" i="2"/>
  <c r="P540" i="2"/>
  <c r="P482" i="2"/>
  <c r="P366" i="2"/>
  <c r="P462" i="2"/>
  <c r="P517" i="2"/>
  <c r="P607" i="2"/>
  <c r="P380" i="2"/>
  <c r="P455" i="2"/>
  <c r="P502" i="2"/>
  <c r="P285" i="2"/>
  <c r="P404" i="2"/>
  <c r="P215" i="2"/>
  <c r="P690" i="2"/>
  <c r="P695" i="2"/>
  <c r="P1625" i="2"/>
  <c r="P1196" i="2"/>
  <c r="P1197" i="2" s="1"/>
  <c r="P824" i="2"/>
  <c r="P722" i="2"/>
  <c r="P428" i="2"/>
  <c r="P430" i="2"/>
  <c r="P1501" i="2"/>
  <c r="P1603" i="2"/>
  <c r="P1446" i="2"/>
  <c r="P966" i="2"/>
  <c r="P1338" i="2"/>
  <c r="P1237" i="2"/>
  <c r="P1110" i="2"/>
  <c r="P685" i="2"/>
  <c r="P686" i="2" s="1"/>
  <c r="P669" i="2"/>
  <c r="P890" i="2"/>
  <c r="P1086" i="2"/>
  <c r="P666" i="2"/>
  <c r="P672" i="2"/>
  <c r="P1420" i="2"/>
  <c r="P1348" i="2"/>
  <c r="P1590" i="2"/>
  <c r="P1105" i="2"/>
  <c r="P1052" i="2"/>
  <c r="P1616" i="2"/>
  <c r="P1078" i="2"/>
  <c r="P1243" i="2"/>
  <c r="P1170" i="2"/>
  <c r="P1042" i="2"/>
  <c r="P1191" i="2"/>
  <c r="P1202" i="2"/>
  <c r="P1330" i="2"/>
  <c r="P1468" i="2"/>
  <c r="P1148" i="2"/>
  <c r="P1221" i="2"/>
  <c r="P727" i="2"/>
  <c r="P728" i="2" s="1"/>
  <c r="P806" i="2"/>
  <c r="P947" i="2"/>
  <c r="P981" i="2"/>
  <c r="P1283" i="2"/>
  <c r="P1460" i="2"/>
  <c r="P944" i="2"/>
  <c r="P1600" i="2"/>
  <c r="P1118" i="2"/>
  <c r="P1316" i="2"/>
  <c r="P1386" i="2"/>
  <c r="P1440" i="2"/>
  <c r="P1254" i="2"/>
  <c r="P1072" i="2"/>
  <c r="P1514" i="2"/>
  <c r="P1596" i="2"/>
  <c r="P1523" i="2"/>
  <c r="P1455" i="2"/>
  <c r="P948" i="2"/>
  <c r="P950" i="2" s="1"/>
  <c r="P1357" i="2"/>
  <c r="P1382" i="2"/>
  <c r="P1570" i="2"/>
  <c r="P677" i="2"/>
  <c r="P1187" i="2"/>
  <c r="P1535" i="2"/>
  <c r="P1491" i="2"/>
  <c r="P1575" i="2"/>
  <c r="P1262" i="2"/>
  <c r="P1276" i="2"/>
  <c r="P887" i="2"/>
  <c r="P872" i="2"/>
  <c r="P704" i="2"/>
  <c r="P748" i="2"/>
  <c r="P680" i="2"/>
  <c r="P785" i="2"/>
  <c r="P781" i="2"/>
  <c r="P1019" i="2"/>
  <c r="P1026" i="2"/>
  <c r="P959" i="2"/>
  <c r="P794" i="2"/>
  <c r="P857" i="2"/>
  <c r="P837" i="2"/>
  <c r="P922" i="2"/>
  <c r="P741" i="2"/>
  <c r="P745" i="2"/>
  <c r="P912" i="2"/>
  <c r="P988" i="2"/>
  <c r="P977" i="2"/>
  <c r="P1029" i="2"/>
  <c r="R1234" i="2"/>
  <c r="O1234" i="2"/>
  <c r="N1234" i="2"/>
  <c r="M1234" i="2"/>
  <c r="L1234" i="2"/>
  <c r="J1234" i="2"/>
  <c r="R728" i="2"/>
  <c r="R1001" i="2"/>
  <c r="N1001" i="2"/>
  <c r="L1001" i="2"/>
  <c r="J1001" i="2"/>
  <c r="O243" i="2"/>
  <c r="N243" i="2"/>
  <c r="M243" i="2"/>
  <c r="L243" i="2"/>
  <c r="K243" i="2"/>
  <c r="J243" i="2"/>
  <c r="L241" i="2"/>
  <c r="K241" i="2"/>
  <c r="J240" i="2"/>
  <c r="J241" i="2" s="1"/>
  <c r="O928" i="2"/>
  <c r="M928" i="2"/>
  <c r="L928" i="2"/>
  <c r="K928" i="2"/>
  <c r="J927" i="2"/>
  <c r="J928" i="2" s="1"/>
  <c r="O1530" i="2"/>
  <c r="N1530" i="2"/>
  <c r="M1530" i="2"/>
  <c r="L1530" i="2"/>
  <c r="J1529" i="2"/>
  <c r="J1528" i="2"/>
  <c r="J1527" i="2"/>
  <c r="J1526" i="2"/>
  <c r="O802" i="2"/>
  <c r="N802" i="2"/>
  <c r="M802" i="2"/>
  <c r="L802" i="2"/>
  <c r="J801" i="2"/>
  <c r="J800" i="2"/>
  <c r="J799" i="2"/>
  <c r="O1120" i="2"/>
  <c r="N1120" i="2"/>
  <c r="M1120" i="2"/>
  <c r="L1120" i="2"/>
  <c r="J1119" i="2"/>
  <c r="J1120" i="2" s="1"/>
  <c r="O757" i="2"/>
  <c r="N757" i="2"/>
  <c r="M757" i="2"/>
  <c r="L757" i="2"/>
  <c r="J756" i="2"/>
  <c r="J755" i="2"/>
  <c r="R71" i="2"/>
  <c r="O71" i="2"/>
  <c r="N71" i="2"/>
  <c r="M71" i="2"/>
  <c r="L71" i="2"/>
  <c r="J71" i="2"/>
  <c r="R132" i="2"/>
  <c r="O132" i="2"/>
  <c r="N132" i="2"/>
  <c r="M132" i="2"/>
  <c r="L132" i="2"/>
  <c r="K132" i="2"/>
  <c r="J132" i="2"/>
  <c r="R1621" i="2"/>
  <c r="M1621" i="2"/>
  <c r="L1621" i="2"/>
  <c r="J1621" i="2"/>
  <c r="S1566" i="2"/>
  <c r="R1566" i="2"/>
  <c r="Q1566" i="2"/>
  <c r="O1566" i="2"/>
  <c r="N1566" i="2"/>
  <c r="M1566" i="2"/>
  <c r="L1566" i="2"/>
  <c r="K1566" i="2"/>
  <c r="J1566" i="2"/>
  <c r="O1308" i="2"/>
  <c r="N1308" i="2"/>
  <c r="M1308" i="2"/>
  <c r="L1308" i="2"/>
  <c r="J1308" i="2"/>
  <c r="O1306" i="2"/>
  <c r="N1306" i="2"/>
  <c r="M1306" i="2"/>
  <c r="L1306" i="2"/>
  <c r="J1306" i="2"/>
  <c r="R1267" i="2"/>
  <c r="L1267" i="2"/>
  <c r="K1267" i="2"/>
  <c r="J1267" i="2"/>
  <c r="R1218" i="2"/>
  <c r="O1218" i="2"/>
  <c r="N1218" i="2"/>
  <c r="M1218" i="2"/>
  <c r="L1218" i="2"/>
  <c r="K1218" i="2"/>
  <c r="J1218" i="2"/>
  <c r="S1005" i="2"/>
  <c r="R1005" i="2"/>
  <c r="O1005" i="2"/>
  <c r="N1005" i="2"/>
  <c r="M1005" i="2"/>
  <c r="L1005" i="2"/>
  <c r="K1005" i="2"/>
  <c r="J1005" i="2"/>
  <c r="R820" i="2"/>
  <c r="Q820" i="2"/>
  <c r="O820" i="2"/>
  <c r="N820" i="2"/>
  <c r="M820" i="2"/>
  <c r="L820" i="2"/>
  <c r="K820" i="2"/>
  <c r="J820" i="2"/>
  <c r="S765" i="2"/>
  <c r="R765" i="2"/>
  <c r="O765" i="2"/>
  <c r="N765" i="2"/>
  <c r="M765" i="2"/>
  <c r="L765" i="2"/>
  <c r="K765" i="2"/>
  <c r="J765" i="2"/>
  <c r="R763" i="2"/>
  <c r="M763" i="2"/>
  <c r="L763" i="2"/>
  <c r="J763" i="2"/>
  <c r="R752" i="2"/>
  <c r="N752" i="2"/>
  <c r="M752" i="2"/>
  <c r="L752" i="2"/>
  <c r="K752" i="2"/>
  <c r="J752" i="2"/>
  <c r="R504" i="2"/>
  <c r="M504" i="2"/>
  <c r="L504" i="2"/>
  <c r="J504" i="2"/>
  <c r="R484" i="2"/>
  <c r="M484" i="2"/>
  <c r="L484" i="2"/>
  <c r="J484" i="2"/>
  <c r="M287" i="2"/>
  <c r="L287" i="2"/>
  <c r="K287" i="2"/>
  <c r="J287" i="2"/>
  <c r="S258" i="2"/>
  <c r="R258" i="2"/>
  <c r="Q258" i="2"/>
  <c r="O258" i="2"/>
  <c r="N258" i="2"/>
  <c r="M258" i="2"/>
  <c r="L258" i="2"/>
  <c r="K258" i="2"/>
  <c r="J258" i="2"/>
  <c r="R85" i="2"/>
  <c r="N85" i="2"/>
  <c r="L85" i="2"/>
  <c r="K85" i="2"/>
  <c r="J85" i="2"/>
  <c r="O833" i="2"/>
  <c r="N833" i="2"/>
  <c r="M833" i="2"/>
  <c r="L833" i="2"/>
  <c r="J833" i="2"/>
  <c r="O827" i="2"/>
  <c r="N827" i="2"/>
  <c r="M827" i="2"/>
  <c r="L827" i="2"/>
  <c r="J827" i="2"/>
  <c r="O830" i="2"/>
  <c r="N830" i="2"/>
  <c r="M830" i="2"/>
  <c r="L830" i="2"/>
  <c r="J830" i="2"/>
  <c r="O798" i="2"/>
  <c r="N798" i="2"/>
  <c r="M798" i="2"/>
  <c r="L798" i="2"/>
  <c r="K798" i="2"/>
  <c r="J798" i="2"/>
  <c r="R796" i="2"/>
  <c r="M796" i="2"/>
  <c r="L796" i="2"/>
  <c r="K796" i="2"/>
  <c r="J796" i="2"/>
  <c r="R1367" i="2"/>
  <c r="Q1367" i="2"/>
  <c r="N1367" i="2"/>
  <c r="M1367" i="2"/>
  <c r="L1367" i="2"/>
  <c r="K1367" i="2"/>
  <c r="J1367" i="2"/>
  <c r="S1366" i="2"/>
  <c r="S1367" i="2" s="1"/>
  <c r="O1366" i="2"/>
  <c r="O1367" i="2" s="1"/>
  <c r="R839" i="2"/>
  <c r="Q839" i="2"/>
  <c r="N839" i="2"/>
  <c r="M839" i="2"/>
  <c r="L839" i="2"/>
  <c r="K839" i="2"/>
  <c r="J839" i="2"/>
  <c r="S838" i="2"/>
  <c r="S839" i="2" s="1"/>
  <c r="O838" i="2"/>
  <c r="O839" i="2"/>
  <c r="R610" i="2"/>
  <c r="N610" i="2"/>
  <c r="M610" i="2"/>
  <c r="L610" i="2"/>
  <c r="K610" i="2"/>
  <c r="J610" i="2"/>
  <c r="O608" i="2"/>
  <c r="O610" i="2"/>
  <c r="O1517" i="2"/>
  <c r="N1517" i="2"/>
  <c r="M1517" i="2"/>
  <c r="L1517" i="2"/>
  <c r="K1517" i="2"/>
  <c r="J1517" i="2"/>
  <c r="S1634" i="2"/>
  <c r="R1634" i="2"/>
  <c r="Q1634" i="2"/>
  <c r="O1634" i="2"/>
  <c r="N1634" i="2"/>
  <c r="M1634" i="2"/>
  <c r="L1634" i="2"/>
  <c r="K1634" i="2"/>
  <c r="J1634" i="2"/>
  <c r="S1630" i="2"/>
  <c r="R1630" i="2"/>
  <c r="Q1630" i="2"/>
  <c r="O1630" i="2"/>
  <c r="N1630" i="2"/>
  <c r="M1630" i="2"/>
  <c r="L1630" i="2"/>
  <c r="K1630" i="2"/>
  <c r="J1630" i="2"/>
  <c r="S1627" i="2"/>
  <c r="R1627" i="2"/>
  <c r="Q1627" i="2"/>
  <c r="O1627" i="2"/>
  <c r="N1627" i="2"/>
  <c r="M1627" i="2"/>
  <c r="L1627" i="2"/>
  <c r="K1627" i="2"/>
  <c r="J1627" i="2"/>
  <c r="S1625" i="2"/>
  <c r="R1625" i="2"/>
  <c r="Q1625" i="2"/>
  <c r="O1625" i="2"/>
  <c r="N1625" i="2"/>
  <c r="M1625" i="2"/>
  <c r="L1625" i="2"/>
  <c r="K1625" i="2"/>
  <c r="J1625" i="2"/>
  <c r="R1616" i="2"/>
  <c r="M1616" i="2"/>
  <c r="L1616" i="2"/>
  <c r="K1616" i="2"/>
  <c r="J1616" i="2"/>
  <c r="R1613" i="2"/>
  <c r="O1613" i="2"/>
  <c r="N1613" i="2"/>
  <c r="M1613" i="2"/>
  <c r="L1613" i="2"/>
  <c r="K1613" i="2"/>
  <c r="J1609" i="2"/>
  <c r="J1608" i="2"/>
  <c r="J1607" i="2"/>
  <c r="S1603" i="2"/>
  <c r="R1603" i="2"/>
  <c r="Q1603" i="2"/>
  <c r="O1603" i="2"/>
  <c r="N1603" i="2"/>
  <c r="M1603" i="2"/>
  <c r="L1603" i="2"/>
  <c r="K1603" i="2"/>
  <c r="J1603" i="2"/>
  <c r="R1600" i="2"/>
  <c r="Q1600" i="2"/>
  <c r="O1600" i="2"/>
  <c r="N1600" i="2"/>
  <c r="M1600" i="2"/>
  <c r="L1600" i="2"/>
  <c r="K1600" i="2"/>
  <c r="J1600" i="2"/>
  <c r="S1596" i="2"/>
  <c r="R1596" i="2"/>
  <c r="Q1596" i="2"/>
  <c r="O1596" i="2"/>
  <c r="N1596" i="2"/>
  <c r="M1596" i="2"/>
  <c r="L1596" i="2"/>
  <c r="K1596" i="2"/>
  <c r="J1596" i="2"/>
  <c r="S1590" i="2"/>
  <c r="R1590" i="2"/>
  <c r="Q1590" i="2"/>
  <c r="O1590" i="2"/>
  <c r="N1590" i="2"/>
  <c r="M1590" i="2"/>
  <c r="L1590" i="2"/>
  <c r="K1590" i="2"/>
  <c r="J1590" i="2"/>
  <c r="Q1575" i="2"/>
  <c r="O1575" i="2"/>
  <c r="N1575" i="2"/>
  <c r="M1575" i="2"/>
  <c r="L1575" i="2"/>
  <c r="K1575" i="2"/>
  <c r="J1575" i="2"/>
  <c r="S1572" i="2"/>
  <c r="R1572" i="2"/>
  <c r="Q1572" i="2"/>
  <c r="O1572" i="2"/>
  <c r="N1572" i="2"/>
  <c r="M1572" i="2"/>
  <c r="L1572" i="2"/>
  <c r="K1572" i="2"/>
  <c r="J1572" i="2"/>
  <c r="S1570" i="2"/>
  <c r="R1570" i="2"/>
  <c r="Q1570" i="2"/>
  <c r="O1570" i="2"/>
  <c r="M1570" i="2"/>
  <c r="L1570" i="2"/>
  <c r="K1570" i="2"/>
  <c r="J1570" i="2"/>
  <c r="R1564" i="2"/>
  <c r="N1564" i="2"/>
  <c r="M1564" i="2"/>
  <c r="L1564" i="2"/>
  <c r="K1564" i="2"/>
  <c r="J1564" i="2"/>
  <c r="S1562" i="2"/>
  <c r="R1562" i="2"/>
  <c r="N1562" i="2"/>
  <c r="M1562" i="2"/>
  <c r="L1562" i="2"/>
  <c r="K1562" i="2"/>
  <c r="J1562" i="2"/>
  <c r="O1560" i="2"/>
  <c r="O1562" i="2"/>
  <c r="S1554" i="2"/>
  <c r="R1554" i="2"/>
  <c r="Q1554" i="2"/>
  <c r="O1554" i="2"/>
  <c r="N1554" i="2"/>
  <c r="M1554" i="2"/>
  <c r="L1554" i="2"/>
  <c r="K1554" i="2"/>
  <c r="J1554" i="2"/>
  <c r="R1550" i="2"/>
  <c r="Q1550" i="2"/>
  <c r="O1550" i="2"/>
  <c r="N1550" i="2"/>
  <c r="M1550" i="2"/>
  <c r="L1550" i="2"/>
  <c r="K1550" i="2"/>
  <c r="J1550" i="2"/>
  <c r="R1546" i="2"/>
  <c r="O1546" i="2"/>
  <c r="N1546" i="2"/>
  <c r="M1546" i="2"/>
  <c r="L1546" i="2"/>
  <c r="K1546" i="2"/>
  <c r="J1546" i="2"/>
  <c r="S1541" i="2"/>
  <c r="R1541" i="2"/>
  <c r="Q1541" i="2"/>
  <c r="O1541" i="2"/>
  <c r="N1541" i="2"/>
  <c r="M1541" i="2"/>
  <c r="L1541" i="2"/>
  <c r="K1541" i="2"/>
  <c r="J1541" i="2"/>
  <c r="L1537" i="2"/>
  <c r="K1537" i="2"/>
  <c r="J1537" i="2"/>
  <c r="S1535" i="2"/>
  <c r="R1535" i="2"/>
  <c r="Q1535" i="2"/>
  <c r="M1535" i="2"/>
  <c r="L1535" i="2"/>
  <c r="K1535" i="2"/>
  <c r="J1535" i="2"/>
  <c r="R1525" i="2"/>
  <c r="N1525" i="2"/>
  <c r="M1525" i="2"/>
  <c r="L1525" i="2"/>
  <c r="K1525" i="2"/>
  <c r="J1525" i="2"/>
  <c r="S1523" i="2"/>
  <c r="R1523" i="2"/>
  <c r="Q1523" i="2"/>
  <c r="M1523" i="2"/>
  <c r="L1523" i="2"/>
  <c r="K1523" i="2"/>
  <c r="J1523" i="2"/>
  <c r="S1514" i="2"/>
  <c r="R1514" i="2"/>
  <c r="Q1514" i="2"/>
  <c r="O1514" i="2"/>
  <c r="N1514" i="2"/>
  <c r="M1514" i="2"/>
  <c r="L1514" i="2"/>
  <c r="K1514" i="2"/>
  <c r="J1514" i="2"/>
  <c r="S1501" i="2"/>
  <c r="R1501" i="2"/>
  <c r="Q1501" i="2"/>
  <c r="M1501" i="2"/>
  <c r="L1501" i="2"/>
  <c r="K1501" i="2"/>
  <c r="R1497" i="2"/>
  <c r="M1497" i="2"/>
  <c r="K1497" i="2"/>
  <c r="J1497" i="2"/>
  <c r="R1493" i="2"/>
  <c r="M1493" i="2"/>
  <c r="L1493" i="2"/>
  <c r="K1493" i="2"/>
  <c r="J1493" i="2"/>
  <c r="R1491" i="2"/>
  <c r="Q1491" i="2"/>
  <c r="N1491" i="2"/>
  <c r="M1491" i="2"/>
  <c r="L1491" i="2"/>
  <c r="K1491" i="2"/>
  <c r="J1491" i="2"/>
  <c r="S1488" i="2"/>
  <c r="S1491" i="2"/>
  <c r="O1488" i="2"/>
  <c r="O1491" i="2" s="1"/>
  <c r="R1480" i="2"/>
  <c r="M1480" i="2"/>
  <c r="L1480" i="2"/>
  <c r="K1480" i="2"/>
  <c r="J1480" i="2"/>
  <c r="R1472" i="2"/>
  <c r="O1472" i="2"/>
  <c r="M1472" i="2"/>
  <c r="L1472" i="2"/>
  <c r="K1472" i="2"/>
  <c r="S1468" i="2"/>
  <c r="R1468" i="2"/>
  <c r="Q1468" i="2"/>
  <c r="O1468" i="2"/>
  <c r="N1468" i="2"/>
  <c r="M1468" i="2"/>
  <c r="L1468" i="2"/>
  <c r="K1468" i="2"/>
  <c r="J1468" i="2"/>
  <c r="M1462" i="2"/>
  <c r="L1462" i="2"/>
  <c r="K1462" i="2"/>
  <c r="J1462" i="2"/>
  <c r="R1460" i="2"/>
  <c r="O1460" i="2"/>
  <c r="N1460" i="2"/>
  <c r="M1460" i="2"/>
  <c r="L1460" i="2"/>
  <c r="K1460" i="2"/>
  <c r="J1460" i="2"/>
  <c r="S1457" i="2"/>
  <c r="R1457" i="2"/>
  <c r="Q1457" i="2"/>
  <c r="O1457" i="2"/>
  <c r="M1457" i="2"/>
  <c r="L1457" i="2"/>
  <c r="K1457" i="2"/>
  <c r="S1455" i="2"/>
  <c r="R1455" i="2"/>
  <c r="M1455" i="2"/>
  <c r="L1455" i="2"/>
  <c r="K1455" i="2"/>
  <c r="J1455" i="2"/>
  <c r="S1446" i="2"/>
  <c r="R1446" i="2"/>
  <c r="Q1446" i="2"/>
  <c r="O1446" i="2"/>
  <c r="M1446" i="2"/>
  <c r="L1446" i="2"/>
  <c r="K1446" i="2"/>
  <c r="J1446" i="2"/>
  <c r="R1442" i="2"/>
  <c r="M1442" i="2"/>
  <c r="L1442" i="2"/>
  <c r="K1442" i="2"/>
  <c r="J1442" i="2"/>
  <c r="S1440" i="2"/>
  <c r="R1440" i="2"/>
  <c r="Q1440" i="2"/>
  <c r="O1440" i="2"/>
  <c r="N1440" i="2"/>
  <c r="M1440" i="2"/>
  <c r="L1440" i="2"/>
  <c r="K1440" i="2"/>
  <c r="J1440" i="2"/>
  <c r="M1431" i="2"/>
  <c r="L1431" i="2"/>
  <c r="K1431" i="2"/>
  <c r="J1431" i="2"/>
  <c r="S1427" i="2"/>
  <c r="R1427" i="2"/>
  <c r="Q1427" i="2"/>
  <c r="O1427" i="2"/>
  <c r="N1427" i="2"/>
  <c r="M1427" i="2"/>
  <c r="L1427" i="2"/>
  <c r="K1427" i="2"/>
  <c r="J1427" i="2"/>
  <c r="S1420" i="2"/>
  <c r="R1420" i="2"/>
  <c r="Q1420" i="2"/>
  <c r="O1420" i="2"/>
  <c r="N1420" i="2"/>
  <c r="M1420" i="2"/>
  <c r="L1420" i="2"/>
  <c r="K1420" i="2"/>
  <c r="J1420" i="2"/>
  <c r="S1402" i="2"/>
  <c r="R1402" i="2"/>
  <c r="M1402" i="2"/>
  <c r="L1402" i="2"/>
  <c r="K1402" i="2"/>
  <c r="L1400" i="2"/>
  <c r="K1400" i="2"/>
  <c r="J1400" i="2"/>
  <c r="L1398" i="2"/>
  <c r="K1398" i="2"/>
  <c r="J1398" i="2"/>
  <c r="J1391" i="2"/>
  <c r="R1389" i="2"/>
  <c r="O1389" i="2"/>
  <c r="M1389" i="2"/>
  <c r="L1389" i="2"/>
  <c r="K1389" i="2"/>
  <c r="J1389" i="2"/>
  <c r="R1386" i="2"/>
  <c r="M1386" i="2"/>
  <c r="L1386" i="2"/>
  <c r="K1386" i="2"/>
  <c r="J1386" i="2"/>
  <c r="S1382" i="2"/>
  <c r="R1382" i="2"/>
  <c r="Q1382" i="2"/>
  <c r="O1382" i="2"/>
  <c r="M1382" i="2"/>
  <c r="L1382" i="2"/>
  <c r="K1382" i="2"/>
  <c r="J1382" i="2"/>
  <c r="R1365" i="2"/>
  <c r="M1365" i="2"/>
  <c r="L1365" i="2"/>
  <c r="K1365" i="2"/>
  <c r="J1365" i="2"/>
  <c r="R1363" i="2"/>
  <c r="M1363" i="2"/>
  <c r="L1363" i="2"/>
  <c r="K1363" i="2"/>
  <c r="S1361" i="2"/>
  <c r="R1361" i="2"/>
  <c r="Q1361" i="2"/>
  <c r="O1361" i="2"/>
  <c r="N1361" i="2"/>
  <c r="M1361" i="2"/>
  <c r="L1361" i="2"/>
  <c r="K1361" i="2"/>
  <c r="J1361" i="2"/>
  <c r="S1357" i="2"/>
  <c r="R1357" i="2"/>
  <c r="Q1357" i="2"/>
  <c r="O1357" i="2"/>
  <c r="N1357" i="2"/>
  <c r="M1357" i="2"/>
  <c r="L1357" i="2"/>
  <c r="K1357" i="2"/>
  <c r="J1357" i="2"/>
  <c r="S1350" i="2"/>
  <c r="R1350" i="2"/>
  <c r="Q1350" i="2"/>
  <c r="O1350" i="2"/>
  <c r="M1350" i="2"/>
  <c r="L1350" i="2"/>
  <c r="K1350" i="2"/>
  <c r="R1348" i="2"/>
  <c r="M1348" i="2"/>
  <c r="L1348" i="2"/>
  <c r="K1348" i="2"/>
  <c r="J1348" i="2"/>
  <c r="R1343" i="2"/>
  <c r="N1343" i="2"/>
  <c r="M1343" i="2"/>
  <c r="L1343" i="2"/>
  <c r="K1343" i="2"/>
  <c r="J1343" i="2"/>
  <c r="R1340" i="2"/>
  <c r="M1340" i="2"/>
  <c r="L1340" i="2"/>
  <c r="K1340" i="2"/>
  <c r="J1340" i="2"/>
  <c r="R1338" i="2"/>
  <c r="O1338" i="2"/>
  <c r="M1338" i="2"/>
  <c r="L1338" i="2"/>
  <c r="K1338" i="2"/>
  <c r="J1338" i="2"/>
  <c r="S1330" i="2"/>
  <c r="R1330" i="2"/>
  <c r="Q1330" i="2"/>
  <c r="O1330" i="2"/>
  <c r="N1330" i="2"/>
  <c r="M1330" i="2"/>
  <c r="L1330" i="2"/>
  <c r="K1330" i="2"/>
  <c r="J1330" i="2"/>
  <c r="S1316" i="2"/>
  <c r="R1316" i="2"/>
  <c r="Q1316" i="2"/>
  <c r="M1316" i="2"/>
  <c r="L1316" i="2"/>
  <c r="K1316" i="2"/>
  <c r="J1316" i="2"/>
  <c r="R1304" i="2"/>
  <c r="M1304" i="2"/>
  <c r="L1304" i="2"/>
  <c r="J1304" i="2"/>
  <c r="L1302" i="2"/>
  <c r="S1300" i="2"/>
  <c r="R1300" i="2"/>
  <c r="O1300" i="2"/>
  <c r="N1300" i="2"/>
  <c r="M1300" i="2"/>
  <c r="L1300" i="2"/>
  <c r="K1300" i="2"/>
  <c r="J1300" i="2"/>
  <c r="M1294" i="2"/>
  <c r="L1294" i="2"/>
  <c r="J1294" i="2"/>
  <c r="R1291" i="2"/>
  <c r="R1289" i="2"/>
  <c r="M1289" i="2"/>
  <c r="L1289" i="2"/>
  <c r="K1289" i="2"/>
  <c r="J1289" i="2"/>
  <c r="R1286" i="2"/>
  <c r="O1286" i="2"/>
  <c r="N1286" i="2"/>
  <c r="M1286" i="2"/>
  <c r="L1286" i="2"/>
  <c r="K1286" i="2"/>
  <c r="J1286" i="2"/>
  <c r="S1283" i="2"/>
  <c r="R1283" i="2"/>
  <c r="Q1283" i="2"/>
  <c r="O1283" i="2"/>
  <c r="N1283" i="2"/>
  <c r="M1283" i="2"/>
  <c r="L1283" i="2"/>
  <c r="K1283" i="2"/>
  <c r="J1283" i="2"/>
  <c r="R1278" i="2"/>
  <c r="M1278" i="2"/>
  <c r="L1278" i="2"/>
  <c r="K1278" i="2"/>
  <c r="J1278" i="2"/>
  <c r="S1276" i="2"/>
  <c r="R1276" i="2"/>
  <c r="Q1276" i="2"/>
  <c r="N1276" i="2"/>
  <c r="M1276" i="2"/>
  <c r="L1276" i="2"/>
  <c r="K1276" i="2"/>
  <c r="J1276" i="2"/>
  <c r="R1269" i="2"/>
  <c r="M1269" i="2"/>
  <c r="L1269" i="2"/>
  <c r="K1269" i="2"/>
  <c r="J1269" i="2"/>
  <c r="O1265" i="2"/>
  <c r="N1265" i="2"/>
  <c r="M1265" i="2"/>
  <c r="L1265" i="2"/>
  <c r="K1265" i="2"/>
  <c r="J1265" i="2"/>
  <c r="R1262" i="2"/>
  <c r="O1262" i="2"/>
  <c r="N1262" i="2"/>
  <c r="M1262" i="2"/>
  <c r="L1262" i="2"/>
  <c r="K1262" i="2"/>
  <c r="J1262" i="2"/>
  <c r="R1257" i="2"/>
  <c r="Q1257" i="2"/>
  <c r="O1257" i="2"/>
  <c r="N1257" i="2"/>
  <c r="M1257" i="2"/>
  <c r="L1257" i="2"/>
  <c r="K1257" i="2"/>
  <c r="J1257" i="2"/>
  <c r="R1254" i="2"/>
  <c r="Q1254" i="2"/>
  <c r="O1254" i="2"/>
  <c r="N1254" i="2"/>
  <c r="M1254" i="2"/>
  <c r="L1254" i="2"/>
  <c r="K1254" i="2"/>
  <c r="J1254" i="2"/>
  <c r="L1247" i="2"/>
  <c r="J1247" i="2"/>
  <c r="M1245" i="2"/>
  <c r="L1245" i="2"/>
  <c r="J1245" i="2"/>
  <c r="S1243" i="2"/>
  <c r="R1243" i="2"/>
  <c r="Q1243" i="2"/>
  <c r="O1243" i="2"/>
  <c r="N1243" i="2"/>
  <c r="M1243" i="2"/>
  <c r="L1243" i="2"/>
  <c r="K1243" i="2"/>
  <c r="J1243" i="2"/>
  <c r="R1230" i="2"/>
  <c r="M1230" i="2"/>
  <c r="L1230" i="2"/>
  <c r="J1230" i="2"/>
  <c r="R1227" i="2"/>
  <c r="M1227" i="2"/>
  <c r="L1227" i="2"/>
  <c r="J1227" i="2"/>
  <c r="R1223" i="2"/>
  <c r="N1223" i="2"/>
  <c r="M1223" i="2"/>
  <c r="L1223" i="2"/>
  <c r="K1223" i="2"/>
  <c r="J1223" i="2"/>
  <c r="S1221" i="2"/>
  <c r="R1221" i="2"/>
  <c r="Q1221" i="2"/>
  <c r="O1221" i="2"/>
  <c r="N1221" i="2"/>
  <c r="M1221" i="2"/>
  <c r="L1221" i="2"/>
  <c r="K1221" i="2"/>
  <c r="J1221" i="2"/>
  <c r="R1216" i="2"/>
  <c r="M1216" i="2"/>
  <c r="L1216" i="2"/>
  <c r="K1216" i="2"/>
  <c r="J1216" i="2"/>
  <c r="R1210" i="2"/>
  <c r="M1210" i="2"/>
  <c r="L1210" i="2"/>
  <c r="K1210" i="2"/>
  <c r="R1208" i="2"/>
  <c r="O1208" i="2"/>
  <c r="N1208" i="2"/>
  <c r="M1208" i="2"/>
  <c r="L1208" i="2"/>
  <c r="K1208" i="2"/>
  <c r="J1204" i="2"/>
  <c r="J1208" i="2" s="1"/>
  <c r="S1202" i="2"/>
  <c r="R1202" i="2"/>
  <c r="Q1202" i="2"/>
  <c r="O1202" i="2"/>
  <c r="N1202" i="2"/>
  <c r="M1202" i="2"/>
  <c r="L1202" i="2"/>
  <c r="K1202" i="2"/>
  <c r="J1202" i="2"/>
  <c r="S1197" i="2"/>
  <c r="R1197" i="2"/>
  <c r="Q1197" i="2"/>
  <c r="O1197" i="2"/>
  <c r="N1197" i="2"/>
  <c r="M1197" i="2"/>
  <c r="L1197" i="2"/>
  <c r="K1197" i="2"/>
  <c r="J1197" i="2"/>
  <c r="R1193" i="2"/>
  <c r="M1193" i="2"/>
  <c r="L1193" i="2"/>
  <c r="K1193" i="2"/>
  <c r="J1193" i="2"/>
  <c r="S1191" i="2"/>
  <c r="R1191" i="2"/>
  <c r="Q1191" i="2"/>
  <c r="O1191" i="2"/>
  <c r="N1191" i="2"/>
  <c r="M1191" i="2"/>
  <c r="L1191" i="2"/>
  <c r="K1191" i="2"/>
  <c r="J1191" i="2"/>
  <c r="S1187" i="2"/>
  <c r="R1187" i="2"/>
  <c r="Q1187" i="2"/>
  <c r="O1187" i="2"/>
  <c r="N1187" i="2"/>
  <c r="M1187" i="2"/>
  <c r="L1187" i="2"/>
  <c r="K1187" i="2"/>
  <c r="J1187" i="2"/>
  <c r="R1180" i="2"/>
  <c r="M1180" i="2"/>
  <c r="L1180" i="2"/>
  <c r="K1180" i="2"/>
  <c r="J1180" i="2"/>
  <c r="R1178" i="2"/>
  <c r="M1178" i="2"/>
  <c r="L1178" i="2"/>
  <c r="K1178" i="2"/>
  <c r="J1178" i="2"/>
  <c r="R1173" i="2"/>
  <c r="M1173" i="2"/>
  <c r="L1173" i="2"/>
  <c r="K1173" i="2"/>
  <c r="J1173" i="2"/>
  <c r="S1170" i="2"/>
  <c r="R1170" i="2"/>
  <c r="Q1170" i="2"/>
  <c r="O1170" i="2"/>
  <c r="N1170" i="2"/>
  <c r="M1170" i="2"/>
  <c r="L1170" i="2"/>
  <c r="K1170" i="2"/>
  <c r="J1170" i="2"/>
  <c r="N1156" i="2"/>
  <c r="M1156" i="2"/>
  <c r="L1156" i="2"/>
  <c r="K1156" i="2"/>
  <c r="J1156" i="2"/>
  <c r="R1154" i="2"/>
  <c r="M1154" i="2"/>
  <c r="L1154" i="2"/>
  <c r="K1154" i="2"/>
  <c r="J1154" i="2"/>
  <c r="R1151" i="2"/>
  <c r="M1151" i="2"/>
  <c r="L1151" i="2"/>
  <c r="K1151" i="2"/>
  <c r="J1151" i="2"/>
  <c r="R1148" i="2"/>
  <c r="M1148" i="2"/>
  <c r="L1148" i="2"/>
  <c r="K1148" i="2"/>
  <c r="J1148" i="2"/>
  <c r="R1144" i="2"/>
  <c r="O1144" i="2"/>
  <c r="N1144" i="2"/>
  <c r="M1144" i="2"/>
  <c r="L1144" i="2"/>
  <c r="J1144" i="2"/>
  <c r="S1139" i="2"/>
  <c r="R1139" i="2"/>
  <c r="Q1139" i="2"/>
  <c r="O1139" i="2"/>
  <c r="N1139" i="2"/>
  <c r="M1139" i="2"/>
  <c r="L1139" i="2"/>
  <c r="K1139" i="2"/>
  <c r="J1139" i="2"/>
  <c r="S1135" i="2"/>
  <c r="R1135" i="2"/>
  <c r="M1135" i="2"/>
  <c r="L1135" i="2"/>
  <c r="K1135" i="2"/>
  <c r="S1128" i="2"/>
  <c r="R1128" i="2"/>
  <c r="Q1128" i="2"/>
  <c r="O1128" i="2"/>
  <c r="N1128" i="2"/>
  <c r="M1128" i="2"/>
  <c r="L1128" i="2"/>
  <c r="J1128" i="2"/>
  <c r="S1123" i="2"/>
  <c r="Q1123" i="2"/>
  <c r="N1123" i="2"/>
  <c r="M1123" i="2"/>
  <c r="L1123" i="2"/>
  <c r="K1123" i="2"/>
  <c r="J1123" i="2"/>
  <c r="S1118" i="2"/>
  <c r="Q1118" i="2"/>
  <c r="O1118" i="2"/>
  <c r="N1118" i="2"/>
  <c r="M1118" i="2"/>
  <c r="L1118" i="2"/>
  <c r="K1118" i="2"/>
  <c r="J1118" i="2"/>
  <c r="R1110" i="2"/>
  <c r="O1110" i="2"/>
  <c r="N1110" i="2"/>
  <c r="M1110" i="2"/>
  <c r="L1110" i="2"/>
  <c r="K1110" i="2"/>
  <c r="J1110" i="2"/>
  <c r="S1105" i="2"/>
  <c r="R1105" i="2"/>
  <c r="Q1105" i="2"/>
  <c r="O1105" i="2"/>
  <c r="N1105" i="2"/>
  <c r="M1105" i="2"/>
  <c r="L1105" i="2"/>
  <c r="K1105" i="2"/>
  <c r="J1105" i="2"/>
  <c r="R1091" i="2"/>
  <c r="O1091" i="2"/>
  <c r="M1091" i="2"/>
  <c r="L1091" i="2"/>
  <c r="K1091" i="2"/>
  <c r="J1091" i="2"/>
  <c r="M1088" i="2"/>
  <c r="L1088" i="2"/>
  <c r="R1086" i="2"/>
  <c r="O1086" i="2"/>
  <c r="N1086" i="2"/>
  <c r="M1086" i="2"/>
  <c r="L1086" i="2"/>
  <c r="K1086" i="2"/>
  <c r="J1082" i="2"/>
  <c r="J1086" i="2"/>
  <c r="R1080" i="2"/>
  <c r="M1080" i="2"/>
  <c r="L1080" i="2"/>
  <c r="K1080" i="2"/>
  <c r="J1080" i="2"/>
  <c r="R1078" i="2"/>
  <c r="Q1078" i="2"/>
  <c r="O1078" i="2"/>
  <c r="N1078" i="2"/>
  <c r="M1078" i="2"/>
  <c r="L1078" i="2"/>
  <c r="K1078" i="2"/>
  <c r="J1078" i="2"/>
  <c r="S1072" i="2"/>
  <c r="R1072" i="2"/>
  <c r="Q1072" i="2"/>
  <c r="O1072" i="2"/>
  <c r="N1072" i="2"/>
  <c r="M1072" i="2"/>
  <c r="L1072" i="2"/>
  <c r="K1072" i="2"/>
  <c r="J1072" i="2"/>
  <c r="S1052" i="2"/>
  <c r="R1052" i="2"/>
  <c r="Q1052" i="2"/>
  <c r="O1052" i="2"/>
  <c r="M1052" i="2"/>
  <c r="L1052" i="2"/>
  <c r="K1052" i="2"/>
  <c r="J1052" i="2"/>
  <c r="R1045" i="2"/>
  <c r="M1045" i="2"/>
  <c r="L1045" i="2"/>
  <c r="K1045" i="2"/>
  <c r="J1045" i="2"/>
  <c r="S1042" i="2"/>
  <c r="R1042" i="2"/>
  <c r="Q1042" i="2"/>
  <c r="O1042" i="2"/>
  <c r="M1042" i="2"/>
  <c r="L1042" i="2"/>
  <c r="K1042" i="2"/>
  <c r="J1042" i="2"/>
  <c r="S1029" i="2"/>
  <c r="R1029" i="2"/>
  <c r="Q1029" i="2"/>
  <c r="O1029" i="2"/>
  <c r="M1029" i="2"/>
  <c r="L1029" i="2"/>
  <c r="K1029" i="2"/>
  <c r="S1026" i="2"/>
  <c r="R1026" i="2"/>
  <c r="Q1026" i="2"/>
  <c r="O1026" i="2"/>
  <c r="M1026" i="2"/>
  <c r="L1026" i="2"/>
  <c r="K1026" i="2"/>
  <c r="R1022" i="2"/>
  <c r="N1022" i="2"/>
  <c r="M1022" i="2"/>
  <c r="L1022" i="2"/>
  <c r="K1022" i="2"/>
  <c r="J1022" i="2"/>
  <c r="S1019" i="2"/>
  <c r="R1019" i="2"/>
  <c r="Q1019" i="2"/>
  <c r="O1019" i="2"/>
  <c r="N1019" i="2"/>
  <c r="M1019" i="2"/>
  <c r="L1019" i="2"/>
  <c r="K1019" i="2"/>
  <c r="J1019" i="2"/>
  <c r="R1003" i="2"/>
  <c r="M1003" i="2"/>
  <c r="L1003" i="2"/>
  <c r="J1003" i="2"/>
  <c r="R999" i="2"/>
  <c r="M999" i="2"/>
  <c r="K999" i="2"/>
  <c r="J999" i="2"/>
  <c r="R997" i="2"/>
  <c r="O997" i="2"/>
  <c r="N997" i="2"/>
  <c r="M997" i="2"/>
  <c r="L997" i="2"/>
  <c r="J997" i="2"/>
  <c r="R995" i="2"/>
  <c r="N995" i="2"/>
  <c r="M995" i="2"/>
  <c r="L995" i="2"/>
  <c r="K995" i="2"/>
  <c r="J995" i="2"/>
  <c r="S988" i="2"/>
  <c r="R988" i="2"/>
  <c r="Q988" i="2"/>
  <c r="O988" i="2"/>
  <c r="M988" i="2"/>
  <c r="L988" i="2"/>
  <c r="K988" i="2"/>
  <c r="J988" i="2"/>
  <c r="S981" i="2"/>
  <c r="R981" i="2"/>
  <c r="Q981" i="2"/>
  <c r="O981" i="2"/>
  <c r="M981" i="2"/>
  <c r="L981" i="2"/>
  <c r="K981" i="2"/>
  <c r="R977" i="2"/>
  <c r="O977" i="2"/>
  <c r="N977" i="2"/>
  <c r="M977" i="2"/>
  <c r="L977" i="2"/>
  <c r="K977" i="2"/>
  <c r="J977" i="2"/>
  <c r="J972" i="2"/>
  <c r="O970" i="2"/>
  <c r="N970" i="2"/>
  <c r="M970" i="2"/>
  <c r="L970" i="2"/>
  <c r="K970" i="2"/>
  <c r="J970" i="2"/>
  <c r="S966" i="2"/>
  <c r="R966" i="2"/>
  <c r="Q966" i="2"/>
  <c r="O966" i="2"/>
  <c r="M966" i="2"/>
  <c r="L966" i="2"/>
  <c r="K966" i="2"/>
  <c r="J966" i="2"/>
  <c r="S959" i="2"/>
  <c r="R959" i="2"/>
  <c r="O959" i="2"/>
  <c r="N959" i="2"/>
  <c r="M959" i="2"/>
  <c r="L959" i="2"/>
  <c r="K959" i="2"/>
  <c r="J959" i="2"/>
  <c r="S952" i="2"/>
  <c r="R952" i="2"/>
  <c r="M952" i="2"/>
  <c r="L952" i="2"/>
  <c r="K952" i="2"/>
  <c r="R950" i="2"/>
  <c r="Q950" i="2"/>
  <c r="M950" i="2"/>
  <c r="L950" i="2"/>
  <c r="K950" i="2"/>
  <c r="J950" i="2"/>
  <c r="S947" i="2"/>
  <c r="R947" i="2"/>
  <c r="Q947" i="2"/>
  <c r="O947" i="2"/>
  <c r="M947" i="2"/>
  <c r="L947" i="2"/>
  <c r="K947" i="2"/>
  <c r="R944" i="2"/>
  <c r="M944" i="2"/>
  <c r="L944" i="2"/>
  <c r="J944" i="2"/>
  <c r="S940" i="2"/>
  <c r="R940" i="2"/>
  <c r="Q940" i="2"/>
  <c r="O940" i="2"/>
  <c r="M940" i="2"/>
  <c r="L940" i="2"/>
  <c r="K940" i="2"/>
  <c r="R933" i="2"/>
  <c r="L933" i="2"/>
  <c r="K933" i="2"/>
  <c r="J933" i="2"/>
  <c r="R930" i="2"/>
  <c r="M930" i="2"/>
  <c r="L930" i="2"/>
  <c r="K930" i="2"/>
  <c r="J930" i="2"/>
  <c r="R926" i="2"/>
  <c r="L926" i="2"/>
  <c r="J926" i="2"/>
  <c r="J924" i="2"/>
  <c r="S922" i="2"/>
  <c r="R922" i="2"/>
  <c r="Q922" i="2"/>
  <c r="O922" i="2"/>
  <c r="N922" i="2"/>
  <c r="M922" i="2"/>
  <c r="L922" i="2"/>
  <c r="K922" i="2"/>
  <c r="J922" i="2"/>
  <c r="S912" i="2"/>
  <c r="R912" i="2"/>
  <c r="Q912" i="2"/>
  <c r="O912" i="2"/>
  <c r="N912" i="2"/>
  <c r="M912" i="2"/>
  <c r="L912" i="2"/>
  <c r="K912" i="2"/>
  <c r="J912" i="2"/>
  <c r="R892" i="2"/>
  <c r="O892" i="2"/>
  <c r="M892" i="2"/>
  <c r="L892" i="2"/>
  <c r="K892" i="2"/>
  <c r="S890" i="2"/>
  <c r="R890" i="2"/>
  <c r="Q890" i="2"/>
  <c r="O890" i="2"/>
  <c r="N890" i="2"/>
  <c r="M890" i="2"/>
  <c r="L890" i="2"/>
  <c r="K890" i="2"/>
  <c r="J890" i="2"/>
  <c r="S887" i="2"/>
  <c r="R887" i="2"/>
  <c r="Q887" i="2"/>
  <c r="O887" i="2"/>
  <c r="N887" i="2"/>
  <c r="M887" i="2"/>
  <c r="L887" i="2"/>
  <c r="K887" i="2"/>
  <c r="J887" i="2"/>
  <c r="R877" i="2"/>
  <c r="J877" i="2"/>
  <c r="R875" i="2"/>
  <c r="M875" i="2"/>
  <c r="L875" i="2"/>
  <c r="K875" i="2"/>
  <c r="S872" i="2"/>
  <c r="R872" i="2"/>
  <c r="Q872" i="2"/>
  <c r="O872" i="2"/>
  <c r="N872" i="2"/>
  <c r="M872" i="2"/>
  <c r="L872" i="2"/>
  <c r="K872" i="2"/>
  <c r="J872" i="2"/>
  <c r="S857" i="2"/>
  <c r="R857" i="2"/>
  <c r="Q857" i="2"/>
  <c r="O857" i="2"/>
  <c r="N857" i="2"/>
  <c r="M857" i="2"/>
  <c r="L857" i="2"/>
  <c r="K857" i="2"/>
  <c r="J857" i="2"/>
  <c r="S837" i="2"/>
  <c r="R837" i="2"/>
  <c r="Q837" i="2"/>
  <c r="O837" i="2"/>
  <c r="M837" i="2"/>
  <c r="L837" i="2"/>
  <c r="K837" i="2"/>
  <c r="S824" i="2"/>
  <c r="R824" i="2"/>
  <c r="M824" i="2"/>
  <c r="L824" i="2"/>
  <c r="K824" i="2"/>
  <c r="J824" i="2"/>
  <c r="R815" i="2"/>
  <c r="M815" i="2"/>
  <c r="L815" i="2"/>
  <c r="K815" i="2"/>
  <c r="J815" i="2"/>
  <c r="R813" i="2"/>
  <c r="M813" i="2"/>
  <c r="L813" i="2"/>
  <c r="K813" i="2"/>
  <c r="J813" i="2"/>
  <c r="S810" i="2"/>
  <c r="R810" i="2"/>
  <c r="M810" i="2"/>
  <c r="L810" i="2"/>
  <c r="K810" i="2"/>
  <c r="R808" i="2"/>
  <c r="M808" i="2"/>
  <c r="L808" i="2"/>
  <c r="S806" i="2"/>
  <c r="R806" i="2"/>
  <c r="O806" i="2"/>
  <c r="M806" i="2"/>
  <c r="L806" i="2"/>
  <c r="K806" i="2"/>
  <c r="S794" i="2"/>
  <c r="R794" i="2"/>
  <c r="O794" i="2"/>
  <c r="N794" i="2"/>
  <c r="M794" i="2"/>
  <c r="L794" i="2"/>
  <c r="K794" i="2"/>
  <c r="J794" i="2"/>
  <c r="R788" i="2"/>
  <c r="M788" i="2"/>
  <c r="L788" i="2"/>
  <c r="K788" i="2"/>
  <c r="J788" i="2"/>
  <c r="S785" i="2"/>
  <c r="R785" i="2"/>
  <c r="Q785" i="2"/>
  <c r="O785" i="2"/>
  <c r="N785" i="2"/>
  <c r="M785" i="2"/>
  <c r="L785" i="2"/>
  <c r="K785" i="2"/>
  <c r="J785" i="2"/>
  <c r="S781" i="2"/>
  <c r="R781" i="2"/>
  <c r="Q781" i="2"/>
  <c r="O781" i="2"/>
  <c r="N781" i="2"/>
  <c r="M781" i="2"/>
  <c r="L781" i="2"/>
  <c r="K781" i="2"/>
  <c r="J781" i="2"/>
  <c r="R767" i="2"/>
  <c r="N767" i="2"/>
  <c r="M767" i="2"/>
  <c r="L767" i="2"/>
  <c r="K767" i="2"/>
  <c r="J767" i="2"/>
  <c r="R761" i="2"/>
  <c r="N761" i="2"/>
  <c r="M761" i="2"/>
  <c r="L761" i="2"/>
  <c r="K761" i="2"/>
  <c r="J761" i="2"/>
  <c r="R750" i="2"/>
  <c r="M750" i="2"/>
  <c r="L750" i="2"/>
  <c r="K750" i="2"/>
  <c r="J750" i="2"/>
  <c r="S748" i="2"/>
  <c r="R748" i="2"/>
  <c r="M748" i="2"/>
  <c r="L748" i="2"/>
  <c r="K748" i="2"/>
  <c r="S745" i="2"/>
  <c r="R745" i="2"/>
  <c r="Q745" i="2"/>
  <c r="O745" i="2"/>
  <c r="N745" i="2"/>
  <c r="M745" i="2"/>
  <c r="L745" i="2"/>
  <c r="K745" i="2"/>
  <c r="J745" i="2"/>
  <c r="S741" i="2"/>
  <c r="R741" i="2"/>
  <c r="Q741" i="2"/>
  <c r="O741" i="2"/>
  <c r="N741" i="2"/>
  <c r="M741" i="2"/>
  <c r="L741" i="2"/>
  <c r="K741" i="2"/>
  <c r="J741" i="2"/>
  <c r="M735" i="2"/>
  <c r="K735" i="2"/>
  <c r="J735" i="2"/>
  <c r="R733" i="2"/>
  <c r="O733" i="2"/>
  <c r="M733" i="2"/>
  <c r="L733" i="2"/>
  <c r="K733" i="2"/>
  <c r="K731" i="2"/>
  <c r="J731" i="2"/>
  <c r="R726" i="2"/>
  <c r="O726" i="2"/>
  <c r="M726" i="2"/>
  <c r="L726" i="2"/>
  <c r="K726" i="2"/>
  <c r="J726" i="2"/>
  <c r="S722" i="2"/>
  <c r="R722" i="2"/>
  <c r="Q722" i="2"/>
  <c r="M722" i="2"/>
  <c r="L722" i="2"/>
  <c r="K722" i="2"/>
  <c r="R708" i="2"/>
  <c r="M708" i="2"/>
  <c r="L708" i="2"/>
  <c r="K708" i="2"/>
  <c r="J708" i="2"/>
  <c r="K706" i="2"/>
  <c r="J706" i="2"/>
  <c r="R704" i="2"/>
  <c r="O704" i="2"/>
  <c r="N704" i="2"/>
  <c r="M704" i="2"/>
  <c r="L704" i="2"/>
  <c r="K704" i="2"/>
  <c r="J699" i="2"/>
  <c r="J704" i="2"/>
  <c r="S695" i="2"/>
  <c r="R695" i="2"/>
  <c r="Q695" i="2"/>
  <c r="O695" i="2"/>
  <c r="N695" i="2"/>
  <c r="M695" i="2"/>
  <c r="L695" i="2"/>
  <c r="K695" i="2"/>
  <c r="J695" i="2"/>
  <c r="R686" i="2"/>
  <c r="Q686" i="2"/>
  <c r="O686" i="2"/>
  <c r="N686" i="2"/>
  <c r="M686" i="2"/>
  <c r="L686" i="2"/>
  <c r="K686" i="2"/>
  <c r="J686" i="2"/>
  <c r="R682" i="2"/>
  <c r="M682" i="2"/>
  <c r="L682" i="2"/>
  <c r="K682" i="2"/>
  <c r="J682" i="2"/>
  <c r="S680" i="2"/>
  <c r="R680" i="2"/>
  <c r="Q680" i="2"/>
  <c r="O680" i="2"/>
  <c r="M680" i="2"/>
  <c r="L680" i="2"/>
  <c r="K680" i="2"/>
  <c r="J680" i="2"/>
  <c r="R677" i="2"/>
  <c r="Q677" i="2"/>
  <c r="O677" i="2"/>
  <c r="N677" i="2"/>
  <c r="M677" i="2"/>
  <c r="L677" i="2"/>
  <c r="K677" i="2"/>
  <c r="J677" i="2"/>
  <c r="R674" i="2"/>
  <c r="N674" i="2"/>
  <c r="M674" i="2"/>
  <c r="L674" i="2"/>
  <c r="K674" i="2"/>
  <c r="J674" i="2"/>
  <c r="S672" i="2"/>
  <c r="R672" i="2"/>
  <c r="Q672" i="2"/>
  <c r="O672" i="2"/>
  <c r="N672" i="2"/>
  <c r="M672" i="2"/>
  <c r="L672" i="2"/>
  <c r="K672" i="2"/>
  <c r="J672" i="2"/>
  <c r="R669" i="2"/>
  <c r="Q669" i="2"/>
  <c r="N669" i="2"/>
  <c r="M669" i="2"/>
  <c r="L669" i="2"/>
  <c r="K669" i="2"/>
  <c r="J669" i="2"/>
  <c r="R666" i="2"/>
  <c r="Q666" i="2"/>
  <c r="O666" i="2"/>
  <c r="N666" i="2"/>
  <c r="M666" i="2"/>
  <c r="L666" i="2"/>
  <c r="K666" i="2"/>
  <c r="J666" i="2"/>
  <c r="L663" i="2"/>
  <c r="K663" i="2"/>
  <c r="J663" i="2"/>
  <c r="R660" i="2"/>
  <c r="O660" i="2"/>
  <c r="M660" i="2"/>
  <c r="L660" i="2"/>
  <c r="K660" i="2"/>
  <c r="S658" i="2"/>
  <c r="R658" i="2"/>
  <c r="Q658" i="2"/>
  <c r="O658" i="2"/>
  <c r="N658" i="2"/>
  <c r="M658" i="2"/>
  <c r="L658" i="2"/>
  <c r="K658" i="2"/>
  <c r="J658" i="2"/>
  <c r="S656" i="2"/>
  <c r="R656" i="2"/>
  <c r="Q656" i="2"/>
  <c r="O656" i="2"/>
  <c r="M656" i="2"/>
  <c r="L656" i="2"/>
  <c r="K656" i="2"/>
  <c r="S653" i="2"/>
  <c r="R653" i="2"/>
  <c r="Q653" i="2"/>
  <c r="O653" i="2"/>
  <c r="N653" i="2"/>
  <c r="M653" i="2"/>
  <c r="L653" i="2"/>
  <c r="K653" i="2"/>
  <c r="J653" i="2"/>
  <c r="S650" i="2"/>
  <c r="R650" i="2"/>
  <c r="Q650" i="2"/>
  <c r="M650" i="2"/>
  <c r="L650" i="2"/>
  <c r="K650" i="2"/>
  <c r="S648" i="2"/>
  <c r="R648" i="2"/>
  <c r="Q648" i="2"/>
  <c r="O648" i="2"/>
  <c r="M648" i="2"/>
  <c r="L648" i="2"/>
  <c r="K648" i="2"/>
  <c r="R646" i="2"/>
  <c r="M646" i="2"/>
  <c r="L646" i="2"/>
  <c r="K646" i="2"/>
  <c r="J646" i="2"/>
  <c r="R640" i="2"/>
  <c r="M640" i="2"/>
  <c r="L640" i="2"/>
  <c r="K640" i="2"/>
  <c r="J640" i="2"/>
  <c r="S636" i="2"/>
  <c r="R636" i="2"/>
  <c r="O636" i="2"/>
  <c r="N636" i="2"/>
  <c r="M636" i="2"/>
  <c r="L636" i="2"/>
  <c r="K636" i="2"/>
  <c r="J636" i="2"/>
  <c r="R623" i="2"/>
  <c r="N623" i="2"/>
  <c r="M623" i="2"/>
  <c r="L623" i="2"/>
  <c r="K623" i="2"/>
  <c r="J623" i="2"/>
  <c r="S621" i="2"/>
  <c r="R621" i="2"/>
  <c r="M621" i="2"/>
  <c r="L621" i="2"/>
  <c r="K621" i="2"/>
  <c r="R619" i="2"/>
  <c r="N619" i="2"/>
  <c r="M619" i="2"/>
  <c r="L619" i="2"/>
  <c r="K619" i="2"/>
  <c r="J619" i="2"/>
  <c r="R614" i="2"/>
  <c r="M614" i="2"/>
  <c r="L614" i="2"/>
  <c r="K614" i="2"/>
  <c r="R607" i="2"/>
  <c r="O607" i="2"/>
  <c r="M607" i="2"/>
  <c r="L607" i="2"/>
  <c r="K607" i="2"/>
  <c r="J607" i="2"/>
  <c r="R603" i="2"/>
  <c r="M603" i="2"/>
  <c r="L603" i="2"/>
  <c r="J603" i="2"/>
  <c r="L601" i="2"/>
  <c r="K601" i="2"/>
  <c r="J601" i="2"/>
  <c r="S599" i="2"/>
  <c r="R599" i="2"/>
  <c r="Q599" i="2"/>
  <c r="O599" i="2"/>
  <c r="N599" i="2"/>
  <c r="M599" i="2"/>
  <c r="L599" i="2"/>
  <c r="K599" i="2"/>
  <c r="J599" i="2"/>
  <c r="S586" i="2"/>
  <c r="R586" i="2"/>
  <c r="Q586" i="2"/>
  <c r="O586" i="2"/>
  <c r="M586" i="2"/>
  <c r="L586" i="2"/>
  <c r="K586" i="2"/>
  <c r="R583" i="2"/>
  <c r="O583" i="2"/>
  <c r="N583" i="2"/>
  <c r="M583" i="2"/>
  <c r="L583" i="2"/>
  <c r="K583" i="2"/>
  <c r="J583" i="2"/>
  <c r="R580" i="2"/>
  <c r="L580" i="2"/>
  <c r="K580" i="2"/>
  <c r="J580" i="2"/>
  <c r="S578" i="2"/>
  <c r="R578" i="2"/>
  <c r="O578" i="2"/>
  <c r="N578" i="2"/>
  <c r="M578" i="2"/>
  <c r="L578" i="2"/>
  <c r="K578" i="2"/>
  <c r="J578" i="2"/>
  <c r="S572" i="2"/>
  <c r="R572" i="2"/>
  <c r="Q572" i="2"/>
  <c r="O572" i="2"/>
  <c r="N572" i="2"/>
  <c r="M572" i="2"/>
  <c r="L572" i="2"/>
  <c r="K572" i="2"/>
  <c r="R561" i="2"/>
  <c r="Q561" i="2"/>
  <c r="O561" i="2"/>
  <c r="N561" i="2"/>
  <c r="M561" i="2"/>
  <c r="L561" i="2"/>
  <c r="K561" i="2"/>
  <c r="J561" i="2"/>
  <c r="S558" i="2"/>
  <c r="R558" i="2"/>
  <c r="M558" i="2"/>
  <c r="L558" i="2"/>
  <c r="K558" i="2"/>
  <c r="R556" i="2"/>
  <c r="N556" i="2"/>
  <c r="M556" i="2"/>
  <c r="L556" i="2"/>
  <c r="K556" i="2"/>
  <c r="J556" i="2"/>
  <c r="R553" i="2"/>
  <c r="O553" i="2"/>
  <c r="M553" i="2"/>
  <c r="L553" i="2"/>
  <c r="K553" i="2"/>
  <c r="J553" i="2"/>
  <c r="S548" i="2"/>
  <c r="R548" i="2"/>
  <c r="M548" i="2"/>
  <c r="L548" i="2"/>
  <c r="K548" i="2"/>
  <c r="S546" i="2"/>
  <c r="R546" i="2"/>
  <c r="Q546" i="2"/>
  <c r="M546" i="2"/>
  <c r="L546" i="2"/>
  <c r="K546" i="2"/>
  <c r="J546" i="2"/>
  <c r="R540" i="2"/>
  <c r="N540" i="2"/>
  <c r="M540" i="2"/>
  <c r="L540" i="2"/>
  <c r="K540" i="2"/>
  <c r="J540" i="2"/>
  <c r="S532" i="2"/>
  <c r="R532" i="2"/>
  <c r="Q532" i="2"/>
  <c r="O532" i="2"/>
  <c r="M532" i="2"/>
  <c r="L532" i="2"/>
  <c r="K532" i="2"/>
  <c r="J532" i="2"/>
  <c r="S525" i="2"/>
  <c r="R525" i="2"/>
  <c r="Q525" i="2"/>
  <c r="N525" i="2"/>
  <c r="M525" i="2"/>
  <c r="L525" i="2"/>
  <c r="K525" i="2"/>
  <c r="J525" i="2"/>
  <c r="O523" i="2"/>
  <c r="O525" i="2"/>
  <c r="S517" i="2"/>
  <c r="R517" i="2"/>
  <c r="Q517" i="2"/>
  <c r="O517" i="2"/>
  <c r="N517" i="2"/>
  <c r="M517" i="2"/>
  <c r="L517" i="2"/>
  <c r="K517" i="2"/>
  <c r="J517" i="2"/>
  <c r="R509" i="2"/>
  <c r="M509" i="2"/>
  <c r="L509" i="2"/>
  <c r="K509" i="2"/>
  <c r="J509" i="2"/>
  <c r="M502" i="2"/>
  <c r="L502" i="2"/>
  <c r="K502" i="2"/>
  <c r="J502" i="2"/>
  <c r="S497" i="2"/>
  <c r="R497" i="2"/>
  <c r="Q497" i="2"/>
  <c r="O497" i="2"/>
  <c r="M497" i="2"/>
  <c r="L497" i="2"/>
  <c r="K497" i="2"/>
  <c r="J497" i="2"/>
  <c r="S491" i="2"/>
  <c r="R491" i="2"/>
  <c r="O491" i="2"/>
  <c r="N491" i="2"/>
  <c r="M491" i="2"/>
  <c r="L491" i="2"/>
  <c r="K491" i="2"/>
  <c r="J491" i="2"/>
  <c r="R487" i="2"/>
  <c r="M487" i="2"/>
  <c r="L487" i="2"/>
  <c r="K487" i="2"/>
  <c r="J487" i="2"/>
  <c r="S482" i="2"/>
  <c r="R482" i="2"/>
  <c r="Q482" i="2"/>
  <c r="O482" i="2"/>
  <c r="N482" i="2"/>
  <c r="M482" i="2"/>
  <c r="L482" i="2"/>
  <c r="K482" i="2"/>
  <c r="J482" i="2"/>
  <c r="S462" i="2"/>
  <c r="R462" i="2"/>
  <c r="Q462" i="2"/>
  <c r="O462" i="2"/>
  <c r="M462" i="2"/>
  <c r="L462" i="2"/>
  <c r="K462" i="2"/>
  <c r="R459" i="2"/>
  <c r="J459" i="2"/>
  <c r="K455" i="2"/>
  <c r="J455" i="2"/>
  <c r="R452" i="2"/>
  <c r="M452" i="2"/>
  <c r="L452" i="2"/>
  <c r="K452" i="2"/>
  <c r="J452" i="2"/>
  <c r="L448" i="2"/>
  <c r="K448" i="2"/>
  <c r="J448" i="2"/>
  <c r="R444" i="2"/>
  <c r="O444" i="2"/>
  <c r="M444" i="2"/>
  <c r="L444" i="2"/>
  <c r="K444" i="2"/>
  <c r="J442" i="2"/>
  <c r="S440" i="2"/>
  <c r="R440" i="2"/>
  <c r="Q440" i="2"/>
  <c r="O440" i="2"/>
  <c r="N440" i="2"/>
  <c r="M440" i="2"/>
  <c r="L440" i="2"/>
  <c r="K440" i="2"/>
  <c r="J440" i="2"/>
  <c r="R435" i="2"/>
  <c r="M435" i="2"/>
  <c r="L435" i="2"/>
  <c r="K435" i="2"/>
  <c r="R432" i="2"/>
  <c r="N432" i="2"/>
  <c r="M432" i="2"/>
  <c r="L432" i="2"/>
  <c r="K432" i="2"/>
  <c r="J432" i="2"/>
  <c r="S430" i="2"/>
  <c r="R430" i="2"/>
  <c r="Q430" i="2"/>
  <c r="O430" i="2"/>
  <c r="N430" i="2"/>
  <c r="M430" i="2"/>
  <c r="L430" i="2"/>
  <c r="K430" i="2"/>
  <c r="J430" i="2"/>
  <c r="S427" i="2"/>
  <c r="R427" i="2"/>
  <c r="Q427" i="2"/>
  <c r="O427" i="2"/>
  <c r="N427" i="2"/>
  <c r="M427" i="2"/>
  <c r="L427" i="2"/>
  <c r="K427" i="2"/>
  <c r="J427" i="2"/>
  <c r="S418" i="2"/>
  <c r="R418" i="2"/>
  <c r="Q418" i="2"/>
  <c r="O418" i="2"/>
  <c r="N418" i="2"/>
  <c r="M418" i="2"/>
  <c r="L418" i="2"/>
  <c r="K418" i="2"/>
  <c r="J418" i="2"/>
  <c r="S404" i="2"/>
  <c r="R404" i="2"/>
  <c r="Q404" i="2"/>
  <c r="O404" i="2"/>
  <c r="N404" i="2"/>
  <c r="M404" i="2"/>
  <c r="L404" i="2"/>
  <c r="K404" i="2"/>
  <c r="J404" i="2"/>
  <c r="S401" i="2"/>
  <c r="R401" i="2"/>
  <c r="Q401" i="2"/>
  <c r="O401" i="2"/>
  <c r="N401" i="2"/>
  <c r="M401" i="2"/>
  <c r="L401" i="2"/>
  <c r="K401" i="2"/>
  <c r="J401" i="2"/>
  <c r="S393" i="2"/>
  <c r="R393" i="2"/>
  <c r="Q393" i="2"/>
  <c r="O393" i="2"/>
  <c r="N393" i="2"/>
  <c r="M393" i="2"/>
  <c r="L393" i="2"/>
  <c r="K393" i="2"/>
  <c r="J393" i="2"/>
  <c r="R382" i="2"/>
  <c r="N382" i="2"/>
  <c r="M382" i="2"/>
  <c r="L382" i="2"/>
  <c r="K382" i="2"/>
  <c r="J382" i="2"/>
  <c r="S380" i="2"/>
  <c r="R380" i="2"/>
  <c r="Q380" i="2"/>
  <c r="O380" i="2"/>
  <c r="N380" i="2"/>
  <c r="M380" i="2"/>
  <c r="L380" i="2"/>
  <c r="K380" i="2"/>
  <c r="J380" i="2"/>
  <c r="S366" i="2"/>
  <c r="R366" i="2"/>
  <c r="Q366" i="2"/>
  <c r="O366" i="2"/>
  <c r="M366" i="2"/>
  <c r="L366" i="2"/>
  <c r="K366" i="2"/>
  <c r="R362" i="2"/>
  <c r="Q362" i="2"/>
  <c r="O362" i="2"/>
  <c r="N362" i="2"/>
  <c r="M362" i="2"/>
  <c r="L362" i="2"/>
  <c r="K362" i="2"/>
  <c r="J362" i="2"/>
  <c r="S359" i="2"/>
  <c r="R359" i="2"/>
  <c r="Q359" i="2"/>
  <c r="O359" i="2"/>
  <c r="N359" i="2"/>
  <c r="M359" i="2"/>
  <c r="L359" i="2"/>
  <c r="K359" i="2"/>
  <c r="J359" i="2"/>
  <c r="S322" i="2"/>
  <c r="R322" i="2"/>
  <c r="Q322" i="2"/>
  <c r="O322" i="2"/>
  <c r="N322" i="2"/>
  <c r="M322" i="2"/>
  <c r="L322" i="2"/>
  <c r="K322" i="2"/>
  <c r="J322" i="2"/>
  <c r="R320" i="2"/>
  <c r="S317" i="2"/>
  <c r="R317" i="2"/>
  <c r="M317" i="2"/>
  <c r="L317" i="2"/>
  <c r="K317" i="2"/>
  <c r="J317" i="2"/>
  <c r="S313" i="2"/>
  <c r="R313" i="2"/>
  <c r="Q313" i="2"/>
  <c r="N313" i="2"/>
  <c r="M313" i="2"/>
  <c r="L313" i="2"/>
  <c r="K313" i="2"/>
  <c r="J313" i="2"/>
  <c r="O312" i="2"/>
  <c r="O313" i="2"/>
  <c r="S310" i="2"/>
  <c r="R310" i="2"/>
  <c r="Q310" i="2"/>
  <c r="O310" i="2"/>
  <c r="N310" i="2"/>
  <c r="M310" i="2"/>
  <c r="L310" i="2"/>
  <c r="K310" i="2"/>
  <c r="J310" i="2"/>
  <c r="S296" i="2"/>
  <c r="R296" i="2"/>
  <c r="Q296" i="2"/>
  <c r="O296" i="2"/>
  <c r="N296" i="2"/>
  <c r="M296" i="2"/>
  <c r="L296" i="2"/>
  <c r="K296" i="2"/>
  <c r="J296" i="2"/>
  <c r="S285" i="2"/>
  <c r="R285" i="2"/>
  <c r="Q285" i="2"/>
  <c r="O285" i="2"/>
  <c r="N285" i="2"/>
  <c r="M285" i="2"/>
  <c r="L285" i="2"/>
  <c r="K285" i="2"/>
  <c r="J285" i="2"/>
  <c r="R270" i="2"/>
  <c r="M270" i="2"/>
  <c r="L270" i="2"/>
  <c r="K270" i="2"/>
  <c r="J270" i="2"/>
  <c r="R265" i="2"/>
  <c r="N265" i="2"/>
  <c r="M265" i="2"/>
  <c r="L265" i="2"/>
  <c r="K265" i="2"/>
  <c r="J265" i="2"/>
  <c r="R239" i="2"/>
  <c r="O239" i="2"/>
  <c r="N239" i="2"/>
  <c r="M239" i="2"/>
  <c r="L239" i="2"/>
  <c r="K239" i="2"/>
  <c r="J233" i="2"/>
  <c r="J232" i="2"/>
  <c r="J231" i="2"/>
  <c r="J230" i="2"/>
  <c r="R229" i="2"/>
  <c r="O229" i="2"/>
  <c r="N229" i="2"/>
  <c r="M229" i="2"/>
  <c r="L229" i="2"/>
  <c r="K229" i="2"/>
  <c r="J229" i="2"/>
  <c r="S220" i="2"/>
  <c r="R220" i="2"/>
  <c r="Q220" i="2"/>
  <c r="O220" i="2"/>
  <c r="M220" i="2"/>
  <c r="L220" i="2"/>
  <c r="K220" i="2"/>
  <c r="N218" i="2"/>
  <c r="M218" i="2"/>
  <c r="L218" i="2"/>
  <c r="K218" i="2"/>
  <c r="J218" i="2"/>
  <c r="S215" i="2"/>
  <c r="R215" i="2"/>
  <c r="Q215" i="2"/>
  <c r="O215" i="2"/>
  <c r="M215" i="2"/>
  <c r="L215" i="2"/>
  <c r="K215" i="2"/>
  <c r="R211" i="2"/>
  <c r="O211" i="2"/>
  <c r="M211" i="2"/>
  <c r="L211" i="2"/>
  <c r="K211" i="2"/>
  <c r="S208" i="2"/>
  <c r="R208" i="2"/>
  <c r="Q208" i="2"/>
  <c r="O208" i="2"/>
  <c r="N208" i="2"/>
  <c r="M208" i="2"/>
  <c r="L208" i="2"/>
  <c r="K208" i="2"/>
  <c r="J208" i="2"/>
  <c r="R197" i="2"/>
  <c r="M197" i="2"/>
  <c r="L197" i="2"/>
  <c r="J197" i="2"/>
  <c r="R195" i="2"/>
  <c r="O195" i="2"/>
  <c r="M195" i="2"/>
  <c r="L195" i="2"/>
  <c r="K195" i="2"/>
  <c r="R193" i="2"/>
  <c r="O193" i="2"/>
  <c r="M193" i="2"/>
  <c r="L193" i="2"/>
  <c r="K193" i="2"/>
  <c r="J193" i="2"/>
  <c r="S189" i="2"/>
  <c r="R189" i="2"/>
  <c r="Q189" i="2"/>
  <c r="O189" i="2"/>
  <c r="N189" i="2"/>
  <c r="M189" i="2"/>
  <c r="L189" i="2"/>
  <c r="K189" i="2"/>
  <c r="J189" i="2"/>
  <c r="S185" i="2"/>
  <c r="R185" i="2"/>
  <c r="Q185" i="2"/>
  <c r="O185" i="2"/>
  <c r="N185" i="2"/>
  <c r="M185" i="2"/>
  <c r="L185" i="2"/>
  <c r="K185" i="2"/>
  <c r="J185" i="2"/>
  <c r="R181" i="2"/>
  <c r="Q181" i="2"/>
  <c r="O181" i="2"/>
  <c r="N181" i="2"/>
  <c r="M181" i="2"/>
  <c r="L181" i="2"/>
  <c r="K181" i="2"/>
  <c r="J181" i="2"/>
  <c r="S178" i="2"/>
  <c r="R178" i="2"/>
  <c r="Q178" i="2"/>
  <c r="M178" i="2"/>
  <c r="L178" i="2"/>
  <c r="K178" i="2"/>
  <c r="S175" i="2"/>
  <c r="R175" i="2"/>
  <c r="Q175" i="2"/>
  <c r="O175" i="2"/>
  <c r="N175" i="2"/>
  <c r="M175" i="2"/>
  <c r="L175" i="2"/>
  <c r="K175" i="2"/>
  <c r="J175" i="2"/>
  <c r="S170" i="2"/>
  <c r="R170" i="2"/>
  <c r="Q170" i="2"/>
  <c r="O170" i="2"/>
  <c r="M170" i="2"/>
  <c r="L170" i="2"/>
  <c r="K170" i="2"/>
  <c r="Q161" i="2"/>
  <c r="O161" i="2"/>
  <c r="N161" i="2"/>
  <c r="M161" i="2"/>
  <c r="L161" i="2"/>
  <c r="J161" i="2"/>
  <c r="S159" i="2"/>
  <c r="R159" i="2"/>
  <c r="Q159" i="2"/>
  <c r="O159" i="2"/>
  <c r="M159" i="2"/>
  <c r="L159" i="2"/>
  <c r="K159" i="2"/>
  <c r="S157" i="2"/>
  <c r="R157" i="2"/>
  <c r="Q157" i="2"/>
  <c r="O157" i="2"/>
  <c r="M157" i="2"/>
  <c r="L157" i="2"/>
  <c r="K157" i="2"/>
  <c r="S151" i="2"/>
  <c r="R151" i="2"/>
  <c r="Q151" i="2"/>
  <c r="O151" i="2"/>
  <c r="M151" i="2"/>
  <c r="L151" i="2"/>
  <c r="K151" i="2"/>
  <c r="S144" i="2"/>
  <c r="R144" i="2"/>
  <c r="Q144" i="2"/>
  <c r="O144" i="2"/>
  <c r="M144" i="2"/>
  <c r="L144" i="2"/>
  <c r="K144" i="2"/>
  <c r="J144" i="2"/>
  <c r="S136" i="2"/>
  <c r="R136" i="2"/>
  <c r="Q136" i="2"/>
  <c r="O136" i="2"/>
  <c r="N136" i="2"/>
  <c r="M136" i="2"/>
  <c r="L136" i="2"/>
  <c r="K136" i="2"/>
  <c r="J136" i="2"/>
  <c r="J130" i="2"/>
  <c r="J127" i="2"/>
  <c r="R124" i="2"/>
  <c r="S122" i="2"/>
  <c r="R122" i="2"/>
  <c r="O122" i="2"/>
  <c r="M122" i="2"/>
  <c r="L122" i="2"/>
  <c r="K122" i="2"/>
  <c r="J122" i="2"/>
  <c r="S102" i="2"/>
  <c r="R102" i="2"/>
  <c r="Q102" i="2"/>
  <c r="O102" i="2"/>
  <c r="N102" i="2"/>
  <c r="M102" i="2"/>
  <c r="L102" i="2"/>
  <c r="K102" i="2"/>
  <c r="J102" i="2"/>
  <c r="R87" i="2"/>
  <c r="M87" i="2"/>
  <c r="L87" i="2"/>
  <c r="S83" i="2"/>
  <c r="R83" i="2"/>
  <c r="Q83" i="2"/>
  <c r="N83" i="2"/>
  <c r="M83" i="2"/>
  <c r="L83" i="2"/>
  <c r="K83" i="2"/>
  <c r="J83" i="2"/>
  <c r="O72" i="2"/>
  <c r="O83" i="2"/>
  <c r="S69" i="2"/>
  <c r="R69" i="2"/>
  <c r="Q69" i="2"/>
  <c r="O69" i="2"/>
  <c r="N69" i="2"/>
  <c r="M69" i="2"/>
  <c r="L69" i="2"/>
  <c r="K69" i="2"/>
  <c r="J69" i="2"/>
  <c r="R53" i="2"/>
  <c r="M53" i="2"/>
  <c r="L53" i="2"/>
  <c r="J53" i="2"/>
  <c r="M48" i="2"/>
  <c r="R46" i="2"/>
  <c r="O46" i="2"/>
  <c r="M46" i="2"/>
  <c r="L46" i="2"/>
  <c r="K46" i="2"/>
  <c r="J46" i="2"/>
  <c r="N44" i="2"/>
  <c r="M44" i="2"/>
  <c r="L44" i="2"/>
  <c r="K44" i="2"/>
  <c r="J44" i="2"/>
  <c r="S42" i="2"/>
  <c r="R42" i="2"/>
  <c r="O42" i="2"/>
  <c r="N42" i="2"/>
  <c r="L42" i="2"/>
  <c r="K42" i="2"/>
  <c r="S34" i="2"/>
  <c r="R34" i="2"/>
  <c r="Q34" i="2"/>
  <c r="O34" i="2"/>
  <c r="N34" i="2"/>
  <c r="M34" i="2"/>
  <c r="L34" i="2"/>
  <c r="K34" i="2"/>
  <c r="J1613" i="2"/>
  <c r="J1530" i="2"/>
  <c r="J757" i="2"/>
  <c r="J239" i="2"/>
  <c r="J802" i="2"/>
  <c r="P36" i="10" l="1"/>
  <c r="P37" i="10" s="1"/>
  <c r="P34" i="10"/>
  <c r="P35" i="10" s="1"/>
  <c r="P38" i="10"/>
  <c r="O40" i="10"/>
  <c r="O41" i="10" s="1"/>
  <c r="O39" i="10"/>
  <c r="K39" i="10"/>
  <c r="K40" i="10"/>
  <c r="K41" i="10" s="1"/>
  <c r="R36" i="10"/>
  <c r="R37" i="10" s="1"/>
  <c r="R34" i="10"/>
  <c r="R35" i="10" s="1"/>
  <c r="N34" i="10"/>
  <c r="N35" i="10" s="1"/>
  <c r="N36" i="10"/>
  <c r="N37" i="10" s="1"/>
  <c r="N38" i="10"/>
  <c r="R38" i="10"/>
  <c r="S36" i="10"/>
  <c r="S37" i="10" s="1"/>
  <c r="S34" i="10"/>
  <c r="S35" i="10" s="1"/>
  <c r="L34" i="10"/>
  <c r="L35" i="10" s="1"/>
  <c r="L38" i="10"/>
  <c r="M28" i="10"/>
  <c r="M38" i="10" s="1"/>
  <c r="M33" i="10"/>
  <c r="M34" i="10"/>
  <c r="M35" i="10" s="1"/>
  <c r="L33" i="10"/>
  <c r="M36" i="10"/>
  <c r="M37" i="10" s="1"/>
  <c r="L36" i="10"/>
  <c r="L37" i="10" s="1"/>
  <c r="O34" i="10"/>
  <c r="O35" i="10" s="1"/>
  <c r="R39" i="10" l="1"/>
  <c r="R40" i="10"/>
  <c r="R41" i="10" s="1"/>
  <c r="N39" i="10"/>
  <c r="N40" i="10"/>
  <c r="N41" i="10" s="1"/>
  <c r="P39" i="10"/>
  <c r="P40" i="10"/>
  <c r="P41" i="10" s="1"/>
  <c r="M40" i="10"/>
  <c r="M41" i="10" s="1"/>
  <c r="M39" i="10"/>
  <c r="L39" i="10"/>
  <c r="L40" i="10"/>
  <c r="L41" i="10" s="1"/>
</calcChain>
</file>

<file path=xl/sharedStrings.xml><?xml version="1.0" encoding="utf-8"?>
<sst xmlns="http://schemas.openxmlformats.org/spreadsheetml/2006/main" count="14659" uniqueCount="1094">
  <si>
    <t xml:space="preserve"> </t>
  </si>
  <si>
    <t>Genus</t>
  </si>
  <si>
    <t>Species</t>
  </si>
  <si>
    <t>Common Name</t>
  </si>
  <si>
    <t>Life Cycle</t>
  </si>
  <si>
    <t>Form</t>
  </si>
  <si>
    <t>Aquatic</t>
  </si>
  <si>
    <t>Part</t>
  </si>
  <si>
    <t>Source</t>
  </si>
  <si>
    <t xml:space="preserve">Water </t>
  </si>
  <si>
    <t xml:space="preserve">Fiber </t>
  </si>
  <si>
    <t xml:space="preserve">Calcium </t>
  </si>
  <si>
    <t>Iron mg/100g</t>
  </si>
  <si>
    <t>Magnesium</t>
  </si>
  <si>
    <t>Zinc</t>
  </si>
  <si>
    <t>Folate (B9)</t>
  </si>
  <si>
    <t>Ascorbic Acid (C) mg/100g</t>
  </si>
  <si>
    <t xml:space="preserve">Tocopherol/Tocotrienol (E) </t>
  </si>
  <si>
    <t>%</t>
  </si>
  <si>
    <t>mg/100g</t>
  </si>
  <si>
    <t>RAE mg/100gm</t>
  </si>
  <si>
    <t>micrograms (ug)/100gm</t>
  </si>
  <si>
    <t>mg/100gm</t>
  </si>
  <si>
    <t>Abelmoschus</t>
  </si>
  <si>
    <t>esculentus</t>
  </si>
  <si>
    <t>A/P</t>
  </si>
  <si>
    <t>herb/woody</t>
  </si>
  <si>
    <t>unripe fruit</t>
  </si>
  <si>
    <t>fruit</t>
  </si>
  <si>
    <t>okra</t>
  </si>
  <si>
    <t>manihot</t>
  </si>
  <si>
    <t>perennial</t>
  </si>
  <si>
    <t>woody</t>
  </si>
  <si>
    <t>leaf</t>
  </si>
  <si>
    <t>edible hibiscus</t>
  </si>
  <si>
    <t>Acacia</t>
  </si>
  <si>
    <t>coriacea</t>
  </si>
  <si>
    <t>unripe seed</t>
  </si>
  <si>
    <t>gunandru</t>
  </si>
  <si>
    <t>pennata</t>
  </si>
  <si>
    <t>Acanthosicyos</t>
  </si>
  <si>
    <t>naudianus</t>
  </si>
  <si>
    <t>vine</t>
  </si>
  <si>
    <t>gemsbok cucumber</t>
  </si>
  <si>
    <t>Acmella</t>
  </si>
  <si>
    <t>oleracea</t>
  </si>
  <si>
    <t>herb</t>
  </si>
  <si>
    <t>spilanthes</t>
  </si>
  <si>
    <t>Adansonia</t>
  </si>
  <si>
    <t>digitata</t>
  </si>
  <si>
    <t>baobab</t>
  </si>
  <si>
    <t>Allium</t>
  </si>
  <si>
    <t>ampeloprasum</t>
  </si>
  <si>
    <t xml:space="preserve">ampeloprasum </t>
  </si>
  <si>
    <t>leek</t>
  </si>
  <si>
    <t/>
  </si>
  <si>
    <t>annual</t>
  </si>
  <si>
    <t>chinense</t>
  </si>
  <si>
    <t>rakkyo</t>
  </si>
  <si>
    <t xml:space="preserve">Allium </t>
  </si>
  <si>
    <t>fistulosum</t>
  </si>
  <si>
    <t>Welsh onion</t>
  </si>
  <si>
    <t>tuberosum</t>
  </si>
  <si>
    <t>garlic chives</t>
  </si>
  <si>
    <t>tricoccum</t>
  </si>
  <si>
    <t>ramps</t>
  </si>
  <si>
    <t>flowerstalk</t>
  </si>
  <si>
    <t>leaf, blanched</t>
  </si>
  <si>
    <t>giant taro</t>
  </si>
  <si>
    <t>Alternanthera</t>
  </si>
  <si>
    <t>sessilis</t>
  </si>
  <si>
    <t>aquatic</t>
  </si>
  <si>
    <t xml:space="preserve">Alternanthera </t>
  </si>
  <si>
    <t>Amaranthus</t>
  </si>
  <si>
    <t>cruentus</t>
  </si>
  <si>
    <t>amaranth</t>
  </si>
  <si>
    <t>dubious</t>
  </si>
  <si>
    <t>hypochondriacus</t>
  </si>
  <si>
    <t>retroflexus</t>
  </si>
  <si>
    <t>spp.</t>
  </si>
  <si>
    <t>tricolor</t>
  </si>
  <si>
    <t>PROSEA 9: Carbohydrates</t>
  </si>
  <si>
    <t>Angelica</t>
  </si>
  <si>
    <t>keiskei</t>
  </si>
  <si>
    <t>asitaba</t>
  </si>
  <si>
    <t>Anredera</t>
  </si>
  <si>
    <t>cordifolia</t>
  </si>
  <si>
    <t>Madeira vine</t>
  </si>
  <si>
    <t>americana</t>
  </si>
  <si>
    <t>Apium</t>
  </si>
  <si>
    <t>graveolens</t>
  </si>
  <si>
    <t>petiole</t>
  </si>
  <si>
    <t>celery</t>
  </si>
  <si>
    <t>Aralia</t>
  </si>
  <si>
    <t>cordata</t>
  </si>
  <si>
    <t>udo</t>
  </si>
  <si>
    <t>elata</t>
  </si>
  <si>
    <t>angelica tree</t>
  </si>
  <si>
    <t>Artemisia</t>
  </si>
  <si>
    <t>lactiflora</t>
  </si>
  <si>
    <t>white mugwort</t>
  </si>
  <si>
    <t>princeps</t>
  </si>
  <si>
    <t>Korean mugwort</t>
  </si>
  <si>
    <t>Asclepias</t>
  </si>
  <si>
    <t>syriaca</t>
  </si>
  <si>
    <t>leaves</t>
  </si>
  <si>
    <t>milkweed</t>
  </si>
  <si>
    <t>Asparagus</t>
  </si>
  <si>
    <t>officinalis</t>
  </si>
  <si>
    <t>asparagus</t>
  </si>
  <si>
    <t>Asplenium</t>
  </si>
  <si>
    <t>nidus</t>
  </si>
  <si>
    <t>birds nest fern</t>
  </si>
  <si>
    <t>Asystasia</t>
  </si>
  <si>
    <t>gangetica</t>
  </si>
  <si>
    <t>tropical violet</t>
  </si>
  <si>
    <t>Atriplex</t>
  </si>
  <si>
    <t>halimus</t>
  </si>
  <si>
    <t>saltbush</t>
  </si>
  <si>
    <t>"Seasonal Composition of Leaves of Three Atriplex halimus Natural Populations Grown in a Common Garden"</t>
  </si>
  <si>
    <t>hortensis</t>
  </si>
  <si>
    <t xml:space="preserve">leaf </t>
  </si>
  <si>
    <t>orach</t>
  </si>
  <si>
    <t>Bactris</t>
  </si>
  <si>
    <t>gasipaes</t>
  </si>
  <si>
    <t xml:space="preserve">Bactris </t>
  </si>
  <si>
    <t>"Hearts of Palm (Bactris, Euterpe and others)"</t>
  </si>
  <si>
    <t>Encyclopedia of Fruits and Nuts</t>
  </si>
  <si>
    <t>peach palm</t>
  </si>
  <si>
    <t>Bambusa</t>
  </si>
  <si>
    <t>spp</t>
  </si>
  <si>
    <t>shoot</t>
  </si>
  <si>
    <t>bamboo</t>
  </si>
  <si>
    <t>Barbarea</t>
  </si>
  <si>
    <t>verna</t>
  </si>
  <si>
    <t>winter cress</t>
  </si>
  <si>
    <t>Basella</t>
  </si>
  <si>
    <t>alba</t>
  </si>
  <si>
    <t>alba (green)</t>
  </si>
  <si>
    <t>alba (red)</t>
  </si>
  <si>
    <t>Malabar spinach</t>
  </si>
  <si>
    <t>Benincasa</t>
  </si>
  <si>
    <t>hispida</t>
  </si>
  <si>
    <t xml:space="preserve"> vine</t>
  </si>
  <si>
    <t>wax gourd</t>
  </si>
  <si>
    <t>Beta</t>
  </si>
  <si>
    <t>vulgaris</t>
  </si>
  <si>
    <t xml:space="preserve">Beta </t>
  </si>
  <si>
    <t xml:space="preserve">vulgaris </t>
  </si>
  <si>
    <t>chard, beet greens</t>
  </si>
  <si>
    <t>sea beet</t>
  </si>
  <si>
    <t>Bidens</t>
  </si>
  <si>
    <t>pilosa</t>
  </si>
  <si>
    <t>bidens</t>
  </si>
  <si>
    <t>Blighia</t>
  </si>
  <si>
    <t>sapida</t>
  </si>
  <si>
    <t>fruit aril</t>
  </si>
  <si>
    <t>akee</t>
  </si>
  <si>
    <t>Brasenia</t>
  </si>
  <si>
    <t>schreiberi</t>
  </si>
  <si>
    <t>water sheild</t>
  </si>
  <si>
    <t>Brassica</t>
  </si>
  <si>
    <t>rapa</t>
  </si>
  <si>
    <t xml:space="preserve">rapa </t>
  </si>
  <si>
    <t xml:space="preserve">Brassica </t>
  </si>
  <si>
    <t>Chinese cabbage, pak choi, (&amp; turnip greens)</t>
  </si>
  <si>
    <t>flowerbud</t>
  </si>
  <si>
    <t>broccoli raab</t>
  </si>
  <si>
    <t>carinata</t>
  </si>
  <si>
    <t>Ethiopian kale</t>
  </si>
  <si>
    <t>juncea</t>
  </si>
  <si>
    <t>mustard greens</t>
  </si>
  <si>
    <t>napus</t>
  </si>
  <si>
    <t>P/A</t>
  </si>
  <si>
    <t>ragged jack kale</t>
  </si>
  <si>
    <t>kale &amp; collards</t>
  </si>
  <si>
    <t xml:space="preserve">broccoli   </t>
  </si>
  <si>
    <t>oleracea brussel sprouts</t>
  </si>
  <si>
    <t>brussels sprouts</t>
  </si>
  <si>
    <t>cabbage</t>
  </si>
  <si>
    <t>cauliflower</t>
  </si>
  <si>
    <t xml:space="preserve">  </t>
  </si>
  <si>
    <t>gai lan</t>
  </si>
  <si>
    <t>stem</t>
  </si>
  <si>
    <t>kohlrabi</t>
  </si>
  <si>
    <t>Broussonetia</t>
  </si>
  <si>
    <t>luzonicus</t>
  </si>
  <si>
    <t xml:space="preserve">flower </t>
  </si>
  <si>
    <t>luzonica</t>
  </si>
  <si>
    <t>anabó</t>
  </si>
  <si>
    <t>Cajanus</t>
  </si>
  <si>
    <t>cajan</t>
  </si>
  <si>
    <t xml:space="preserve">Cajanus </t>
  </si>
  <si>
    <t>pigeon pea</t>
  </si>
  <si>
    <t>green pod</t>
  </si>
  <si>
    <t>Calamus</t>
  </si>
  <si>
    <t>formosanus</t>
  </si>
  <si>
    <t>rattan</t>
  </si>
  <si>
    <t>Canavalia</t>
  </si>
  <si>
    <t>ensiformis</t>
  </si>
  <si>
    <t>jack bean</t>
  </si>
  <si>
    <t>gladiata</t>
  </si>
  <si>
    <t>sword bean</t>
  </si>
  <si>
    <t>indica</t>
  </si>
  <si>
    <t>Capsicum</t>
  </si>
  <si>
    <t>annuum</t>
  </si>
  <si>
    <t>pepper</t>
  </si>
  <si>
    <t xml:space="preserve">Capsicum </t>
  </si>
  <si>
    <t>Capsium</t>
  </si>
  <si>
    <t>Capsiucum</t>
  </si>
  <si>
    <t>pubescens</t>
  </si>
  <si>
    <t>rocoto pepper</t>
  </si>
  <si>
    <t>Carica</t>
  </si>
  <si>
    <t>papaya</t>
  </si>
  <si>
    <t>fruit unripe</t>
  </si>
  <si>
    <t>Celosia</t>
  </si>
  <si>
    <t>argentea</t>
  </si>
  <si>
    <t>quail grass</t>
  </si>
  <si>
    <t>Centella</t>
  </si>
  <si>
    <t>asiatica</t>
  </si>
  <si>
    <t>gotu kola</t>
  </si>
  <si>
    <t>Chenopodium</t>
  </si>
  <si>
    <t>bonus-henricus</t>
  </si>
  <si>
    <t>good King Henry</t>
  </si>
  <si>
    <t>quinoa</t>
  </si>
  <si>
    <t>Cichorium</t>
  </si>
  <si>
    <t>endiva</t>
  </si>
  <si>
    <t>endive</t>
  </si>
  <si>
    <t>intybus</t>
  </si>
  <si>
    <t>chicory</t>
  </si>
  <si>
    <t>Cleome</t>
  </si>
  <si>
    <t>gynandra</t>
  </si>
  <si>
    <t>cleome</t>
  </si>
  <si>
    <t>Cnidoscolus</t>
  </si>
  <si>
    <t>aconitifolius</t>
  </si>
  <si>
    <t>chaya</t>
  </si>
  <si>
    <t>Coccinia</t>
  </si>
  <si>
    <t>grandis</t>
  </si>
  <si>
    <t>ivy gourd</t>
  </si>
  <si>
    <t>fruit ripe</t>
  </si>
  <si>
    <t>sessilifolia</t>
  </si>
  <si>
    <t>Kalahari cucumber</t>
  </si>
  <si>
    <t>Colocasia</t>
  </si>
  <si>
    <t>antiquorum</t>
  </si>
  <si>
    <t>eddo</t>
  </si>
  <si>
    <t>esculenta</t>
  </si>
  <si>
    <t>taro</t>
  </si>
  <si>
    <t xml:space="preserve">Colocasia </t>
  </si>
  <si>
    <t xml:space="preserve">esculenta </t>
  </si>
  <si>
    <t>Combretum</t>
  </si>
  <si>
    <t>indicum</t>
  </si>
  <si>
    <t>rangoon creeper</t>
  </si>
  <si>
    <t>Commelina</t>
  </si>
  <si>
    <t>benghalensis</t>
  </si>
  <si>
    <t>Food Composition Table for Bangladesh</t>
  </si>
  <si>
    <t>géwor</t>
  </si>
  <si>
    <t>Corchorus</t>
  </si>
  <si>
    <t>capsularis</t>
  </si>
  <si>
    <t>olitorius</t>
  </si>
  <si>
    <t xml:space="preserve">Corchorus </t>
  </si>
  <si>
    <t>molokhia</t>
  </si>
  <si>
    <t>Cosmos</t>
  </si>
  <si>
    <t>caudatus</t>
  </si>
  <si>
    <t>Crambe</t>
  </si>
  <si>
    <t>maritima</t>
  </si>
  <si>
    <t>sea kale</t>
  </si>
  <si>
    <t>Crassocephalum</t>
  </si>
  <si>
    <t>crepidioides</t>
  </si>
  <si>
    <t>Crotalaria</t>
  </si>
  <si>
    <t>longirostrata</t>
  </si>
  <si>
    <t xml:space="preserve">leaf  </t>
  </si>
  <si>
    <t>chipilin</t>
  </si>
  <si>
    <t>Cucumis</t>
  </si>
  <si>
    <t>anguria</t>
  </si>
  <si>
    <t>melo</t>
  </si>
  <si>
    <t>pickling melon</t>
  </si>
  <si>
    <t>metuliferus</t>
  </si>
  <si>
    <t>sativus</t>
  </si>
  <si>
    <t xml:space="preserve">Cucumis </t>
  </si>
  <si>
    <t>Cucumus</t>
  </si>
  <si>
    <t>cucumber</t>
  </si>
  <si>
    <t>Cucurbita</t>
  </si>
  <si>
    <t>ficifolia</t>
  </si>
  <si>
    <t>chilacayote</t>
  </si>
  <si>
    <t xml:space="preserve">fruit  </t>
  </si>
  <si>
    <t>maxima</t>
  </si>
  <si>
    <t>flower</t>
  </si>
  <si>
    <t>winter squash</t>
  </si>
  <si>
    <t>moschata</t>
  </si>
  <si>
    <t>pepo</t>
  </si>
  <si>
    <t>summer squash</t>
  </si>
  <si>
    <t xml:space="preserve">Cucurbita </t>
  </si>
  <si>
    <t>Cyamopsis</t>
  </si>
  <si>
    <t>tetragonolobus</t>
  </si>
  <si>
    <t>cluster bean</t>
  </si>
  <si>
    <t>Cyclanthera</t>
  </si>
  <si>
    <t>pedata</t>
  </si>
  <si>
    <t>acocha</t>
  </si>
  <si>
    <t>Cynara</t>
  </si>
  <si>
    <t>cardunculus</t>
  </si>
  <si>
    <t xml:space="preserve">Cynara </t>
  </si>
  <si>
    <t>cardoon</t>
  </si>
  <si>
    <t>scolymus</t>
  </si>
  <si>
    <t>artichoke</t>
  </si>
  <si>
    <t>Cyphomandra</t>
  </si>
  <si>
    <t>betacea</t>
  </si>
  <si>
    <t>tree tomato</t>
  </si>
  <si>
    <t>Cyrtosperma</t>
  </si>
  <si>
    <t>merkusii</t>
  </si>
  <si>
    <t>Dacryodes</t>
  </si>
  <si>
    <t>edulis</t>
  </si>
  <si>
    <t>safou</t>
  </si>
  <si>
    <t>Dicliptera</t>
  </si>
  <si>
    <t>chinensis</t>
  </si>
  <si>
    <t>Chinese foldwing</t>
  </si>
  <si>
    <t>Diplazium</t>
  </si>
  <si>
    <t>esculentum</t>
  </si>
  <si>
    <t>Food Plants of Papua New Guinea</t>
  </si>
  <si>
    <t>vegetable fern</t>
  </si>
  <si>
    <t xml:space="preserve">Dystaenia </t>
  </si>
  <si>
    <t>takesimiana</t>
  </si>
  <si>
    <t>"Sombadi as Human Food"</t>
  </si>
  <si>
    <t>Korean celery</t>
  </si>
  <si>
    <t xml:space="preserve">Emilia </t>
  </si>
  <si>
    <t>sonchifolia</t>
  </si>
  <si>
    <t>Enydra</t>
  </si>
  <si>
    <t>fluctuans</t>
  </si>
  <si>
    <t>Epilobium</t>
  </si>
  <si>
    <t>angustifolium</t>
  </si>
  <si>
    <t>fireweed</t>
  </si>
  <si>
    <t>Eruca</t>
  </si>
  <si>
    <t>sativa</t>
  </si>
  <si>
    <t xml:space="preserve">Eruca  </t>
  </si>
  <si>
    <t>arugula</t>
  </si>
  <si>
    <t>vesicaria</t>
  </si>
  <si>
    <t>Eryngium</t>
  </si>
  <si>
    <t>aquaticum</t>
  </si>
  <si>
    <t>marsh eryngo</t>
  </si>
  <si>
    <t>Euterpe</t>
  </si>
  <si>
    <t>acaí</t>
  </si>
  <si>
    <t>Foeniculum</t>
  </si>
  <si>
    <t>vulgare</t>
  </si>
  <si>
    <t>Florence fennel</t>
  </si>
  <si>
    <t>Glebionis</t>
  </si>
  <si>
    <t>corinaria</t>
  </si>
  <si>
    <t>coronaria</t>
  </si>
  <si>
    <t>garland chrysanthemum</t>
  </si>
  <si>
    <t>Glycine</t>
  </si>
  <si>
    <t>max</t>
  </si>
  <si>
    <t>edamame soybean</t>
  </si>
  <si>
    <t>Gnetum</t>
  </si>
  <si>
    <t>buchholzianum</t>
  </si>
  <si>
    <t>bucholzianum</t>
  </si>
  <si>
    <t>eru</t>
  </si>
  <si>
    <t>gnemon</t>
  </si>
  <si>
    <t>bago</t>
  </si>
  <si>
    <t>Gynura</t>
  </si>
  <si>
    <t>bicolor</t>
  </si>
  <si>
    <t>bicolor (purple)</t>
  </si>
  <si>
    <t>bicolor (white)</t>
  </si>
  <si>
    <t>Okinawa spinach</t>
  </si>
  <si>
    <t>Hemerocallis</t>
  </si>
  <si>
    <t>fulva</t>
  </si>
  <si>
    <t>daylily</t>
  </si>
  <si>
    <t>lilioasphodelus</t>
  </si>
  <si>
    <t>Hibiscus</t>
  </si>
  <si>
    <t>sabdariffa</t>
  </si>
  <si>
    <t>roselle</t>
  </si>
  <si>
    <t>Houttyunia</t>
  </si>
  <si>
    <t>fish-smelling herb</t>
  </si>
  <si>
    <t>Ipomoea</t>
  </si>
  <si>
    <t>aquatica</t>
  </si>
  <si>
    <t xml:space="preserve">Ipomoea </t>
  </si>
  <si>
    <t>water spinach</t>
  </si>
  <si>
    <t>batatas</t>
  </si>
  <si>
    <t>sweet potato</t>
  </si>
  <si>
    <t>muricata</t>
  </si>
  <si>
    <t>clove bean</t>
  </si>
  <si>
    <t>"Genetic variability in clove bean"</t>
  </si>
  <si>
    <t>Kaempferia</t>
  </si>
  <si>
    <t>galanga</t>
  </si>
  <si>
    <t>chandramula</t>
  </si>
  <si>
    <t>Lablab</t>
  </si>
  <si>
    <t>purpureus</t>
  </si>
  <si>
    <t>lablab bean</t>
  </si>
  <si>
    <t>Lactuca</t>
  </si>
  <si>
    <t>Indian lettuce</t>
  </si>
  <si>
    <t>lettuce</t>
  </si>
  <si>
    <t>Lagenaria</t>
  </si>
  <si>
    <t>siceraria</t>
  </si>
  <si>
    <t>bottle gourd</t>
  </si>
  <si>
    <t>Lathyrus</t>
  </si>
  <si>
    <t>japonicus</t>
  </si>
  <si>
    <t>beach pea</t>
  </si>
  <si>
    <t>Lemna</t>
  </si>
  <si>
    <t>minor</t>
  </si>
  <si>
    <t>duckweed</t>
  </si>
  <si>
    <t>Lepidium</t>
  </si>
  <si>
    <t>sativum</t>
  </si>
  <si>
    <t>cress</t>
  </si>
  <si>
    <t>Leptadenia</t>
  </si>
  <si>
    <t>lancifolia</t>
  </si>
  <si>
    <t>Leucaena</t>
  </si>
  <si>
    <t>Componentes Nutricionales y Antioxidantes de Dos Especies de Guaje; % water based on cajanus</t>
  </si>
  <si>
    <t>guaje</t>
  </si>
  <si>
    <t>Limnocharis</t>
  </si>
  <si>
    <t>flava</t>
  </si>
  <si>
    <t>water lettuce</t>
  </si>
  <si>
    <t xml:space="preserve">Limnocharis </t>
  </si>
  <si>
    <t>Limnophila</t>
  </si>
  <si>
    <t>rugosa</t>
  </si>
  <si>
    <t>swamp leaf</t>
  </si>
  <si>
    <t>Luffa</t>
  </si>
  <si>
    <t>actangulata</t>
  </si>
  <si>
    <t>acutangula</t>
  </si>
  <si>
    <t>luffa</t>
  </si>
  <si>
    <t>cylindrica</t>
  </si>
  <si>
    <t>Lycium</t>
  </si>
  <si>
    <t>goji</t>
  </si>
  <si>
    <t xml:space="preserve">Lycium </t>
  </si>
  <si>
    <t>barbarum</t>
  </si>
  <si>
    <t>"Nutritional evaluation of fresh and dried goji berries"</t>
  </si>
  <si>
    <t>Malva</t>
  </si>
  <si>
    <t>mallow</t>
  </si>
  <si>
    <t>sylvestris</t>
  </si>
  <si>
    <t>verticillata</t>
  </si>
  <si>
    <t>Manihot</t>
  </si>
  <si>
    <t xml:space="preserve">Manihot </t>
  </si>
  <si>
    <t>cassava</t>
  </si>
  <si>
    <t>Marsdenia</t>
  </si>
  <si>
    <t>australis</t>
  </si>
  <si>
    <t>Austral doubah</t>
  </si>
  <si>
    <t>Matteuccia</t>
  </si>
  <si>
    <t>struthiopteris</t>
  </si>
  <si>
    <t>ostrich fern</t>
  </si>
  <si>
    <t>Melientha</t>
  </si>
  <si>
    <t>suavis</t>
  </si>
  <si>
    <t>phakwanupa</t>
  </si>
  <si>
    <t>Mesymbranthemum</t>
  </si>
  <si>
    <t>crystallinum</t>
  </si>
  <si>
    <t>ice plant</t>
  </si>
  <si>
    <t>Momordica</t>
  </si>
  <si>
    <t>charantia</t>
  </si>
  <si>
    <t>bitter gourd</t>
  </si>
  <si>
    <t>cochinchinensis</t>
  </si>
  <si>
    <t>gac</t>
  </si>
  <si>
    <t>dioica</t>
  </si>
  <si>
    <t>kalsa</t>
  </si>
  <si>
    <t>Monochoria</t>
  </si>
  <si>
    <t>vaginalis</t>
  </si>
  <si>
    <t>chrach</t>
  </si>
  <si>
    <t>Moringa</t>
  </si>
  <si>
    <t>oleifera</t>
  </si>
  <si>
    <t>olerifera</t>
  </si>
  <si>
    <t>moringa</t>
  </si>
  <si>
    <t>Morus</t>
  </si>
  <si>
    <t>feedipedia</t>
  </si>
  <si>
    <t>Nutritional Quality of Leaves of Some Genotypes of Mulberry</t>
  </si>
  <si>
    <t>mulberry</t>
  </si>
  <si>
    <t>Musa</t>
  </si>
  <si>
    <t>acuminata</t>
  </si>
  <si>
    <t>banana</t>
  </si>
  <si>
    <t xml:space="preserve">spp  </t>
  </si>
  <si>
    <t>banana &amp; plantain</t>
  </si>
  <si>
    <t>Nasturtium</t>
  </si>
  <si>
    <t>officinale</t>
  </si>
  <si>
    <t xml:space="preserve">officinale </t>
  </si>
  <si>
    <t>watercress</t>
  </si>
  <si>
    <t>Neptunia</t>
  </si>
  <si>
    <t>water mimosa</t>
  </si>
  <si>
    <t>Oenanthe</t>
  </si>
  <si>
    <t>javanica</t>
  </si>
  <si>
    <t xml:space="preserve">Oenanthe </t>
  </si>
  <si>
    <t>water celery</t>
  </si>
  <si>
    <t>Olea</t>
  </si>
  <si>
    <t>europaea</t>
  </si>
  <si>
    <t>fruit (brined)</t>
  </si>
  <si>
    <t>olive</t>
  </si>
  <si>
    <t>Opuntia</t>
  </si>
  <si>
    <t>ficus-indica</t>
  </si>
  <si>
    <t>nopale cactus</t>
  </si>
  <si>
    <t>Oroxylum</t>
  </si>
  <si>
    <t>Indian trumpet flower</t>
  </si>
  <si>
    <t>Osmunda</t>
  </si>
  <si>
    <t>japonica</t>
  </si>
  <si>
    <t>Standard Food Composition Table Korea</t>
  </si>
  <si>
    <t>Japanese royal fern</t>
  </si>
  <si>
    <t>Oxyria</t>
  </si>
  <si>
    <t>digyna</t>
  </si>
  <si>
    <t>mountain sorrel</t>
  </si>
  <si>
    <t>Parkia</t>
  </si>
  <si>
    <t>speciosa</t>
  </si>
  <si>
    <t>seed unripe</t>
  </si>
  <si>
    <t xml:space="preserve">Parkia </t>
  </si>
  <si>
    <t>petai</t>
  </si>
  <si>
    <t xml:space="preserve">Parmentiera </t>
  </si>
  <si>
    <t>aculeata</t>
  </si>
  <si>
    <t>guajilote</t>
  </si>
  <si>
    <t>Pentarrhinum</t>
  </si>
  <si>
    <t>insipidum</t>
  </si>
  <si>
    <t>Persea</t>
  </si>
  <si>
    <t>avocado</t>
  </si>
  <si>
    <t>scheiderana</t>
  </si>
  <si>
    <t>schiedeana</t>
  </si>
  <si>
    <t>chinene</t>
  </si>
  <si>
    <t>Phaseolus</t>
  </si>
  <si>
    <t>coccineus</t>
  </si>
  <si>
    <t>runner bean</t>
  </si>
  <si>
    <t>lunatus</t>
  </si>
  <si>
    <t>Lima bean</t>
  </si>
  <si>
    <t>common bean</t>
  </si>
  <si>
    <t>Phragmites</t>
  </si>
  <si>
    <t>common reed</t>
  </si>
  <si>
    <t>Phyllostachys</t>
  </si>
  <si>
    <t>bamboo shoots, raw</t>
  </si>
  <si>
    <t>Physalis</t>
  </si>
  <si>
    <t>ixocarpa</t>
  </si>
  <si>
    <t>tomatillo</t>
  </si>
  <si>
    <t>peruviana</t>
  </si>
  <si>
    <t>goldenberry</t>
  </si>
  <si>
    <t>perennial ground cherry</t>
  </si>
  <si>
    <t>Piper</t>
  </si>
  <si>
    <t>sarmentosum</t>
  </si>
  <si>
    <t>pepper leaf</t>
  </si>
  <si>
    <t>Pisium</t>
  </si>
  <si>
    <t>Pisum</t>
  </si>
  <si>
    <t>pea</t>
  </si>
  <si>
    <t>Plantago</t>
  </si>
  <si>
    <t>major</t>
  </si>
  <si>
    <t>greater plantain</t>
  </si>
  <si>
    <t>Pluchea</t>
  </si>
  <si>
    <t>Indian pluchea</t>
  </si>
  <si>
    <t>Polygonum</t>
  </si>
  <si>
    <t>bistorta</t>
  </si>
  <si>
    <t>bistort</t>
  </si>
  <si>
    <t>Polyscias</t>
  </si>
  <si>
    <t>fruticosa</t>
  </si>
  <si>
    <t>ming aralia</t>
  </si>
  <si>
    <t>Portulaca</t>
  </si>
  <si>
    <t>purslane</t>
  </si>
  <si>
    <t>Psophocarpus</t>
  </si>
  <si>
    <t>scandens</t>
  </si>
  <si>
    <t>African winged bean</t>
  </si>
  <si>
    <t>tetragonobolous</t>
  </si>
  <si>
    <t>tetragonobolus</t>
  </si>
  <si>
    <t>winged bean</t>
  </si>
  <si>
    <t>Pterocarpus</t>
  </si>
  <si>
    <t>mildbraedii</t>
  </si>
  <si>
    <t>padouc blanc</t>
  </si>
  <si>
    <t>Raphanus</t>
  </si>
  <si>
    <t>radish pod</t>
  </si>
  <si>
    <t>Rheum</t>
  </si>
  <si>
    <t>rhubarb</t>
  </si>
  <si>
    <t>Rumex</t>
  </si>
  <si>
    <t>acetosa</t>
  </si>
  <si>
    <t>sorrel</t>
  </si>
  <si>
    <t>acetosella</t>
  </si>
  <si>
    <t>sheep sorrel</t>
  </si>
  <si>
    <t>arcticus</t>
  </si>
  <si>
    <t xml:space="preserve">Rumex </t>
  </si>
  <si>
    <t>sour dock</t>
  </si>
  <si>
    <t xml:space="preserve">leaf   </t>
  </si>
  <si>
    <t>patiencia</t>
  </si>
  <si>
    <t>patience dock</t>
  </si>
  <si>
    <t>Rungia</t>
  </si>
  <si>
    <t>klossii</t>
  </si>
  <si>
    <t>rungia</t>
  </si>
  <si>
    <t xml:space="preserve">Saccharum </t>
  </si>
  <si>
    <t>edule</t>
  </si>
  <si>
    <t>Saccharum</t>
  </si>
  <si>
    <t>pitpit</t>
  </si>
  <si>
    <t>Sagittaria</t>
  </si>
  <si>
    <t>latifolia</t>
  </si>
  <si>
    <t>arrowhead</t>
  </si>
  <si>
    <t xml:space="preserve">Salix </t>
  </si>
  <si>
    <t>willow</t>
  </si>
  <si>
    <t>Sauropus</t>
  </si>
  <si>
    <t>androgynus</t>
  </si>
  <si>
    <t xml:space="preserve">Sauropus </t>
  </si>
  <si>
    <t>katuk</t>
  </si>
  <si>
    <t>Sechium</t>
  </si>
  <si>
    <t xml:space="preserve">Sechium </t>
  </si>
  <si>
    <t>chayote</t>
  </si>
  <si>
    <t>Sedum</t>
  </si>
  <si>
    <t>roseum</t>
  </si>
  <si>
    <t>rhodiola</t>
  </si>
  <si>
    <t>Senna</t>
  </si>
  <si>
    <t>obtusifolia</t>
  </si>
  <si>
    <t>sicklepod</t>
  </si>
  <si>
    <t>siamea</t>
  </si>
  <si>
    <t xml:space="preserve">Senna </t>
  </si>
  <si>
    <t>positive bright</t>
  </si>
  <si>
    <t>Sesbania</t>
  </si>
  <si>
    <t>grandiflora</t>
  </si>
  <si>
    <t>vegetable humminbird</t>
  </si>
  <si>
    <t>Sesuvium</t>
  </si>
  <si>
    <t>portulacastrum</t>
  </si>
  <si>
    <t>seaside purslane</t>
  </si>
  <si>
    <t>Sicana</t>
  </si>
  <si>
    <t>odorifera</t>
  </si>
  <si>
    <t>casabanana</t>
  </si>
  <si>
    <t>Solanum</t>
  </si>
  <si>
    <t>aethiopicum</t>
  </si>
  <si>
    <t>African eggplant</t>
  </si>
  <si>
    <t>americanum</t>
  </si>
  <si>
    <t>black nightshade</t>
  </si>
  <si>
    <t xml:space="preserve">Solanum </t>
  </si>
  <si>
    <t>centrale</t>
  </si>
  <si>
    <t>desert raisin</t>
  </si>
  <si>
    <t>chippendalei</t>
  </si>
  <si>
    <t>kangaroo apple</t>
  </si>
  <si>
    <t>ellipticum</t>
  </si>
  <si>
    <t>ferox</t>
  </si>
  <si>
    <t>tarong pasai</t>
  </si>
  <si>
    <t>lycopersicon</t>
  </si>
  <si>
    <t>tomato</t>
  </si>
  <si>
    <t>macrocarpon</t>
  </si>
  <si>
    <t>gboma eggplant</t>
  </si>
  <si>
    <t>melongena</t>
  </si>
  <si>
    <t>eggplant</t>
  </si>
  <si>
    <t>pimpinellifolium</t>
  </si>
  <si>
    <t>currant tomato</t>
  </si>
  <si>
    <t>scabrum</t>
  </si>
  <si>
    <t>torvum</t>
  </si>
  <si>
    <t>pea eggplant</t>
  </si>
  <si>
    <t>villosum</t>
  </si>
  <si>
    <t>red-fruited nightshade</t>
  </si>
  <si>
    <t>Sonchus</t>
  </si>
  <si>
    <t>oleraceus</t>
  </si>
  <si>
    <t>sow-thistle</t>
  </si>
  <si>
    <t xml:space="preserve">Sonneratia </t>
  </si>
  <si>
    <t>caseolaris</t>
  </si>
  <si>
    <t>mangrove apple</t>
  </si>
  <si>
    <t>Spinacea</t>
  </si>
  <si>
    <t>spinach</t>
  </si>
  <si>
    <t>Talinum</t>
  </si>
  <si>
    <t>paniculatum</t>
  </si>
  <si>
    <t>verdolaga francesa</t>
  </si>
  <si>
    <t>fruticosum</t>
  </si>
  <si>
    <t>waterleaf</t>
  </si>
  <si>
    <t>Taraxacum</t>
  </si>
  <si>
    <t>campylodes</t>
  </si>
  <si>
    <t>dandelion</t>
  </si>
  <si>
    <t>Telfairia</t>
  </si>
  <si>
    <t>occidentalis</t>
  </si>
  <si>
    <t>fluted gourd</t>
  </si>
  <si>
    <t>Telosma</t>
  </si>
  <si>
    <t>kanjalate</t>
  </si>
  <si>
    <t>Tetragonia</t>
  </si>
  <si>
    <t>tetragonioides</t>
  </si>
  <si>
    <t>New Zealand spinach</t>
  </si>
  <si>
    <t>Toona</t>
  </si>
  <si>
    <t>sinensis</t>
  </si>
  <si>
    <t xml:space="preserve">Toona </t>
  </si>
  <si>
    <t>fragrant spring tree</t>
  </si>
  <si>
    <t>Trachyandra</t>
  </si>
  <si>
    <t>falcata</t>
  </si>
  <si>
    <t>Trichosanthes</t>
  </si>
  <si>
    <t>cucumerina</t>
  </si>
  <si>
    <t>snake gourd</t>
  </si>
  <si>
    <t>parwal</t>
  </si>
  <si>
    <t>Typha</t>
  </si>
  <si>
    <t>angustifolia</t>
  </si>
  <si>
    <t>cattail</t>
  </si>
  <si>
    <t>unspecified</t>
  </si>
  <si>
    <t>hearts of palm, raw</t>
  </si>
  <si>
    <t>Urtica</t>
  </si>
  <si>
    <t>stinging nettle</t>
  </si>
  <si>
    <t>Valerianella</t>
  </si>
  <si>
    <t>locusta</t>
  </si>
  <si>
    <t>mache</t>
  </si>
  <si>
    <t>Vernonia</t>
  </si>
  <si>
    <t>hymenolepis</t>
  </si>
  <si>
    <t>sweet bitterleaf</t>
  </si>
  <si>
    <t>Vicia</t>
  </si>
  <si>
    <t>faba</t>
  </si>
  <si>
    <t>fava bean</t>
  </si>
  <si>
    <t>Vigna</t>
  </si>
  <si>
    <t>unguiculata</t>
  </si>
  <si>
    <t>cowpea</t>
  </si>
  <si>
    <t>cowpea, yardlong bean</t>
  </si>
  <si>
    <t>Vitis</t>
  </si>
  <si>
    <t>vinifera</t>
  </si>
  <si>
    <t>grape</t>
  </si>
  <si>
    <t>Xanthosoma</t>
  </si>
  <si>
    <t>saggitifolium</t>
  </si>
  <si>
    <t>sagittifolium</t>
  </si>
  <si>
    <t>yautia, belembe</t>
  </si>
  <si>
    <t>Zea</t>
  </si>
  <si>
    <t>mays</t>
  </si>
  <si>
    <t xml:space="preserve">Zea </t>
  </si>
  <si>
    <t>sweet corn</t>
  </si>
  <si>
    <t xml:space="preserve">Zingiber </t>
  </si>
  <si>
    <t>mioga</t>
  </si>
  <si>
    <t>mioga ginger</t>
  </si>
  <si>
    <t>Zizania</t>
  </si>
  <si>
    <t>Manchurian water rice</t>
  </si>
  <si>
    <t>Tilia</t>
  </si>
  <si>
    <t>linden</t>
  </si>
  <si>
    <t>maritimum</t>
  </si>
  <si>
    <t>rock samphire</t>
  </si>
  <si>
    <t>Guerrero Wild Edible Plans</t>
  </si>
  <si>
    <t xml:space="preserve">Crithmum </t>
  </si>
  <si>
    <t>Humulus</t>
  </si>
  <si>
    <t>lupulus</t>
  </si>
  <si>
    <t>hops</t>
  </si>
  <si>
    <t>Silene</t>
  </si>
  <si>
    <t>bladder campion</t>
  </si>
  <si>
    <t>Kalimeris</t>
  </si>
  <si>
    <t>ma lan</t>
  </si>
  <si>
    <t>Gundelia</t>
  </si>
  <si>
    <t>tournefortii</t>
  </si>
  <si>
    <t>Chemical composition of some edible wild plants of eastern Anatolia</t>
  </si>
  <si>
    <t>Hosta</t>
  </si>
  <si>
    <t>sieboldiana</t>
  </si>
  <si>
    <t>Standard Food Composition Table Korea; Analysis of Essential Macro-micro mineral content of twelve hosta taxa</t>
  </si>
  <si>
    <t>longipes</t>
  </si>
  <si>
    <t>sieboldii</t>
  </si>
  <si>
    <t>kurrat leek</t>
  </si>
  <si>
    <t>Bauhinia</t>
  </si>
  <si>
    <t>variegata</t>
  </si>
  <si>
    <t>pods and unripe seeds</t>
  </si>
  <si>
    <t>baccatum</t>
  </si>
  <si>
    <t>Chamaedora</t>
  </si>
  <si>
    <t>pacaya</t>
  </si>
  <si>
    <t>creticum</t>
  </si>
  <si>
    <t>Fernaldia</t>
  </si>
  <si>
    <t>pandurata</t>
  </si>
  <si>
    <t>loroco</t>
  </si>
  <si>
    <t>Ficus</t>
  </si>
  <si>
    <t>"poke" fig leaf</t>
  </si>
  <si>
    <t>Heracleum</t>
  </si>
  <si>
    <t>lanatum</t>
  </si>
  <si>
    <t>stalk (peeled)</t>
  </si>
  <si>
    <t>cow parsnip</t>
  </si>
  <si>
    <t>Metroxylon</t>
  </si>
  <si>
    <t>sagu</t>
  </si>
  <si>
    <t>sago palm</t>
  </si>
  <si>
    <t>auritum</t>
  </si>
  <si>
    <t>hoja santa</t>
  </si>
  <si>
    <t>Pisonia</t>
  </si>
  <si>
    <t>umbellifera</t>
  </si>
  <si>
    <t>lettuce tree</t>
  </si>
  <si>
    <t>Quisqualis</t>
  </si>
  <si>
    <t>Salix</t>
  </si>
  <si>
    <t>arctica</t>
  </si>
  <si>
    <t>reticulata</t>
  </si>
  <si>
    <t>amygdalina</t>
  </si>
  <si>
    <t>bitterleaf</t>
  </si>
  <si>
    <t>Yucca</t>
  </si>
  <si>
    <t>gigantea</t>
  </si>
  <si>
    <t xml:space="preserve">flower  </t>
  </si>
  <si>
    <t>izote</t>
  </si>
  <si>
    <t>wintercress</t>
  </si>
  <si>
    <t>ursinum</t>
  </si>
  <si>
    <t>ramsons</t>
  </si>
  <si>
    <t>Aegopodium</t>
  </si>
  <si>
    <t>podagraria</t>
  </si>
  <si>
    <t>goutweed</t>
  </si>
  <si>
    <t>Erythrina</t>
  </si>
  <si>
    <t>chachafruto</t>
  </si>
  <si>
    <t>Oenocarpus</t>
  </si>
  <si>
    <t>batauta</t>
  </si>
  <si>
    <t>patauá</t>
  </si>
  <si>
    <t>Gustavia</t>
  </si>
  <si>
    <t>superba</t>
  </si>
  <si>
    <t>mebrillo</t>
  </si>
  <si>
    <t>Trichanthera</t>
  </si>
  <si>
    <t>nacadero</t>
  </si>
  <si>
    <t xml:space="preserve">Balanites </t>
  </si>
  <si>
    <t>aegyptiaca</t>
  </si>
  <si>
    <t>balcooa</t>
  </si>
  <si>
    <t>Nutritional potential of five unexplored wild edible plants consumed by the tribal people of Arunachal Pradesh state in India</t>
  </si>
  <si>
    <t>bambos</t>
  </si>
  <si>
    <t>polymorpha</t>
  </si>
  <si>
    <t>Diplotaxis</t>
  </si>
  <si>
    <t>tenuifolia</t>
  </si>
  <si>
    <t>Melocanna</t>
  </si>
  <si>
    <t>baccifera</t>
  </si>
  <si>
    <t>Subform</t>
  </si>
  <si>
    <t>palm</t>
  </si>
  <si>
    <t>tree</t>
  </si>
  <si>
    <t>forb</t>
  </si>
  <si>
    <t>shrub</t>
  </si>
  <si>
    <t>herbaceous</t>
  </si>
  <si>
    <t>fern</t>
  </si>
  <si>
    <t>Vitamin A</t>
  </si>
  <si>
    <t>Gac fruit composition and bioactivities</t>
  </si>
  <si>
    <t>Nutritional properties of bamboo shoots</t>
  </si>
  <si>
    <t>nutans</t>
  </si>
  <si>
    <t>tulda</t>
  </si>
  <si>
    <t>Dendrocalamus</t>
  </si>
  <si>
    <t>asper</t>
  </si>
  <si>
    <t>brandesii</t>
  </si>
  <si>
    <t>giganteus</t>
  </si>
  <si>
    <t>hamiltonii</t>
  </si>
  <si>
    <t>membranaceus</t>
  </si>
  <si>
    <t>Gigantochloa</t>
  </si>
  <si>
    <t>albociliata</t>
  </si>
  <si>
    <t>nutritional properties of bamboo shoots</t>
  </si>
  <si>
    <t>XH</t>
  </si>
  <si>
    <t>5.10+</t>
  </si>
  <si>
    <t>477.41+</t>
  </si>
  <si>
    <t>4.22+</t>
  </si>
  <si>
    <t>171.01+</t>
  </si>
  <si>
    <t>1.21+</t>
  </si>
  <si>
    <t>.73+</t>
  </si>
  <si>
    <t>388.01+</t>
  </si>
  <si>
    <t>232.36+</t>
  </si>
  <si>
    <t>5.09+</t>
  </si>
  <si>
    <t>VH</t>
  </si>
  <si>
    <t>2.55-5.09</t>
  </si>
  <si>
    <t>238.71-477.40</t>
  </si>
  <si>
    <t>2.12-4.21</t>
  </si>
  <si>
    <t>85.51-171.00</t>
  </si>
  <si>
    <t>0.61-1.20</t>
  </si>
  <si>
    <t>0.37-0.72</t>
  </si>
  <si>
    <t>194.01-388.00</t>
  </si>
  <si>
    <t>116.18-232.35</t>
  </si>
  <si>
    <t>2.55-5.08</t>
  </si>
  <si>
    <t>H</t>
  </si>
  <si>
    <t>1.83-2.54</t>
  </si>
  <si>
    <t>161.68-238.70</t>
  </si>
  <si>
    <t>1.56-2.11</t>
  </si>
  <si>
    <t>60.27-85.50</t>
  </si>
  <si>
    <t>0.45-0.60</t>
  </si>
  <si>
    <t>0.25-0.36</t>
  </si>
  <si>
    <t>132.64-194.00</t>
  </si>
  <si>
    <t>78.6-116.17</t>
  </si>
  <si>
    <t>1.43-2.54</t>
  </si>
  <si>
    <t>M</t>
  </si>
  <si>
    <t>1.12-1.82</t>
  </si>
  <si>
    <t>86.91-161.67</t>
  </si>
  <si>
    <t>1.03-1.55</t>
  </si>
  <si>
    <t>35.76-60.26</t>
  </si>
  <si>
    <t>0.29-0.44</t>
  </si>
  <si>
    <t>0.13-0.24</t>
  </si>
  <si>
    <t>73.08-132.63</t>
  </si>
  <si>
    <t>42.13-78.59</t>
  </si>
  <si>
    <t>0.76-1.42</t>
  </si>
  <si>
    <t>L</t>
  </si>
  <si>
    <t>0.40-1.11</t>
  </si>
  <si>
    <t>12.13-86.90</t>
  </si>
  <si>
    <t>0.48-1.02</t>
  </si>
  <si>
    <t>11.25-35.75</t>
  </si>
  <si>
    <t>0.12-0.28</t>
  </si>
  <si>
    <t>0.00-0.12</t>
  </si>
  <si>
    <t>13.50-73.07</t>
  </si>
  <si>
    <t>5.65-42.12</t>
  </si>
  <si>
    <t>0.07-0.75</t>
  </si>
  <si>
    <t>VL</t>
  </si>
  <si>
    <t>0-0.39</t>
  </si>
  <si>
    <t>0-12.12</t>
  </si>
  <si>
    <t>0-0.47</t>
  </si>
  <si>
    <t>0-11.24</t>
  </si>
  <si>
    <t>0-.11</t>
  </si>
  <si>
    <t>n/a</t>
  </si>
  <si>
    <t>0-13.49</t>
  </si>
  <si>
    <t>0-5.64</t>
  </si>
  <si>
    <t>0-0.06</t>
  </si>
  <si>
    <t>AVERAGE</t>
  </si>
  <si>
    <t>Mineral contents of selected edible plants of Niger</t>
  </si>
  <si>
    <t>garlic acacia</t>
  </si>
  <si>
    <t>sessile joyweed</t>
  </si>
  <si>
    <t>balanites</t>
  </si>
  <si>
    <t>orchid tree</t>
  </si>
  <si>
    <t>aji pepper</t>
  </si>
  <si>
    <t>white jute</t>
  </si>
  <si>
    <t>vegetable cosmos</t>
  </si>
  <si>
    <t>West Indian gherkin</t>
  </si>
  <si>
    <t>kiwano melon</t>
  </si>
  <si>
    <t>sylvetta</t>
  </si>
  <si>
    <t>lilac tasselflower</t>
  </si>
  <si>
    <t>buffalo spinach</t>
  </si>
  <si>
    <t>wild arugula</t>
  </si>
  <si>
    <t>eryngo</t>
  </si>
  <si>
    <t>galgal</t>
  </si>
  <si>
    <t>hosta</t>
  </si>
  <si>
    <t>leptadenia</t>
  </si>
  <si>
    <t>African heartvine</t>
  </si>
  <si>
    <t>arctic willow</t>
  </si>
  <si>
    <t>snow willow</t>
  </si>
  <si>
    <t>kassod tree</t>
  </si>
  <si>
    <t>hotnotskool</t>
  </si>
  <si>
    <t>palm vine</t>
  </si>
  <si>
    <t>grasslike</t>
  </si>
  <si>
    <t>cactus</t>
  </si>
  <si>
    <t>mangrove</t>
  </si>
  <si>
    <t>succulent</t>
  </si>
  <si>
    <t>(probably S. pluchra)</t>
  </si>
  <si>
    <t>E</t>
  </si>
  <si>
    <t>phaecantha</t>
  </si>
  <si>
    <t>plains prickly pear</t>
  </si>
  <si>
    <t>aloifolia</t>
  </si>
  <si>
    <t>torreyana</t>
  </si>
  <si>
    <t>Suaeda</t>
  </si>
  <si>
    <t>romeritos</t>
  </si>
  <si>
    <t>coztomatl</t>
  </si>
  <si>
    <t>joconostle</t>
  </si>
  <si>
    <t>xoconostle</t>
  </si>
  <si>
    <t>berteroana</t>
  </si>
  <si>
    <t>colorín</t>
  </si>
  <si>
    <t>Kallas Edible Wild Plants</t>
  </si>
  <si>
    <t>Ulmus</t>
  </si>
  <si>
    <t>pumila</t>
  </si>
  <si>
    <t>elm</t>
  </si>
  <si>
    <t>moso bamboo</t>
  </si>
  <si>
    <t xml:space="preserve">Averrhoa </t>
  </si>
  <si>
    <t>bilimbi</t>
  </si>
  <si>
    <t>Edible Medicinal and Non-Medicinal Plants Volume 1</t>
  </si>
  <si>
    <t>Canarium</t>
  </si>
  <si>
    <t>odontophyllum</t>
  </si>
  <si>
    <t>dabai</t>
  </si>
  <si>
    <t>Edible Medicinal and Non-Medicinal Plants Volume 6</t>
  </si>
  <si>
    <t>Chrysanthemum</t>
  </si>
  <si>
    <t>Edible Medicinal and Non-Medicinal Plants Volume 7</t>
  </si>
  <si>
    <t xml:space="preserve">Erythrina </t>
  </si>
  <si>
    <t>Edible medicinal and Non-Medicinal Plants Volume 7</t>
  </si>
  <si>
    <t>Viola</t>
  </si>
  <si>
    <t>odorata</t>
  </si>
  <si>
    <t>sweet violet</t>
  </si>
  <si>
    <t>Bellis</t>
  </si>
  <si>
    <t>perennis</t>
  </si>
  <si>
    <t>English daisy</t>
  </si>
  <si>
    <t>Auswertungs-und Informationsdienst für Ernährung, Landwirtschaft und Forsten</t>
  </si>
  <si>
    <t>hookeri</t>
  </si>
  <si>
    <t>napakpi</t>
  </si>
  <si>
    <t>Persicaria</t>
  </si>
  <si>
    <t>barbata</t>
  </si>
  <si>
    <t>yelang</t>
  </si>
  <si>
    <t>leaf blanched</t>
  </si>
  <si>
    <t>Category</t>
  </si>
  <si>
    <t>Data Points</t>
  </si>
  <si>
    <t>Carotene (A)</t>
  </si>
  <si>
    <t>mg RAE</t>
  </si>
  <si>
    <t>no</t>
  </si>
  <si>
    <t>reproductive</t>
  </si>
  <si>
    <t>vegetative</t>
  </si>
  <si>
    <t>scallion</t>
  </si>
  <si>
    <t>broccoli</t>
  </si>
  <si>
    <t>head</t>
  </si>
  <si>
    <t>pak choi &amp; Chinese cabbage</t>
  </si>
  <si>
    <t>summer squash &amp; zucchini</t>
  </si>
  <si>
    <t>string bean</t>
  </si>
  <si>
    <t>Minimum</t>
  </si>
  <si>
    <t>Maximum</t>
  </si>
  <si>
    <t>Spread</t>
  </si>
  <si>
    <t>From zero to</t>
  </si>
  <si>
    <t>Very Low (min)</t>
  </si>
  <si>
    <t>to lowest part of range</t>
  </si>
  <si>
    <t>Very Low (max)</t>
  </si>
  <si>
    <t>1-33%</t>
  </si>
  <si>
    <t>Low (min)</t>
  </si>
  <si>
    <t>Low (max)</t>
  </si>
  <si>
    <t>34-66%</t>
  </si>
  <si>
    <t>Med (min)</t>
  </si>
  <si>
    <t>Med (max)</t>
  </si>
  <si>
    <t>66-100%</t>
  </si>
  <si>
    <t>High (min)</t>
  </si>
  <si>
    <t>High (max)</t>
  </si>
  <si>
    <t>100-200%</t>
  </si>
  <si>
    <t>Very High</t>
  </si>
  <si>
    <t>201%+</t>
  </si>
  <si>
    <t>Extremely High</t>
  </si>
  <si>
    <t xml:space="preserve">WINTER SQUASH </t>
  </si>
  <si>
    <t>SUMMER SQUASH</t>
  </si>
  <si>
    <t>0.40-1.45</t>
  </si>
  <si>
    <t>0-11.84</t>
  </si>
  <si>
    <t>0-0.46</t>
  </si>
  <si>
    <t>0-0.15</t>
  </si>
  <si>
    <t>0-0</t>
  </si>
  <si>
    <t>0-0.04</t>
  </si>
  <si>
    <t>11.85-86.71</t>
  </si>
  <si>
    <t>0.47-1.01</t>
  </si>
  <si>
    <t>0.16-0.29</t>
  </si>
  <si>
    <t>0-0.18</t>
  </si>
  <si>
    <t>5.65-42.33</t>
  </si>
  <si>
    <t>0.05-0.73</t>
  </si>
  <si>
    <t>4.16-2.50</t>
  </si>
  <si>
    <t>86.72-161.57</t>
  </si>
  <si>
    <t>1.02-1.55</t>
  </si>
  <si>
    <t>0.30-0.42</t>
  </si>
  <si>
    <t>0.19-0.37</t>
  </si>
  <si>
    <t>42.34-79.01</t>
  </si>
  <si>
    <t>0.74-1.42</t>
  </si>
  <si>
    <t>2.51-3.58</t>
  </si>
  <si>
    <t>161.58-238.70</t>
  </si>
  <si>
    <t>0.43-0.56</t>
  </si>
  <si>
    <t>0.38-0.55</t>
  </si>
  <si>
    <t>79.02-116.80</t>
  </si>
  <si>
    <t>3.59-7.15</t>
  </si>
  <si>
    <t>0.57-1.12</t>
  </si>
  <si>
    <t>0.56-1.11</t>
  </si>
  <si>
    <t>116.81-233.59</t>
  </si>
  <si>
    <t>7.16+</t>
  </si>
  <si>
    <t>1.13+</t>
  </si>
  <si>
    <t>1.12+</t>
  </si>
  <si>
    <t>233.60+</t>
  </si>
  <si>
    <t>spp. (pluchra?)</t>
  </si>
  <si>
    <t>redflower ragleaf</t>
  </si>
  <si>
    <t>spp (assumed pumila)</t>
  </si>
  <si>
    <t>edible chrysanthemum</t>
  </si>
  <si>
    <t>pito</t>
  </si>
  <si>
    <t>smartweed</t>
  </si>
  <si>
    <t>Siemonsma &amp; Piluek (1993)</t>
  </si>
  <si>
    <t>Grubbe &amp; Denton (2004)</t>
  </si>
  <si>
    <t>Duke &amp; Atchley (1986)</t>
  </si>
  <si>
    <t>USDA (2019)</t>
  </si>
  <si>
    <t xml:space="preserve">USDA (2019) </t>
  </si>
  <si>
    <t xml:space="preserve">World Vegetable Center (2019) </t>
  </si>
  <si>
    <t>Rubatzky &amp; Yamaguchi (1999)</t>
  </si>
  <si>
    <t>Dignan, Burlingame, Kumar &amp; Aalbersberg (2004)</t>
  </si>
  <si>
    <t>Brand &amp; Cherikoff (1985)</t>
  </si>
  <si>
    <t>Institute of Nutrition (nd)</t>
  </si>
  <si>
    <t>Wu, Rauanheimo, Huang, Narayana &amp; Polacchi (1972)</t>
  </si>
  <si>
    <t>Smith, Thiam &amp; Burlingame (2010)</t>
  </si>
  <si>
    <t>Souci, Fachmann &amp; Kraut (2008)</t>
  </si>
  <si>
    <t>de Cortes Sanchez-Mata &amp; Tardio (2016)</t>
  </si>
  <si>
    <t>FAO (1982)</t>
  </si>
  <si>
    <t>Wijaya &amp; Epriliata (2013)</t>
  </si>
  <si>
    <t>Loukrapah, Rajendram, Chyne &amp; Longvan (2019)</t>
  </si>
  <si>
    <t>Yang, Wang &amp; Pan (2009)</t>
  </si>
  <si>
    <t>Watanabe &amp; Kawai (2018)</t>
  </si>
  <si>
    <t>Kuhnlein &amp; Turner (1991)</t>
  </si>
  <si>
    <t>Longvah, Anantan, Bhaskarachary &amp; Venkaiah (2017)</t>
  </si>
  <si>
    <t>Englberger, Aalbersberg, Ravi, Bonnin, Marks, Fitzgerald &amp; Elymore (2003)</t>
  </si>
  <si>
    <t>Villasana, Solano, Martinez, Carrillo, Gonzalez, Curiel, Sanchez-Castillo &amp; Romo (2014)</t>
  </si>
  <si>
    <t>Leterme, Bildgen, Estrada &amp; Londono (2006)</t>
  </si>
  <si>
    <t>Menchu, Mendez, Barrera &amp; Ortega (1996)</t>
  </si>
  <si>
    <t>Ernahrung &amp; Forsten (1979)</t>
  </si>
  <si>
    <t>Kennedy (2011)</t>
  </si>
  <si>
    <t>Guil-Guerrero (2002)</t>
  </si>
  <si>
    <t>Center for Indigenous People's Nutrition and Environment (n.d.)</t>
  </si>
  <si>
    <t>French (2006)</t>
  </si>
  <si>
    <t>Lim (2012b)</t>
  </si>
  <si>
    <t>Luske, Meir, Altinalmasiz &amp; Eekeren (n.d.)</t>
  </si>
  <si>
    <t>Arnold, Wells &amp; Wehmeyer (1985)</t>
  </si>
  <si>
    <t>Phillips, Pehrsson, Agnew, Scheet, Follett, Lukaski &amp; Patterson (2014)</t>
  </si>
  <si>
    <t>Lim (2012c)</t>
  </si>
  <si>
    <t>Flach &amp; Rumawas (1996)</t>
  </si>
  <si>
    <t>Melo (2012)</t>
  </si>
  <si>
    <r>
      <rPr>
        <b/>
        <sz val="12"/>
        <color theme="1"/>
        <rFont val="Arial"/>
        <family val="2"/>
      </rPr>
      <t>spp. (probably</t>
    </r>
    <r>
      <rPr>
        <b/>
        <i/>
        <sz val="12"/>
        <color theme="1"/>
        <rFont val="Arial"/>
        <family val="2"/>
      </rPr>
      <t xml:space="preserve"> S. pluchra</t>
    </r>
    <r>
      <rPr>
        <b/>
        <sz val="12"/>
        <color theme="1"/>
        <rFont val="Arial"/>
        <family val="2"/>
      </rPr>
      <t>)</t>
    </r>
  </si>
  <si>
    <t>Meta-Analysis Sheet</t>
  </si>
  <si>
    <t>Data Summary and Ranking Sheet</t>
  </si>
  <si>
    <t>Reference Vegetables</t>
  </si>
  <si>
    <t>total XH</t>
  </si>
  <si>
    <t>total VH</t>
  </si>
  <si>
    <t>total cells</t>
  </si>
  <si>
    <t>total blank</t>
  </si>
  <si>
    <t>total cells with data</t>
  </si>
  <si>
    <t>% XH or VH</t>
  </si>
  <si>
    <t>tepijelote</t>
  </si>
  <si>
    <t>Woody plants with edible leaves (non-monocots)</t>
  </si>
  <si>
    <t>Woody monocot shoots</t>
  </si>
  <si>
    <t>Woody plants with edible flowerbuds and flowers</t>
  </si>
  <si>
    <t>Woody plants with edible fruits: ripe and unripe</t>
  </si>
  <si>
    <t>Woody plants with edible unripe seeds</t>
  </si>
  <si>
    <t>Perennial vines with edible leaves and shoots</t>
  </si>
  <si>
    <t>Perennial vines with edible flowers and flowerbuds</t>
  </si>
  <si>
    <t>Perennial vines with edible fruits: Ripe and unripe</t>
  </si>
  <si>
    <t>Perennial vines with edible unripe seeds</t>
  </si>
  <si>
    <t xml:space="preserve">Herbaceous perennials with edible leaves </t>
  </si>
  <si>
    <t>Herbaceous perennials with edible shoots</t>
  </si>
  <si>
    <t>Herbaceous perennials with edible flowers and flowerbuds</t>
  </si>
  <si>
    <t>Herbaceous perennials with edible fruit: Ripe and unripe</t>
  </si>
  <si>
    <t>Annuals with edible flowers and flowerbuds</t>
  </si>
  <si>
    <t>Annuals with edible fruits: Ripe and unripe</t>
  </si>
  <si>
    <t>Annuals with edible leaves and stems</t>
  </si>
  <si>
    <t>Annuals with edible unripe seeds</t>
  </si>
  <si>
    <t>woody plants</t>
  </si>
  <si>
    <t>shoots</t>
  </si>
  <si>
    <t>flowers &amp; flowerbuds</t>
  </si>
  <si>
    <t>fruit, ripe and unripe</t>
  </si>
  <si>
    <t>unripe seeds</t>
  </si>
  <si>
    <t>perennial vines</t>
  </si>
  <si>
    <t>herbaceous perennials</t>
  </si>
  <si>
    <t>annuals</t>
  </si>
  <si>
    <t xml:space="preserve">fruit </t>
  </si>
  <si>
    <t>Perennial vegetables: A neglected resource for biodiversity, carbon sequestration, and nutrition</t>
  </si>
  <si>
    <t>Eric Toensmeier, Rafter Ferguson, Mamta Mehra</t>
  </si>
  <si>
    <t>Supporting materials: Nutrition data</t>
  </si>
  <si>
    <t>sophera</t>
  </si>
  <si>
    <r>
      <t xml:space="preserve">vulgaris </t>
    </r>
    <r>
      <rPr>
        <sz val="12"/>
        <color theme="1"/>
        <rFont val="Arial"/>
        <family val="2"/>
      </rPr>
      <t>var.</t>
    </r>
    <r>
      <rPr>
        <i/>
        <sz val="12"/>
        <color theme="1"/>
        <rFont val="Arial"/>
        <family val="2"/>
      </rPr>
      <t xml:space="preserve"> maritima</t>
    </r>
  </si>
  <si>
    <r>
      <t xml:space="preserve">vulgaris </t>
    </r>
    <r>
      <rPr>
        <b/>
        <sz val="12"/>
        <color theme="1"/>
        <rFont val="Arial"/>
        <family val="2"/>
      </rPr>
      <t>var.</t>
    </r>
    <r>
      <rPr>
        <b/>
        <i/>
        <sz val="12"/>
        <color theme="1"/>
        <rFont val="Arial"/>
        <family val="2"/>
      </rPr>
      <t xml:space="preserve"> maritima</t>
    </r>
  </si>
  <si>
    <r>
      <t xml:space="preserve">vulgaris </t>
    </r>
    <r>
      <rPr>
        <sz val="12"/>
        <color theme="1"/>
        <rFont val="Arial"/>
        <family val="2"/>
      </rPr>
      <t xml:space="preserve">var. </t>
    </r>
    <r>
      <rPr>
        <i/>
        <sz val="12"/>
        <color theme="1"/>
        <rFont val="Arial"/>
        <family val="2"/>
      </rPr>
      <t>maritima</t>
    </r>
  </si>
  <si>
    <r>
      <rPr>
        <sz val="12"/>
        <color theme="1"/>
        <rFont val="Arial"/>
        <family val="2"/>
      </rPr>
      <t>x</t>
    </r>
    <r>
      <rPr>
        <i/>
        <sz val="12"/>
        <color theme="1"/>
        <rFont val="Arial"/>
        <family val="2"/>
      </rPr>
      <t xml:space="preserve"> cultorum</t>
    </r>
  </si>
  <si>
    <r>
      <rPr>
        <b/>
        <sz val="12"/>
        <color theme="1"/>
        <rFont val="Arial"/>
        <family val="2"/>
      </rPr>
      <t xml:space="preserve">x </t>
    </r>
    <r>
      <rPr>
        <b/>
        <i/>
        <sz val="12"/>
        <color theme="1"/>
        <rFont val="Arial"/>
        <family val="2"/>
      </rPr>
      <t>cultorum</t>
    </r>
  </si>
  <si>
    <r>
      <rPr>
        <sz val="12"/>
        <color theme="1"/>
        <rFont val="Arial"/>
        <family val="2"/>
      </rPr>
      <t xml:space="preserve">x </t>
    </r>
    <r>
      <rPr>
        <i/>
        <sz val="12"/>
        <color theme="1"/>
        <rFont val="Arial"/>
        <family val="2"/>
      </rPr>
      <t>cultorum</t>
    </r>
  </si>
  <si>
    <r>
      <rPr>
        <sz val="12"/>
        <color rgb="FF000000"/>
        <rFont val="Arial"/>
        <family val="2"/>
      </rPr>
      <t>x</t>
    </r>
    <r>
      <rPr>
        <i/>
        <sz val="12"/>
        <color rgb="FF000000"/>
        <rFont val="Arial"/>
        <family val="2"/>
      </rPr>
      <t xml:space="preserve"> cultorum</t>
    </r>
  </si>
  <si>
    <t>Nutrients by Plant Form and Part Used</t>
  </si>
  <si>
    <t>Nutrient Reference Levels</t>
  </si>
  <si>
    <r>
      <rPr>
        <sz val="12"/>
        <color theme="1"/>
        <rFont val="Arial"/>
        <family val="2"/>
      </rPr>
      <t xml:space="preserve">Duke </t>
    </r>
    <r>
      <rPr>
        <i/>
        <sz val="12"/>
        <color theme="1"/>
        <rFont val="Arial"/>
        <family val="2"/>
      </rPr>
      <t>Handbook of Energy Crops</t>
    </r>
  </si>
  <si>
    <r>
      <rPr>
        <sz val="12"/>
        <color theme="1"/>
        <rFont val="Arial"/>
        <family val="2"/>
      </rPr>
      <t xml:space="preserve">Guerrero </t>
    </r>
    <r>
      <rPr>
        <i/>
        <sz val="12"/>
        <color theme="1"/>
        <rFont val="Arial"/>
        <family val="2"/>
      </rPr>
      <t>Edible Wild Plants</t>
    </r>
  </si>
  <si>
    <t>Summary by Plant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</si>
</sst>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i/>
      <sz val="9"/>
      <color theme="1"/>
      <name val="Arial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i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rgb="FF7030A0"/>
      <name val="Arial"/>
      <family val="2"/>
    </font>
    <font>
      <b/>
      <sz val="12"/>
      <color rgb="FFFF0000"/>
      <name val="Arial"/>
      <family val="2"/>
    </font>
    <font>
      <b/>
      <sz val="12"/>
      <color rgb="FF0070C0"/>
      <name val="Arial"/>
      <family val="2"/>
    </font>
    <font>
      <b/>
      <i/>
      <sz val="12"/>
      <color rgb="FF000000"/>
      <name val="Arial"/>
      <family val="2"/>
    </font>
    <font>
      <sz val="12"/>
      <color rgb="FF000000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i/>
      <sz val="12"/>
      <color rgb="FF000000"/>
      <name val="Arial"/>
      <family val="2"/>
    </font>
    <font>
      <sz val="12"/>
      <color rgb="FF0000FF"/>
      <name val="Arial"/>
      <family val="2"/>
    </font>
    <font>
      <b/>
      <sz val="12"/>
      <color rgb="FF0000FF"/>
      <name val="Arial"/>
      <family val="2"/>
    </font>
    <font>
      <b/>
      <i/>
      <u/>
      <sz val="12"/>
      <color rgb="FF000000"/>
      <name val="Arial"/>
      <family val="2"/>
    </font>
    <font>
      <b/>
      <u/>
      <sz val="12"/>
      <color rgb="FF000000"/>
      <name val="Arial"/>
      <family val="2"/>
    </font>
    <font>
      <u/>
      <sz val="12"/>
      <color rgb="FF000000"/>
      <name val="Arial"/>
      <family val="2"/>
    </font>
    <font>
      <b/>
      <u/>
      <sz val="12"/>
      <color rgb="FFFF0000"/>
      <name val="Arial"/>
      <family val="2"/>
    </font>
    <font>
      <u/>
      <sz val="12"/>
      <color theme="1"/>
      <name val="Arial"/>
      <family val="2"/>
    </font>
    <font>
      <sz val="12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A5A5A5"/>
        <bgColor rgb="FFA5A5A5"/>
      </patternFill>
    </fill>
    <fill>
      <patternFill patternType="solid">
        <fgColor rgb="FFC8C8C8"/>
        <bgColor rgb="FFC8C8C8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9.9978637043366805E-2"/>
        <bgColor rgb="FFFFF2CC"/>
      </patternFill>
    </fill>
    <fill>
      <patternFill patternType="solid">
        <fgColor theme="6"/>
        <bgColor rgb="FFFFF2CC"/>
      </patternFill>
    </fill>
    <fill>
      <patternFill patternType="solid">
        <fgColor theme="6"/>
        <bgColor rgb="FF666666"/>
      </patternFill>
    </fill>
    <fill>
      <patternFill patternType="solid">
        <fgColor rgb="FFFFC000"/>
        <bgColor rgb="FF00000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0">
    <xf numFmtId="0" fontId="0" fillId="0" borderId="0" xfId="0"/>
    <xf numFmtId="0" fontId="4" fillId="0" borderId="0" xfId="0" applyFont="1"/>
    <xf numFmtId="0" fontId="4" fillId="0" borderId="0" xfId="0" applyFont="1" applyAlignment="1"/>
    <xf numFmtId="4" fontId="4" fillId="0" borderId="0" xfId="0" applyNumberFormat="1" applyFont="1" applyAlignment="1">
      <alignment horizontal="center"/>
    </xf>
    <xf numFmtId="4" fontId="4" fillId="0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0" fontId="5" fillId="3" borderId="0" xfId="0" applyFont="1" applyFill="1" applyBorder="1" applyAlignment="1">
      <alignment wrapText="1"/>
    </xf>
    <xf numFmtId="0" fontId="6" fillId="3" borderId="0" xfId="0" applyFont="1" applyFill="1" applyBorder="1" applyAlignment="1">
      <alignment wrapText="1"/>
    </xf>
    <xf numFmtId="4" fontId="6" fillId="3" borderId="0" xfId="0" applyNumberFormat="1" applyFont="1" applyFill="1" applyBorder="1" applyAlignment="1">
      <alignment horizontal="center" wrapText="1"/>
    </xf>
    <xf numFmtId="4" fontId="6" fillId="3" borderId="0" xfId="0" applyNumberFormat="1" applyFont="1" applyFill="1" applyAlignment="1">
      <alignment horizontal="center"/>
    </xf>
    <xf numFmtId="4" fontId="6" fillId="9" borderId="0" xfId="0" applyNumberFormat="1" applyFont="1" applyFill="1" applyBorder="1" applyAlignment="1">
      <alignment horizontal="center" wrapText="1"/>
    </xf>
    <xf numFmtId="2" fontId="6" fillId="3" borderId="0" xfId="0" applyNumberFormat="1" applyFont="1" applyFill="1" applyBorder="1" applyAlignment="1">
      <alignment horizontal="center" wrapText="1"/>
    </xf>
    <xf numFmtId="2" fontId="6" fillId="3" borderId="0" xfId="0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wrapText="1"/>
    </xf>
    <xf numFmtId="0" fontId="6" fillId="4" borderId="0" xfId="0" applyFont="1" applyFill="1" applyBorder="1" applyAlignment="1">
      <alignment wrapText="1"/>
    </xf>
    <xf numFmtId="0" fontId="3" fillId="4" borderId="0" xfId="0" applyFont="1" applyFill="1" applyBorder="1" applyAlignment="1">
      <alignment wrapText="1"/>
    </xf>
    <xf numFmtId="4" fontId="6" fillId="4" borderId="0" xfId="0" applyNumberFormat="1" applyFont="1" applyFill="1" applyBorder="1" applyAlignment="1">
      <alignment horizontal="center" wrapText="1"/>
    </xf>
    <xf numFmtId="4" fontId="6" fillId="4" borderId="0" xfId="0" applyNumberFormat="1" applyFont="1" applyFill="1" applyAlignment="1">
      <alignment horizontal="center"/>
    </xf>
    <xf numFmtId="4" fontId="6" fillId="8" borderId="0" xfId="0" applyNumberFormat="1" applyFont="1" applyFill="1" applyBorder="1" applyAlignment="1">
      <alignment horizontal="center" wrapText="1"/>
    </xf>
    <xf numFmtId="2" fontId="6" fillId="4" borderId="0" xfId="0" applyNumberFormat="1" applyFont="1" applyFill="1" applyBorder="1" applyAlignment="1">
      <alignment horizontal="center" wrapText="1"/>
    </xf>
    <xf numFmtId="2" fontId="7" fillId="4" borderId="0" xfId="0" applyNumberFormat="1" applyFont="1" applyFill="1" applyBorder="1" applyAlignment="1">
      <alignment horizontal="center" wrapText="1"/>
    </xf>
    <xf numFmtId="0" fontId="8" fillId="0" borderId="0" xfId="0" applyFont="1" applyFill="1" applyAlignment="1"/>
    <xf numFmtId="0" fontId="4" fillId="0" borderId="0" xfId="0" applyFont="1" applyFill="1" applyAlignment="1"/>
    <xf numFmtId="2" fontId="4" fillId="0" borderId="0" xfId="0" applyNumberFormat="1" applyFont="1" applyFill="1" applyAlignment="1">
      <alignment horizontal="center"/>
    </xf>
    <xf numFmtId="0" fontId="8" fillId="0" borderId="0" xfId="0" applyFont="1" applyAlignment="1"/>
    <xf numFmtId="0" fontId="8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/>
    <xf numFmtId="2" fontId="6" fillId="0" borderId="0" xfId="0" applyNumberFormat="1" applyFont="1" applyFill="1" applyAlignment="1">
      <alignment horizontal="center"/>
    </xf>
    <xf numFmtId="0" fontId="6" fillId="0" borderId="0" xfId="0" applyFont="1" applyFill="1" applyAlignment="1"/>
    <xf numFmtId="0" fontId="8" fillId="0" borderId="0" xfId="0" applyFont="1"/>
    <xf numFmtId="0" fontId="4" fillId="0" borderId="0" xfId="0" applyFont="1" applyAlignment="1">
      <alignment wrapText="1"/>
    </xf>
    <xf numFmtId="0" fontId="4" fillId="0" borderId="0" xfId="0" applyFont="1" applyBorder="1" applyAlignment="1"/>
    <xf numFmtId="0" fontId="8" fillId="0" borderId="0" xfId="0" applyFont="1" applyBorder="1" applyAlignment="1"/>
    <xf numFmtId="0" fontId="4" fillId="0" borderId="0" xfId="0" applyFont="1" applyBorder="1" applyAlignment="1">
      <alignment wrapText="1"/>
    </xf>
    <xf numFmtId="4" fontId="4" fillId="0" borderId="0" xfId="0" applyNumberFormat="1" applyFont="1" applyBorder="1" applyAlignment="1">
      <alignment horizontal="center"/>
    </xf>
    <xf numFmtId="0" fontId="8" fillId="0" borderId="0" xfId="0" applyFont="1" applyFill="1" applyBorder="1"/>
    <xf numFmtId="0" fontId="4" fillId="0" borderId="0" xfId="0" applyFont="1" applyFill="1" applyBorder="1"/>
    <xf numFmtId="4" fontId="6" fillId="0" borderId="0" xfId="0" applyNumberFormat="1" applyFont="1" applyFill="1" applyAlignment="1">
      <alignment horizontal="center"/>
    </xf>
    <xf numFmtId="0" fontId="8" fillId="5" borderId="0" xfId="0" applyFont="1" applyFill="1" applyAlignment="1"/>
    <xf numFmtId="0" fontId="4" fillId="5" borderId="0" xfId="0" applyFont="1" applyFill="1" applyAlignment="1"/>
    <xf numFmtId="0" fontId="6" fillId="5" borderId="0" xfId="0" applyFont="1" applyFill="1" applyAlignment="1"/>
    <xf numFmtId="4" fontId="4" fillId="5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0" fontId="4" fillId="5" borderId="0" xfId="0" applyFont="1" applyFill="1" applyAlignment="1">
      <alignment wrapText="1"/>
    </xf>
    <xf numFmtId="0" fontId="8" fillId="0" borderId="0" xfId="0" applyFont="1" applyBorder="1"/>
    <xf numFmtId="0" fontId="8" fillId="0" borderId="0" xfId="0" applyFont="1" applyFill="1" applyBorder="1" applyAlignment="1"/>
    <xf numFmtId="4" fontId="4" fillId="0" borderId="0" xfId="0" applyNumberFormat="1" applyFont="1" applyFill="1" applyBorder="1" applyAlignment="1">
      <alignment horizontal="center"/>
    </xf>
    <xf numFmtId="0" fontId="4" fillId="5" borderId="0" xfId="0" applyFont="1" applyFill="1" applyBorder="1" applyAlignment="1"/>
    <xf numFmtId="0" fontId="4" fillId="0" borderId="0" xfId="0" applyFont="1" applyBorder="1"/>
    <xf numFmtId="0" fontId="8" fillId="5" borderId="0" xfId="0" applyFont="1" applyFill="1"/>
    <xf numFmtId="0" fontId="4" fillId="6" borderId="0" xfId="0" applyFont="1" applyFill="1" applyAlignment="1">
      <alignment horizontal="left"/>
    </xf>
    <xf numFmtId="0" fontId="8" fillId="5" borderId="0" xfId="0" applyFont="1" applyFill="1" applyBorder="1" applyAlignment="1"/>
    <xf numFmtId="4" fontId="4" fillId="5" borderId="0" xfId="0" applyNumberFormat="1" applyFont="1" applyFill="1" applyBorder="1" applyAlignment="1">
      <alignment horizontal="center"/>
    </xf>
    <xf numFmtId="0" fontId="8" fillId="6" borderId="0" xfId="0" applyFont="1" applyFill="1" applyAlignment="1"/>
    <xf numFmtId="0" fontId="4" fillId="6" borderId="0" xfId="0" applyFont="1" applyFill="1" applyAlignment="1">
      <alignment wrapText="1"/>
    </xf>
    <xf numFmtId="0" fontId="4" fillId="6" borderId="0" xfId="0" applyFont="1" applyFill="1" applyAlignment="1"/>
    <xf numFmtId="4" fontId="4" fillId="6" borderId="0" xfId="0" applyNumberFormat="1" applyFont="1" applyFill="1" applyAlignment="1">
      <alignment horizontal="center"/>
    </xf>
    <xf numFmtId="0" fontId="6" fillId="0" borderId="0" xfId="0" applyFont="1" applyFill="1"/>
    <xf numFmtId="2" fontId="4" fillId="12" borderId="0" xfId="0" applyNumberFormat="1" applyFont="1" applyFill="1" applyAlignment="1">
      <alignment horizontal="center"/>
    </xf>
    <xf numFmtId="0" fontId="8" fillId="7" borderId="0" xfId="0" applyFont="1" applyFill="1" applyAlignment="1"/>
    <xf numFmtId="0" fontId="4" fillId="7" borderId="0" xfId="0" applyFont="1" applyFill="1" applyAlignment="1">
      <alignment wrapText="1"/>
    </xf>
    <xf numFmtId="0" fontId="4" fillId="7" borderId="0" xfId="0" applyFont="1" applyFill="1" applyAlignment="1"/>
    <xf numFmtId="4" fontId="4" fillId="7" borderId="0" xfId="0" applyNumberFormat="1" applyFont="1" applyFill="1" applyAlignment="1">
      <alignment horizontal="center"/>
    </xf>
    <xf numFmtId="0" fontId="8" fillId="0" borderId="0" xfId="0" applyFont="1" applyFill="1" applyAlignment="1">
      <alignment wrapText="1"/>
    </xf>
    <xf numFmtId="4" fontId="4" fillId="0" borderId="0" xfId="0" applyNumberFormat="1" applyFont="1" applyFill="1" applyAlignment="1">
      <alignment horizontal="center" wrapText="1"/>
    </xf>
    <xf numFmtId="0" fontId="8" fillId="6" borderId="0" xfId="0" applyFont="1" applyFill="1" applyBorder="1" applyAlignment="1"/>
    <xf numFmtId="0" fontId="4" fillId="6" borderId="0" xfId="0" applyFont="1" applyFill="1" applyBorder="1" applyAlignment="1">
      <alignment wrapText="1"/>
    </xf>
    <xf numFmtId="4" fontId="4" fillId="6" borderId="0" xfId="0" applyNumberFormat="1" applyFont="1" applyFill="1" applyBorder="1" applyAlignment="1">
      <alignment horizontal="center"/>
    </xf>
    <xf numFmtId="0" fontId="5" fillId="8" borderId="0" xfId="0" applyFont="1" applyFill="1" applyAlignment="1"/>
    <xf numFmtId="0" fontId="6" fillId="8" borderId="0" xfId="0" applyFont="1" applyFill="1" applyAlignment="1"/>
    <xf numFmtId="4" fontId="6" fillId="8" borderId="0" xfId="0" applyNumberFormat="1" applyFont="1" applyFill="1" applyAlignment="1">
      <alignment horizontal="center"/>
    </xf>
    <xf numFmtId="2" fontId="6" fillId="8" borderId="0" xfId="0" applyNumberFormat="1" applyFont="1" applyFill="1" applyAlignment="1">
      <alignment horizontal="center"/>
    </xf>
    <xf numFmtId="4" fontId="4" fillId="8" borderId="0" xfId="0" applyNumberFormat="1" applyFont="1" applyFill="1" applyAlignment="1">
      <alignment horizontal="center"/>
    </xf>
    <xf numFmtId="2" fontId="4" fillId="8" borderId="0" xfId="0" applyNumberFormat="1" applyFont="1" applyFill="1" applyAlignment="1">
      <alignment horizontal="center"/>
    </xf>
    <xf numFmtId="0" fontId="4" fillId="8" borderId="0" xfId="0" applyFont="1" applyFill="1" applyAlignment="1"/>
    <xf numFmtId="0" fontId="5" fillId="8" borderId="0" xfId="0" applyFont="1" applyFill="1"/>
    <xf numFmtId="0" fontId="6" fillId="8" borderId="0" xfId="0" applyFont="1" applyFill="1"/>
    <xf numFmtId="0" fontId="6" fillId="8" borderId="0" xfId="0" applyFont="1" applyFill="1" applyBorder="1" applyAlignment="1"/>
    <xf numFmtId="0" fontId="5" fillId="8" borderId="0" xfId="0" applyFont="1" applyFill="1" applyBorder="1"/>
    <xf numFmtId="0" fontId="6" fillId="8" borderId="0" xfId="0" applyFont="1" applyFill="1" applyBorder="1"/>
    <xf numFmtId="0" fontId="5" fillId="8" borderId="0" xfId="0" applyFont="1" applyFill="1" applyBorder="1" applyAlignment="1"/>
    <xf numFmtId="4" fontId="6" fillId="8" borderId="0" xfId="0" applyNumberFormat="1" applyFont="1" applyFill="1" applyBorder="1" applyAlignment="1">
      <alignment horizontal="center"/>
    </xf>
    <xf numFmtId="0" fontId="6" fillId="8" borderId="0" xfId="0" applyFont="1" applyFill="1" applyAlignment="1">
      <alignment wrapText="1"/>
    </xf>
    <xf numFmtId="4" fontId="9" fillId="8" borderId="0" xfId="0" applyNumberFormat="1" applyFont="1" applyFill="1" applyAlignment="1">
      <alignment horizontal="center"/>
    </xf>
    <xf numFmtId="4" fontId="5" fillId="8" borderId="0" xfId="0" applyNumberFormat="1" applyFont="1" applyFill="1" applyAlignment="1">
      <alignment horizontal="center"/>
    </xf>
    <xf numFmtId="0" fontId="5" fillId="8" borderId="0" xfId="0" applyFont="1" applyFill="1" applyAlignment="1">
      <alignment wrapText="1"/>
    </xf>
    <xf numFmtId="0" fontId="5" fillId="3" borderId="0" xfId="0" applyFont="1" applyFill="1" applyBorder="1" applyAlignment="1">
      <alignment horizontal="left" wrapText="1"/>
    </xf>
    <xf numFmtId="0" fontId="6" fillId="3" borderId="0" xfId="0" applyFont="1" applyFill="1" applyBorder="1" applyAlignment="1">
      <alignment horizontal="left" wrapText="1"/>
    </xf>
    <xf numFmtId="2" fontId="12" fillId="3" borderId="0" xfId="0" applyNumberFormat="1" applyFont="1" applyFill="1" applyBorder="1" applyAlignment="1">
      <alignment horizontal="center" wrapText="1"/>
    </xf>
    <xf numFmtId="2" fontId="12" fillId="3" borderId="0" xfId="0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left" wrapText="1"/>
    </xf>
    <xf numFmtId="0" fontId="6" fillId="4" borderId="0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left" wrapText="1"/>
    </xf>
    <xf numFmtId="2" fontId="12" fillId="4" borderId="0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/>
    <xf numFmtId="2" fontId="9" fillId="0" borderId="0" xfId="0" applyNumberFormat="1" applyFont="1" applyFill="1" applyBorder="1" applyAlignment="1">
      <alignment horizontal="center" wrapText="1"/>
    </xf>
    <xf numFmtId="2" fontId="14" fillId="0" borderId="0" xfId="0" applyNumberFormat="1" applyFont="1" applyFill="1" applyAlignment="1"/>
    <xf numFmtId="2" fontId="14" fillId="0" borderId="0" xfId="0" applyNumberFormat="1" applyFont="1" applyFill="1" applyAlignment="1">
      <alignment horizontal="center"/>
    </xf>
    <xf numFmtId="2" fontId="14" fillId="0" borderId="0" xfId="0" applyNumberFormat="1" applyFont="1" applyFill="1" applyAlignment="1">
      <alignment wrapText="1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2" fontId="4" fillId="0" borderId="0" xfId="0" applyNumberFormat="1" applyFont="1"/>
    <xf numFmtId="2" fontId="4" fillId="11" borderId="0" xfId="0" applyNumberFormat="1" applyFont="1" applyFill="1" applyAlignment="1">
      <alignment horizontal="center"/>
    </xf>
    <xf numFmtId="2" fontId="4" fillId="2" borderId="0" xfId="0" applyNumberFormat="1" applyFont="1" applyFill="1" applyAlignment="1">
      <alignment horizontal="center"/>
    </xf>
    <xf numFmtId="2" fontId="4" fillId="1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/>
    <xf numFmtId="2" fontId="6" fillId="0" borderId="0" xfId="0" applyNumberFormat="1" applyFont="1"/>
    <xf numFmtId="0" fontId="2" fillId="9" borderId="0" xfId="0" applyFont="1" applyFill="1" applyAlignment="1">
      <alignment horizontal="left"/>
    </xf>
    <xf numFmtId="0" fontId="2" fillId="9" borderId="0" xfId="0" applyFont="1" applyFill="1"/>
    <xf numFmtId="2" fontId="2" fillId="9" borderId="0" xfId="0" applyNumberFormat="1" applyFont="1" applyFill="1" applyAlignment="1">
      <alignment horizontal="center"/>
    </xf>
    <xf numFmtId="2" fontId="2" fillId="9" borderId="0" xfId="0" applyNumberFormat="1" applyFont="1" applyFill="1"/>
    <xf numFmtId="2" fontId="6" fillId="3" borderId="0" xfId="0" applyNumberFormat="1" applyFont="1" applyFill="1" applyAlignment="1">
      <alignment horizontal="center"/>
    </xf>
    <xf numFmtId="2" fontId="6" fillId="9" borderId="0" xfId="0" applyNumberFormat="1" applyFont="1" applyFill="1" applyBorder="1" applyAlignment="1">
      <alignment horizontal="center" wrapText="1"/>
    </xf>
    <xf numFmtId="2" fontId="6" fillId="4" borderId="0" xfId="0" applyNumberFormat="1" applyFont="1" applyFill="1" applyAlignment="1">
      <alignment horizontal="center"/>
    </xf>
    <xf numFmtId="2" fontId="6" fillId="8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2" fontId="6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Alignment="1"/>
    <xf numFmtId="2" fontId="4" fillId="0" borderId="0" xfId="0" applyNumberFormat="1" applyFont="1" applyFill="1" applyAlignment="1">
      <alignment wrapText="1"/>
    </xf>
    <xf numFmtId="2" fontId="15" fillId="10" borderId="0" xfId="0" applyNumberFormat="1" applyFont="1" applyFill="1" applyBorder="1" applyAlignment="1">
      <alignment horizontal="center" wrapText="1"/>
    </xf>
    <xf numFmtId="2" fontId="15" fillId="10" borderId="0" xfId="0" applyNumberFormat="1" applyFont="1" applyFill="1" applyAlignment="1">
      <alignment horizontal="center"/>
    </xf>
    <xf numFmtId="2" fontId="15" fillId="11" borderId="0" xfId="0" applyNumberFormat="1" applyFont="1" applyFill="1" applyBorder="1" applyAlignment="1">
      <alignment horizontal="center" wrapText="1"/>
    </xf>
    <xf numFmtId="2" fontId="15" fillId="11" borderId="0" xfId="0" applyNumberFormat="1" applyFont="1" applyFill="1" applyAlignment="1">
      <alignment horizontal="center"/>
    </xf>
    <xf numFmtId="2" fontId="15" fillId="2" borderId="0" xfId="0" applyNumberFormat="1" applyFont="1" applyFill="1" applyBorder="1" applyAlignment="1">
      <alignment horizontal="center" wrapText="1"/>
    </xf>
    <xf numFmtId="2" fontId="15" fillId="2" borderId="0" xfId="0" applyNumberFormat="1" applyFont="1" applyFill="1" applyAlignment="1">
      <alignment horizontal="center"/>
    </xf>
    <xf numFmtId="2" fontId="15" fillId="12" borderId="0" xfId="0" applyNumberFormat="1" applyFont="1" applyFill="1" applyBorder="1" applyAlignment="1">
      <alignment horizontal="center" wrapText="1"/>
    </xf>
    <xf numFmtId="2" fontId="15" fillId="12" borderId="0" xfId="0" applyNumberFormat="1" applyFont="1" applyFill="1" applyAlignment="1">
      <alignment horizontal="center"/>
    </xf>
    <xf numFmtId="2" fontId="15" fillId="13" borderId="0" xfId="0" applyNumberFormat="1" applyFont="1" applyFill="1" applyBorder="1" applyAlignment="1">
      <alignment horizontal="center" wrapText="1"/>
    </xf>
    <xf numFmtId="2" fontId="15" fillId="14" borderId="0" xfId="0" applyNumberFormat="1" applyFont="1" applyFill="1" applyBorder="1" applyAlignment="1">
      <alignment horizontal="center" wrapText="1"/>
    </xf>
    <xf numFmtId="0" fontId="9" fillId="3" borderId="0" xfId="0" applyFont="1" applyFill="1" applyAlignment="1">
      <alignment wrapText="1"/>
    </xf>
    <xf numFmtId="4" fontId="9" fillId="3" borderId="0" xfId="0" applyNumberFormat="1" applyFont="1" applyFill="1" applyAlignment="1">
      <alignment wrapText="1"/>
    </xf>
    <xf numFmtId="4" fontId="6" fillId="3" borderId="0" xfId="0" applyNumberFormat="1" applyFont="1" applyFill="1" applyAlignment="1">
      <alignment wrapText="1"/>
    </xf>
    <xf numFmtId="4" fontId="6" fillId="3" borderId="0" xfId="0" applyNumberFormat="1" applyFont="1" applyFill="1"/>
    <xf numFmtId="4" fontId="6" fillId="17" borderId="0" xfId="0" applyNumberFormat="1" applyFont="1" applyFill="1" applyAlignment="1">
      <alignment wrapText="1"/>
    </xf>
    <xf numFmtId="0" fontId="14" fillId="0" borderId="0" xfId="0" applyFont="1"/>
    <xf numFmtId="0" fontId="13" fillId="4" borderId="0" xfId="0" applyFont="1" applyFill="1" applyAlignment="1">
      <alignment wrapText="1"/>
    </xf>
    <xf numFmtId="0" fontId="9" fillId="4" borderId="0" xfId="0" applyFont="1" applyFill="1" applyAlignment="1">
      <alignment wrapText="1"/>
    </xf>
    <xf numFmtId="4" fontId="9" fillId="4" borderId="0" xfId="0" applyNumberFormat="1" applyFont="1" applyFill="1" applyAlignment="1">
      <alignment wrapText="1"/>
    </xf>
    <xf numFmtId="4" fontId="16" fillId="4" borderId="0" xfId="0" applyNumberFormat="1" applyFont="1" applyFill="1"/>
    <xf numFmtId="0" fontId="17" fillId="0" borderId="0" xfId="0" applyFont="1"/>
    <xf numFmtId="0" fontId="9" fillId="0" borderId="0" xfId="0" applyFont="1" applyAlignment="1">
      <alignment wrapText="1"/>
    </xf>
    <xf numFmtId="0" fontId="14" fillId="0" borderId="0" xfId="0" applyFont="1" applyAlignment="1">
      <alignment wrapText="1"/>
    </xf>
    <xf numFmtId="4" fontId="4" fillId="0" borderId="0" xfId="0" applyNumberFormat="1" applyFont="1"/>
    <xf numFmtId="0" fontId="14" fillId="14" borderId="0" xfId="0" applyFont="1" applyFill="1" applyAlignment="1">
      <alignment wrapText="1"/>
    </xf>
    <xf numFmtId="4" fontId="4" fillId="14" borderId="0" xfId="0" applyNumberFormat="1" applyFont="1" applyFill="1"/>
    <xf numFmtId="1" fontId="4" fillId="0" borderId="0" xfId="0" applyNumberFormat="1" applyFont="1"/>
    <xf numFmtId="0" fontId="14" fillId="13" borderId="0" xfId="0" applyFont="1" applyFill="1" applyAlignment="1">
      <alignment wrapText="1"/>
    </xf>
    <xf numFmtId="4" fontId="4" fillId="13" borderId="0" xfId="0" applyNumberFormat="1" applyFont="1" applyFill="1"/>
    <xf numFmtId="0" fontId="14" fillId="12" borderId="0" xfId="0" applyFont="1" applyFill="1" applyAlignment="1">
      <alignment wrapText="1"/>
    </xf>
    <xf numFmtId="4" fontId="4" fillId="12" borderId="0" xfId="0" applyNumberFormat="1" applyFont="1" applyFill="1"/>
    <xf numFmtId="0" fontId="14" fillId="2" borderId="0" xfId="0" applyFont="1" applyFill="1" applyAlignment="1">
      <alignment wrapText="1"/>
    </xf>
    <xf numFmtId="4" fontId="4" fillId="2" borderId="0" xfId="0" applyNumberFormat="1" applyFont="1" applyFill="1"/>
    <xf numFmtId="0" fontId="14" fillId="11" borderId="0" xfId="0" applyFont="1" applyFill="1" applyAlignment="1">
      <alignment wrapText="1"/>
    </xf>
    <xf numFmtId="4" fontId="4" fillId="11" borderId="0" xfId="0" applyNumberFormat="1" applyFont="1" applyFill="1"/>
    <xf numFmtId="0" fontId="4" fillId="10" borderId="0" xfId="0" applyFont="1" applyFill="1" applyAlignment="1">
      <alignment wrapText="1"/>
    </xf>
    <xf numFmtId="0" fontId="14" fillId="10" borderId="0" xfId="0" applyFont="1" applyFill="1" applyAlignment="1">
      <alignment wrapText="1"/>
    </xf>
    <xf numFmtId="4" fontId="4" fillId="10" borderId="0" xfId="0" applyNumberFormat="1" applyFont="1" applyFill="1"/>
    <xf numFmtId="0" fontId="13" fillId="0" borderId="0" xfId="0" applyFont="1"/>
    <xf numFmtId="0" fontId="9" fillId="0" borderId="0" xfId="0" applyFont="1"/>
    <xf numFmtId="4" fontId="9" fillId="0" borderId="0" xfId="0" applyNumberFormat="1" applyFont="1"/>
    <xf numFmtId="0" fontId="18" fillId="0" borderId="0" xfId="0" applyFont="1"/>
    <xf numFmtId="0" fontId="5" fillId="0" borderId="0" xfId="0" applyFont="1"/>
    <xf numFmtId="4" fontId="6" fillId="0" borderId="0" xfId="0" applyNumberFormat="1" applyFont="1"/>
    <xf numFmtId="0" fontId="19" fillId="0" borderId="0" xfId="0" applyFont="1"/>
    <xf numFmtId="0" fontId="4" fillId="5" borderId="0" xfId="0" applyFont="1" applyFill="1"/>
    <xf numFmtId="0" fontId="18" fillId="5" borderId="0" xfId="0" applyFont="1" applyFill="1"/>
    <xf numFmtId="4" fontId="6" fillId="16" borderId="0" xfId="0" applyNumberFormat="1" applyFont="1" applyFill="1" applyAlignment="1">
      <alignment wrapText="1"/>
    </xf>
    <xf numFmtId="2" fontId="11" fillId="0" borderId="0" xfId="0" applyNumberFormat="1" applyFont="1" applyFill="1" applyBorder="1" applyAlignment="1">
      <alignment horizontal="center" wrapText="1"/>
    </xf>
    <xf numFmtId="2" fontId="11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2" fontId="4" fillId="0" borderId="0" xfId="0" applyNumberFormat="1" applyFont="1" applyFill="1"/>
    <xf numFmtId="0" fontId="20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 wrapText="1"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/>
    <xf numFmtId="2" fontId="21" fillId="0" borderId="0" xfId="0" applyNumberFormat="1" applyFont="1" applyFill="1" applyBorder="1" applyAlignment="1">
      <alignment horizontal="center" wrapText="1"/>
    </xf>
    <xf numFmtId="2" fontId="23" fillId="0" borderId="0" xfId="0" applyNumberFormat="1" applyFont="1" applyFill="1" applyBorder="1" applyAlignment="1">
      <alignment horizontal="center" wrapText="1"/>
    </xf>
    <xf numFmtId="2" fontId="23" fillId="0" borderId="0" xfId="0" applyNumberFormat="1" applyFont="1" applyFill="1" applyAlignment="1">
      <alignment horizontal="center"/>
    </xf>
    <xf numFmtId="2" fontId="24" fillId="0" borderId="0" xfId="0" applyNumberFormat="1" applyFont="1"/>
    <xf numFmtId="0" fontId="24" fillId="0" borderId="0" xfId="0" applyFont="1"/>
    <xf numFmtId="2" fontId="4" fillId="10" borderId="0" xfId="0" applyNumberFormat="1" applyFont="1" applyFill="1" applyBorder="1" applyAlignment="1">
      <alignment horizontal="center" wrapText="1"/>
    </xf>
    <xf numFmtId="2" fontId="4" fillId="11" borderId="0" xfId="0" applyNumberFormat="1" applyFont="1" applyFill="1" applyBorder="1" applyAlignment="1">
      <alignment horizontal="center" wrapText="1"/>
    </xf>
    <xf numFmtId="2" fontId="4" fillId="2" borderId="0" xfId="0" applyNumberFormat="1" applyFont="1" applyFill="1" applyBorder="1" applyAlignment="1">
      <alignment horizontal="center" wrapText="1"/>
    </xf>
    <xf numFmtId="2" fontId="4" fillId="12" borderId="0" xfId="0" applyNumberFormat="1" applyFont="1" applyFill="1" applyBorder="1" applyAlignment="1">
      <alignment horizontal="center" wrapText="1"/>
    </xf>
    <xf numFmtId="2" fontId="4" fillId="13" borderId="0" xfId="0" applyNumberFormat="1" applyFont="1" applyFill="1" applyBorder="1" applyAlignment="1">
      <alignment horizontal="center" wrapText="1"/>
    </xf>
    <xf numFmtId="2" fontId="4" fillId="13" borderId="0" xfId="0" applyNumberFormat="1" applyFont="1" applyFill="1" applyAlignment="1">
      <alignment horizontal="center"/>
    </xf>
    <xf numFmtId="2" fontId="4" fillId="14" borderId="0" xfId="0" applyNumberFormat="1" applyFont="1" applyFill="1" applyBorder="1" applyAlignment="1">
      <alignment horizontal="center" wrapText="1"/>
    </xf>
    <xf numFmtId="2" fontId="4" fillId="14" borderId="0" xfId="0" applyNumberFormat="1" applyFont="1" applyFill="1" applyAlignment="1">
      <alignment horizontal="center"/>
    </xf>
    <xf numFmtId="9" fontId="4" fillId="0" borderId="0" xfId="1" applyFont="1" applyAlignment="1">
      <alignment horizontal="center"/>
    </xf>
    <xf numFmtId="2" fontId="4" fillId="9" borderId="0" xfId="0" applyNumberFormat="1" applyFont="1" applyFill="1" applyAlignment="1">
      <alignment horizontal="left" vertical="center"/>
    </xf>
    <xf numFmtId="0" fontId="17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2" fontId="14" fillId="0" borderId="0" xfId="0" applyNumberFormat="1" applyFont="1" applyAlignment="1">
      <alignment horizontal="center"/>
    </xf>
    <xf numFmtId="2" fontId="14" fillId="0" borderId="0" xfId="0" applyNumberFormat="1" applyFont="1"/>
    <xf numFmtId="2" fontId="14" fillId="19" borderId="0" xfId="0" applyNumberFormat="1" applyFont="1" applyFill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9" fontId="4" fillId="0" borderId="0" xfId="0" applyNumberFormat="1" applyFont="1" applyAlignment="1">
      <alignment horizontal="center" wrapText="1"/>
    </xf>
    <xf numFmtId="0" fontId="6" fillId="0" borderId="0" xfId="0" applyFont="1" applyAlignment="1">
      <alignment wrapText="1"/>
    </xf>
    <xf numFmtId="9" fontId="4" fillId="0" borderId="0" xfId="0" applyNumberFormat="1" applyFont="1"/>
    <xf numFmtId="4" fontId="6" fillId="3" borderId="0" xfId="0" applyNumberFormat="1" applyFont="1" applyFill="1" applyAlignment="1">
      <alignment horizontal="center" wrapText="1"/>
    </xf>
    <xf numFmtId="4" fontId="6" fillId="17" borderId="0" xfId="0" applyNumberFormat="1" applyFont="1" applyFill="1" applyAlignment="1">
      <alignment horizontal="center" wrapText="1"/>
    </xf>
    <xf numFmtId="4" fontId="4" fillId="14" borderId="0" xfId="0" applyNumberFormat="1" applyFont="1" applyFill="1" applyAlignment="1">
      <alignment horizontal="center"/>
    </xf>
    <xf numFmtId="4" fontId="4" fillId="13" borderId="0" xfId="0" applyNumberFormat="1" applyFont="1" applyFill="1" applyAlignment="1">
      <alignment horizontal="center"/>
    </xf>
    <xf numFmtId="4" fontId="4" fillId="12" borderId="0" xfId="0" applyNumberFormat="1" applyFont="1" applyFill="1" applyAlignment="1">
      <alignment horizontal="center"/>
    </xf>
    <xf numFmtId="4" fontId="4" fillId="2" borderId="0" xfId="0" applyNumberFormat="1" applyFont="1" applyFill="1" applyAlignment="1">
      <alignment horizontal="center"/>
    </xf>
    <xf numFmtId="4" fontId="14" fillId="2" borderId="0" xfId="0" applyNumberFormat="1" applyFont="1" applyFill="1" applyAlignment="1">
      <alignment horizontal="center"/>
    </xf>
    <xf numFmtId="4" fontId="14" fillId="11" borderId="0" xfId="0" applyNumberFormat="1" applyFont="1" applyFill="1" applyAlignment="1">
      <alignment horizontal="center"/>
    </xf>
    <xf numFmtId="4" fontId="4" fillId="11" borderId="0" xfId="0" applyNumberFormat="1" applyFont="1" applyFill="1" applyAlignment="1">
      <alignment horizontal="center"/>
    </xf>
    <xf numFmtId="4" fontId="4" fillId="10" borderId="0" xfId="0" applyNumberFormat="1" applyFont="1" applyFill="1" applyAlignment="1">
      <alignment horizontal="center"/>
    </xf>
    <xf numFmtId="0" fontId="6" fillId="9" borderId="0" xfId="0" applyFont="1" applyFill="1" applyAlignment="1">
      <alignment horizontal="left"/>
    </xf>
    <xf numFmtId="0" fontId="6" fillId="9" borderId="0" xfId="0" applyFont="1" applyFill="1"/>
    <xf numFmtId="2" fontId="6" fillId="9" borderId="0" xfId="0" applyNumberFormat="1" applyFont="1" applyFill="1" applyAlignment="1">
      <alignment horizontal="center"/>
    </xf>
    <xf numFmtId="2" fontId="6" fillId="9" borderId="0" xfId="0" applyNumberFormat="1" applyFont="1" applyFill="1"/>
    <xf numFmtId="0" fontId="9" fillId="9" borderId="0" xfId="0" applyFont="1" applyFill="1" applyBorder="1" applyAlignment="1">
      <alignment horizontal="left"/>
    </xf>
    <xf numFmtId="0" fontId="13" fillId="9" borderId="0" xfId="0" applyFont="1" applyFill="1" applyBorder="1" applyAlignment="1">
      <alignment horizontal="left"/>
    </xf>
    <xf numFmtId="0" fontId="14" fillId="9" borderId="0" xfId="0" applyFont="1" applyFill="1" applyAlignment="1">
      <alignment horizontal="left"/>
    </xf>
    <xf numFmtId="0" fontId="14" fillId="9" borderId="0" xfId="0" applyFont="1" applyFill="1" applyAlignment="1"/>
    <xf numFmtId="0" fontId="13" fillId="15" borderId="0" xfId="0" applyFont="1" applyFill="1" applyBorder="1" applyAlignment="1">
      <alignment horizontal="left"/>
    </xf>
    <xf numFmtId="0" fontId="13" fillId="15" borderId="0" xfId="0" applyFont="1" applyFill="1" applyBorder="1" applyAlignment="1">
      <alignment horizontal="left" wrapText="1"/>
    </xf>
    <xf numFmtId="0" fontId="9" fillId="15" borderId="0" xfId="0" applyFont="1" applyFill="1" applyBorder="1" applyAlignment="1">
      <alignment horizontal="left" wrapText="1"/>
    </xf>
    <xf numFmtId="0" fontId="14" fillId="15" borderId="0" xfId="0" applyFont="1" applyFill="1" applyAlignment="1">
      <alignment horizontal="left"/>
    </xf>
    <xf numFmtId="0" fontId="14" fillId="15" borderId="0" xfId="0" applyFont="1" applyFill="1" applyAlignment="1"/>
    <xf numFmtId="2" fontId="9" fillId="15" borderId="0" xfId="0" applyNumberFormat="1" applyFont="1" applyFill="1" applyBorder="1" applyAlignment="1">
      <alignment horizontal="center" wrapText="1"/>
    </xf>
    <xf numFmtId="2" fontId="11" fillId="15" borderId="0" xfId="0" applyNumberFormat="1" applyFont="1" applyFill="1" applyBorder="1" applyAlignment="1">
      <alignment horizontal="center" wrapText="1"/>
    </xf>
    <xf numFmtId="2" fontId="11" fillId="15" borderId="0" xfId="0" applyNumberFormat="1" applyFont="1" applyFill="1" applyAlignment="1">
      <alignment horizontal="center"/>
    </xf>
    <xf numFmtId="2" fontId="14" fillId="15" borderId="0" xfId="0" applyNumberFormat="1" applyFont="1" applyFill="1" applyAlignment="1">
      <alignment horizontal="center"/>
    </xf>
    <xf numFmtId="2" fontId="14" fillId="15" borderId="0" xfId="0" applyNumberFormat="1" applyFont="1" applyFill="1" applyAlignment="1">
      <alignment wrapText="1"/>
    </xf>
    <xf numFmtId="2" fontId="14" fillId="15" borderId="0" xfId="0" applyNumberFormat="1" applyFont="1" applyFill="1" applyAlignment="1"/>
    <xf numFmtId="0" fontId="6" fillId="18" borderId="0" xfId="0" applyFont="1" applyFill="1" applyAlignment="1"/>
    <xf numFmtId="0" fontId="6" fillId="18" borderId="0" xfId="0" applyFont="1" applyFill="1"/>
    <xf numFmtId="0" fontId="4" fillId="9" borderId="0" xfId="0" applyFont="1" applyFill="1" applyAlignment="1"/>
    <xf numFmtId="0" fontId="5" fillId="18" borderId="0" xfId="0" applyFont="1" applyFill="1" applyAlignment="1">
      <alignment wrapText="1"/>
    </xf>
    <xf numFmtId="4" fontId="6" fillId="18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8" borderId="0" xfId="0" applyFont="1" applyFill="1" applyAlignment="1">
      <alignment wrapText="1"/>
    </xf>
    <xf numFmtId="0" fontId="8" fillId="0" borderId="0" xfId="0" applyFont="1" applyBorder="1" applyAlignment="1">
      <alignment wrapText="1"/>
    </xf>
    <xf numFmtId="0" fontId="5" fillId="0" borderId="0" xfId="0" applyFont="1" applyFill="1" applyAlignment="1">
      <alignment wrapText="1"/>
    </xf>
    <xf numFmtId="0" fontId="5" fillId="8" borderId="0" xfId="0" applyFont="1" applyFill="1" applyBorder="1" applyAlignment="1">
      <alignment wrapText="1"/>
    </xf>
    <xf numFmtId="0" fontId="8" fillId="5" borderId="0" xfId="0" applyFont="1" applyFill="1" applyAlignment="1">
      <alignment wrapText="1"/>
    </xf>
    <xf numFmtId="0" fontId="8" fillId="6" borderId="0" xfId="0" applyFont="1" applyFill="1" applyAlignment="1">
      <alignment wrapText="1"/>
    </xf>
    <xf numFmtId="0" fontId="8" fillId="5" borderId="0" xfId="0" applyFont="1" applyFill="1" applyBorder="1" applyAlignment="1">
      <alignment wrapText="1"/>
    </xf>
    <xf numFmtId="0" fontId="8" fillId="7" borderId="0" xfId="0" applyFont="1" applyFill="1" applyAlignment="1">
      <alignment wrapText="1"/>
    </xf>
    <xf numFmtId="0" fontId="8" fillId="6" borderId="0" xfId="0" applyFont="1" applyFill="1" applyBorder="1" applyAlignment="1">
      <alignment wrapText="1"/>
    </xf>
    <xf numFmtId="0" fontId="6" fillId="9" borderId="0" xfId="0" applyFont="1" applyFill="1" applyAlignment="1"/>
    <xf numFmtId="0" fontId="5" fillId="9" borderId="0" xfId="0" applyFont="1" applyFill="1" applyAlignment="1">
      <alignment wrapText="1"/>
    </xf>
    <xf numFmtId="4" fontId="6" fillId="9" borderId="0" xfId="0" applyNumberFormat="1" applyFont="1" applyFill="1" applyAlignment="1">
      <alignment horizontal="center"/>
    </xf>
    <xf numFmtId="0" fontId="8" fillId="9" borderId="0" xfId="0" applyFont="1" applyFill="1" applyAlignment="1">
      <alignment wrapText="1"/>
    </xf>
    <xf numFmtId="4" fontId="4" fillId="9" borderId="0" xfId="0" applyNumberFormat="1" applyFont="1" applyFill="1" applyAlignment="1">
      <alignment horizontal="center"/>
    </xf>
    <xf numFmtId="2" fontId="4" fillId="9" borderId="0" xfId="0" applyNumberFormat="1" applyFont="1" applyFill="1" applyAlignment="1">
      <alignment horizontal="center"/>
    </xf>
    <xf numFmtId="2" fontId="6" fillId="18" borderId="0" xfId="0" applyNumberFormat="1" applyFont="1" applyFill="1" applyAlignment="1">
      <alignment horizontal="center"/>
    </xf>
    <xf numFmtId="0" fontId="16" fillId="9" borderId="0" xfId="0" applyFont="1" applyFill="1"/>
    <xf numFmtId="0" fontId="9" fillId="9" borderId="0" xfId="0" applyFont="1" applyFill="1"/>
    <xf numFmtId="0" fontId="16" fillId="9" borderId="0" xfId="0" applyFont="1" applyFill="1" applyAlignment="1">
      <alignment wrapText="1"/>
    </xf>
    <xf numFmtId="0" fontId="14" fillId="9" borderId="0" xfId="0" applyFont="1" applyFill="1"/>
    <xf numFmtId="0" fontId="25" fillId="9" borderId="0" xfId="0" applyFont="1" applyFill="1"/>
    <xf numFmtId="0" fontId="25" fillId="9" borderId="0" xfId="0" applyFont="1" applyFill="1" applyAlignment="1">
      <alignment wrapText="1"/>
    </xf>
    <xf numFmtId="0" fontId="14" fillId="9" borderId="0" xfId="0" applyFont="1" applyFill="1" applyAlignment="1">
      <alignment wrapText="1"/>
    </xf>
    <xf numFmtId="4" fontId="16" fillId="9" borderId="0" xfId="0" applyNumberFormat="1" applyFont="1" applyFill="1"/>
    <xf numFmtId="4" fontId="25" fillId="9" borderId="0" xfId="0" applyNumberFormat="1" applyFont="1" applyFill="1"/>
    <xf numFmtId="0" fontId="5" fillId="0" borderId="0" xfId="0" applyFont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%</a:t>
            </a:r>
            <a:r>
              <a:rPr lang="en-US" baseline="0"/>
              <a:t> of nutrients exceeding reference crops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 by Plant Form'!$A$10</c:f>
              <c:strCache>
                <c:ptCount val="1"/>
                <c:pt idx="0">
                  <c:v>woody plants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'Summary by Plant Form'!$B$9:$F$9</c:f>
              <c:strCache>
                <c:ptCount val="5"/>
                <c:pt idx="0">
                  <c:v>leaves</c:v>
                </c:pt>
                <c:pt idx="1">
                  <c:v>shoots</c:v>
                </c:pt>
                <c:pt idx="2">
                  <c:v>flowers &amp; flowerbuds</c:v>
                </c:pt>
                <c:pt idx="3">
                  <c:v>fruit </c:v>
                </c:pt>
                <c:pt idx="4">
                  <c:v>unripe seeds</c:v>
                </c:pt>
              </c:strCache>
            </c:strRef>
          </c:cat>
          <c:val>
            <c:numRef>
              <c:f>'Summary by Plant Form'!$B$10:$F$10</c:f>
              <c:numCache>
                <c:formatCode>0%</c:formatCode>
                <c:ptCount val="5"/>
                <c:pt idx="0">
                  <c:v>0.44782608695652176</c:v>
                </c:pt>
                <c:pt idx="1">
                  <c:v>0.13725490196078433</c:v>
                </c:pt>
                <c:pt idx="2">
                  <c:v>0.21052631578947367</c:v>
                </c:pt>
                <c:pt idx="3">
                  <c:v>0.1640625</c:v>
                </c:pt>
                <c:pt idx="4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71-E34E-B6B0-13AA7202AEB5}"/>
            </c:ext>
          </c:extLst>
        </c:ser>
        <c:ser>
          <c:idx val="1"/>
          <c:order val="1"/>
          <c:tx>
            <c:strRef>
              <c:f>'Summary by Plant Form'!$A$11</c:f>
              <c:strCache>
                <c:ptCount val="1"/>
                <c:pt idx="0">
                  <c:v>perennial vines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'Summary by Plant Form'!$B$9:$F$9</c:f>
              <c:strCache>
                <c:ptCount val="5"/>
                <c:pt idx="0">
                  <c:v>leaves</c:v>
                </c:pt>
                <c:pt idx="1">
                  <c:v>shoots</c:v>
                </c:pt>
                <c:pt idx="2">
                  <c:v>flowers &amp; flowerbuds</c:v>
                </c:pt>
                <c:pt idx="3">
                  <c:v>fruit </c:v>
                </c:pt>
                <c:pt idx="4">
                  <c:v>unripe seeds</c:v>
                </c:pt>
              </c:strCache>
            </c:strRef>
          </c:cat>
          <c:val>
            <c:numRef>
              <c:f>'Summary by Plant Form'!$B$11:$F$11</c:f>
              <c:numCache>
                <c:formatCode>General</c:formatCode>
                <c:ptCount val="5"/>
                <c:pt idx="0" formatCode="0%">
                  <c:v>0.27083333333333331</c:v>
                </c:pt>
                <c:pt idx="2" formatCode="0%">
                  <c:v>0</c:v>
                </c:pt>
                <c:pt idx="3" formatCode="0%">
                  <c:v>0.17142857142857143</c:v>
                </c:pt>
                <c:pt idx="4" formatCode="0%">
                  <c:v>0.12121212121212122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71-E34E-B6B0-13AA7202AEB5}"/>
            </c:ext>
          </c:extLst>
        </c:ser>
        <c:ser>
          <c:idx val="2"/>
          <c:order val="2"/>
          <c:tx>
            <c:strRef>
              <c:f>'Summary by Plant Form'!$A$12</c:f>
              <c:strCache>
                <c:ptCount val="1"/>
                <c:pt idx="0">
                  <c:v>herbaceous perennials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'Summary by Plant Form'!$B$9:$F$9</c:f>
              <c:strCache>
                <c:ptCount val="5"/>
                <c:pt idx="0">
                  <c:v>leaves</c:v>
                </c:pt>
                <c:pt idx="1">
                  <c:v>shoots</c:v>
                </c:pt>
                <c:pt idx="2">
                  <c:v>flowers &amp; flowerbuds</c:v>
                </c:pt>
                <c:pt idx="3">
                  <c:v>fruit </c:v>
                </c:pt>
                <c:pt idx="4">
                  <c:v>unripe seeds</c:v>
                </c:pt>
              </c:strCache>
            </c:strRef>
          </c:cat>
          <c:val>
            <c:numRef>
              <c:f>'Summary by Plant Form'!$B$12:$F$12</c:f>
              <c:numCache>
                <c:formatCode>0%</c:formatCode>
                <c:ptCount val="5"/>
                <c:pt idx="0">
                  <c:v>0.23559322033898306</c:v>
                </c:pt>
                <c:pt idx="1">
                  <c:v>6.741573033707865E-2</c:v>
                </c:pt>
                <c:pt idx="2">
                  <c:v>0.14285714285714285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71-E34E-B6B0-13AA7202AEB5}"/>
            </c:ext>
          </c:extLst>
        </c:ser>
        <c:ser>
          <c:idx val="3"/>
          <c:order val="3"/>
          <c:tx>
            <c:strRef>
              <c:f>'Summary by Plant Form'!$A$13</c:f>
              <c:strCache>
                <c:ptCount val="1"/>
                <c:pt idx="0">
                  <c:v>annuals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'Summary by Plant Form'!$B$9:$F$9</c:f>
              <c:strCache>
                <c:ptCount val="5"/>
                <c:pt idx="0">
                  <c:v>leaves</c:v>
                </c:pt>
                <c:pt idx="1">
                  <c:v>shoots</c:v>
                </c:pt>
                <c:pt idx="2">
                  <c:v>flowers &amp; flowerbuds</c:v>
                </c:pt>
                <c:pt idx="3">
                  <c:v>fruit </c:v>
                </c:pt>
                <c:pt idx="4">
                  <c:v>unripe seeds</c:v>
                </c:pt>
              </c:strCache>
            </c:strRef>
          </c:cat>
          <c:val>
            <c:numRef>
              <c:f>'Summary by Plant Form'!$B$13:$F$13</c:f>
              <c:numCache>
                <c:formatCode>General</c:formatCode>
                <c:ptCount val="5"/>
                <c:pt idx="0" formatCode="0%">
                  <c:v>0.19957983193277312</c:v>
                </c:pt>
                <c:pt idx="2" formatCode="0%">
                  <c:v>6.6666666666666666E-2</c:v>
                </c:pt>
                <c:pt idx="3" formatCode="0%">
                  <c:v>2.8985507246376812E-2</c:v>
                </c:pt>
                <c:pt idx="4" formatCode="0%">
                  <c:v>0.14473684210526316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C71-E34E-B6B0-13AA7202A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60168831"/>
        <c:axId val="1160499359"/>
      </c:barChart>
      <c:catAx>
        <c:axId val="1160168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0499359"/>
        <c:crosses val="autoZero"/>
        <c:auto val="1"/>
        <c:lblAlgn val="ctr"/>
        <c:lblOffset val="100"/>
        <c:noMultiLvlLbl val="0"/>
      </c:catAx>
      <c:valAx>
        <c:axId val="11604993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01688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639536</xdr:colOff>
      <xdr:row>1</xdr:row>
      <xdr:rowOff>587829</xdr:rowOff>
    </xdr:from>
    <xdr:to>
      <xdr:col>12</xdr:col>
      <xdr:colOff>258536</xdr:colOff>
      <xdr:row>13</xdr:row>
      <xdr:rowOff>1815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31DE095-A38D-E74B-AB9C-4DB61B0BCC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BC9DF-C9FA-FB45-9D86-598FEAEEEF85}">
  <dimension ref="A1:AX447"/>
  <sheetViews>
    <sheetView zoomScale="60" zoomScaleNormal="60" workbookViewId="0">
      <pane xSplit="2" ySplit="10" topLeftCell="C61" activePane="bottomRight" state="frozen"/>
      <selection pane="topRight" activeCell="C1" sqref="C1"/>
      <selection pane="bottomLeft" activeCell="A10" sqref="A10"/>
      <selection pane="bottomRight" activeCell="H40" sqref="H40"/>
    </sheetView>
  </sheetViews>
  <sheetFormatPr baseColWidth="10" defaultRowHeight="16" x14ac:dyDescent="0.2"/>
  <cols>
    <col min="1" max="1" width="17.1640625" style="104" customWidth="1"/>
    <col min="2" max="2" width="16.33203125" style="104" customWidth="1"/>
    <col min="3" max="3" width="20.83203125" style="105" customWidth="1"/>
    <col min="4" max="4" width="10.83203125" style="105"/>
    <col min="5" max="5" width="13.1640625" style="105" customWidth="1"/>
    <col min="6" max="8" width="10.83203125" style="105"/>
    <col min="9" max="9" width="10.83203125" style="1"/>
    <col min="10" max="11" width="10.83203125" style="5"/>
    <col min="12" max="12" width="12" style="5" customWidth="1"/>
    <col min="13" max="19" width="10.83203125" style="5"/>
    <col min="20" max="46" width="10.83203125" style="106"/>
    <col min="47" max="16384" width="10.83203125" style="1"/>
  </cols>
  <sheetData>
    <row r="1" spans="1:50" s="115" customFormat="1" ht="25" x14ac:dyDescent="0.25">
      <c r="A1" s="114" t="s">
        <v>1043</v>
      </c>
      <c r="B1" s="114"/>
      <c r="C1" s="114"/>
      <c r="D1" s="114"/>
      <c r="E1" s="114"/>
      <c r="F1" s="114"/>
      <c r="G1" s="114"/>
      <c r="H1" s="114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</row>
    <row r="2" spans="1:50" s="2" customFormat="1" ht="49" customHeight="1" x14ac:dyDescent="0.2">
      <c r="A2" s="88" t="s">
        <v>1</v>
      </c>
      <c r="B2" s="88" t="s">
        <v>2</v>
      </c>
      <c r="C2" s="89" t="s">
        <v>3</v>
      </c>
      <c r="D2" s="89" t="s">
        <v>4</v>
      </c>
      <c r="E2" s="89" t="s">
        <v>5</v>
      </c>
      <c r="F2" s="89" t="s">
        <v>779</v>
      </c>
      <c r="G2" s="89" t="s">
        <v>6</v>
      </c>
      <c r="H2" s="89" t="s">
        <v>7</v>
      </c>
      <c r="I2" s="7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8" t="s">
        <v>13</v>
      </c>
      <c r="O2" s="11" t="s">
        <v>14</v>
      </c>
      <c r="P2" s="119" t="s">
        <v>786</v>
      </c>
      <c r="Q2" s="11" t="s">
        <v>15</v>
      </c>
      <c r="R2" s="11" t="s">
        <v>16</v>
      </c>
      <c r="S2" s="11" t="s">
        <v>17</v>
      </c>
      <c r="T2" s="11"/>
      <c r="U2" s="12"/>
      <c r="V2" s="11"/>
      <c r="W2" s="11"/>
      <c r="X2" s="11"/>
      <c r="Y2" s="11"/>
      <c r="Z2" s="11"/>
      <c r="AA2" s="11"/>
      <c r="AB2" s="11"/>
      <c r="AC2" s="11"/>
      <c r="AD2" s="11"/>
      <c r="AE2" s="12"/>
      <c r="AF2" s="11"/>
      <c r="AG2" s="12"/>
      <c r="AH2" s="11"/>
      <c r="AI2" s="12"/>
      <c r="AJ2" s="11"/>
      <c r="AK2" s="12"/>
      <c r="AL2" s="11"/>
      <c r="AM2" s="12"/>
      <c r="AN2" s="11"/>
      <c r="AO2" s="11"/>
      <c r="AP2" s="11"/>
      <c r="AQ2" s="11"/>
      <c r="AR2" s="11"/>
      <c r="AS2" s="11"/>
      <c r="AT2" s="5"/>
      <c r="AU2" s="5"/>
      <c r="AV2" s="5"/>
      <c r="AW2" s="5"/>
      <c r="AX2" s="5"/>
    </row>
    <row r="3" spans="1:50" s="2" customFormat="1" ht="36" customHeight="1" x14ac:dyDescent="0.2">
      <c r="A3" s="92"/>
      <c r="B3" s="92"/>
      <c r="C3" s="93"/>
      <c r="D3" s="93"/>
      <c r="E3" s="93"/>
      <c r="F3" s="93"/>
      <c r="G3" s="93"/>
      <c r="H3" s="93"/>
      <c r="I3" s="15"/>
      <c r="J3" s="19" t="s">
        <v>18</v>
      </c>
      <c r="K3" s="19" t="s">
        <v>18</v>
      </c>
      <c r="L3" s="19" t="s">
        <v>19</v>
      </c>
      <c r="M3" s="19" t="s">
        <v>19</v>
      </c>
      <c r="N3" s="120" t="s">
        <v>19</v>
      </c>
      <c r="O3" s="19" t="s">
        <v>19</v>
      </c>
      <c r="P3" s="121" t="s">
        <v>20</v>
      </c>
      <c r="Q3" s="19" t="s">
        <v>21</v>
      </c>
      <c r="R3" s="19" t="s">
        <v>19</v>
      </c>
      <c r="S3" s="19" t="s">
        <v>22</v>
      </c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20"/>
      <c r="AF3" s="19"/>
      <c r="AG3" s="20"/>
      <c r="AH3" s="19"/>
      <c r="AI3" s="20"/>
      <c r="AJ3" s="19"/>
      <c r="AK3" s="20"/>
      <c r="AL3" s="19"/>
      <c r="AM3" s="20"/>
      <c r="AN3" s="19"/>
      <c r="AO3" s="19"/>
      <c r="AP3" s="19"/>
      <c r="AQ3" s="19"/>
      <c r="AR3" s="19"/>
      <c r="AS3" s="19"/>
      <c r="AT3" s="5"/>
      <c r="AU3" s="5"/>
      <c r="AV3" s="5"/>
      <c r="AW3" s="5"/>
      <c r="AX3" s="5"/>
    </row>
    <row r="4" spans="1:50" s="2" customFormat="1" ht="10" customHeight="1" x14ac:dyDescent="0.2">
      <c r="A4" s="92"/>
      <c r="B4" s="92"/>
      <c r="C4" s="93"/>
      <c r="D4" s="93"/>
      <c r="E4" s="93"/>
      <c r="F4" s="93"/>
      <c r="G4" s="93"/>
      <c r="H4" s="93"/>
      <c r="I4" s="15"/>
      <c r="J4" s="19"/>
      <c r="K4" s="19"/>
      <c r="L4" s="19"/>
      <c r="M4" s="19"/>
      <c r="N4" s="120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5"/>
      <c r="AU4" s="5"/>
      <c r="AV4" s="5"/>
      <c r="AW4" s="5"/>
      <c r="AX4" s="5"/>
    </row>
    <row r="5" spans="1:50" s="22" customFormat="1" ht="21" customHeight="1" x14ac:dyDescent="0.2">
      <c r="A5" s="122"/>
      <c r="B5" s="122"/>
      <c r="C5" s="123"/>
      <c r="D5" s="123"/>
      <c r="E5" s="123"/>
      <c r="F5" s="123"/>
      <c r="G5" s="123"/>
      <c r="H5" s="110"/>
      <c r="J5" s="124" t="s">
        <v>800</v>
      </c>
      <c r="K5" s="127" t="s">
        <v>994</v>
      </c>
      <c r="L5" s="127" t="s">
        <v>802</v>
      </c>
      <c r="M5" s="127" t="s">
        <v>803</v>
      </c>
      <c r="N5" s="128" t="s">
        <v>804</v>
      </c>
      <c r="O5" s="127" t="s">
        <v>995</v>
      </c>
      <c r="P5" s="127" t="s">
        <v>996</v>
      </c>
      <c r="Q5" s="127" t="s">
        <v>807</v>
      </c>
      <c r="R5" s="127" t="s">
        <v>997</v>
      </c>
      <c r="S5" s="127" t="s">
        <v>809</v>
      </c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</row>
    <row r="6" spans="1:50" s="22" customFormat="1" ht="17" customHeight="1" x14ac:dyDescent="0.2">
      <c r="A6" s="122"/>
      <c r="B6" s="122"/>
      <c r="C6" s="123"/>
      <c r="D6" s="123"/>
      <c r="E6" s="123"/>
      <c r="F6" s="123"/>
      <c r="G6" s="123"/>
      <c r="H6" s="110"/>
      <c r="J6" s="124" t="s">
        <v>810</v>
      </c>
      <c r="K6" s="129" t="s">
        <v>990</v>
      </c>
      <c r="L6" s="129" t="s">
        <v>812</v>
      </c>
      <c r="M6" s="129" t="s">
        <v>813</v>
      </c>
      <c r="N6" s="130" t="s">
        <v>814</v>
      </c>
      <c r="O6" s="129" t="s">
        <v>991</v>
      </c>
      <c r="P6" s="129" t="s">
        <v>992</v>
      </c>
      <c r="Q6" s="129" t="s">
        <v>817</v>
      </c>
      <c r="R6" s="129" t="s">
        <v>993</v>
      </c>
      <c r="S6" s="129" t="s">
        <v>819</v>
      </c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</row>
    <row r="7" spans="1:50" s="22" customFormat="1" ht="17" customHeight="1" x14ac:dyDescent="0.2">
      <c r="A7" s="122"/>
      <c r="B7" s="122"/>
      <c r="C7" s="123"/>
      <c r="D7" s="123"/>
      <c r="E7" s="123"/>
      <c r="F7" s="123"/>
      <c r="G7" s="123"/>
      <c r="H7" s="110"/>
      <c r="J7" s="124" t="s">
        <v>820</v>
      </c>
      <c r="K7" s="131" t="s">
        <v>985</v>
      </c>
      <c r="L7" s="131" t="s">
        <v>986</v>
      </c>
      <c r="M7" s="131" t="s">
        <v>823</v>
      </c>
      <c r="N7" s="132" t="s">
        <v>824</v>
      </c>
      <c r="O7" s="131" t="s">
        <v>987</v>
      </c>
      <c r="P7" s="131" t="s">
        <v>988</v>
      </c>
      <c r="Q7" s="131" t="s">
        <v>827</v>
      </c>
      <c r="R7" s="131" t="s">
        <v>989</v>
      </c>
      <c r="S7" s="131" t="s">
        <v>829</v>
      </c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</row>
    <row r="8" spans="1:50" s="22" customFormat="1" ht="19" customHeight="1" x14ac:dyDescent="0.2">
      <c r="A8" s="122"/>
      <c r="B8" s="122"/>
      <c r="C8" s="123"/>
      <c r="D8" s="123"/>
      <c r="E8" s="123"/>
      <c r="F8" s="123"/>
      <c r="G8" s="123"/>
      <c r="H8" s="110"/>
      <c r="J8" s="124" t="s">
        <v>830</v>
      </c>
      <c r="K8" s="133" t="s">
        <v>978</v>
      </c>
      <c r="L8" s="133" t="s">
        <v>979</v>
      </c>
      <c r="M8" s="133" t="s">
        <v>980</v>
      </c>
      <c r="N8" s="134" t="s">
        <v>834</v>
      </c>
      <c r="O8" s="133" t="s">
        <v>981</v>
      </c>
      <c r="P8" s="133" t="s">
        <v>982</v>
      </c>
      <c r="Q8" s="133" t="s">
        <v>837</v>
      </c>
      <c r="R8" s="133" t="s">
        <v>983</v>
      </c>
      <c r="S8" s="133" t="s">
        <v>984</v>
      </c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</row>
    <row r="9" spans="1:50" s="22" customFormat="1" ht="18" customHeight="1" x14ac:dyDescent="0.2">
      <c r="A9" s="122"/>
      <c r="B9" s="122"/>
      <c r="C9" s="123"/>
      <c r="D9" s="123"/>
      <c r="E9" s="123"/>
      <c r="F9" s="123"/>
      <c r="G9" s="123"/>
      <c r="H9" s="110"/>
      <c r="J9" s="124" t="s">
        <v>840</v>
      </c>
      <c r="K9" s="135" t="s">
        <v>966</v>
      </c>
      <c r="L9" s="135" t="s">
        <v>972</v>
      </c>
      <c r="M9" s="135" t="s">
        <v>973</v>
      </c>
      <c r="N9" s="135" t="s">
        <v>844</v>
      </c>
      <c r="O9" s="135" t="s">
        <v>974</v>
      </c>
      <c r="P9" s="135" t="s">
        <v>975</v>
      </c>
      <c r="Q9" s="135" t="s">
        <v>847</v>
      </c>
      <c r="R9" s="135" t="s">
        <v>976</v>
      </c>
      <c r="S9" s="135" t="s">
        <v>977</v>
      </c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</row>
    <row r="10" spans="1:50" s="22" customFormat="1" ht="19" customHeight="1" x14ac:dyDescent="0.2">
      <c r="A10" s="122"/>
      <c r="B10" s="122"/>
      <c r="C10" s="123"/>
      <c r="D10" s="123"/>
      <c r="E10" s="123"/>
      <c r="F10" s="123"/>
      <c r="G10" s="123"/>
      <c r="H10" s="110"/>
      <c r="J10" s="124" t="s">
        <v>850</v>
      </c>
      <c r="K10" s="136" t="s">
        <v>851</v>
      </c>
      <c r="L10" s="136" t="s">
        <v>967</v>
      </c>
      <c r="M10" s="136" t="s">
        <v>968</v>
      </c>
      <c r="N10" s="136" t="s">
        <v>854</v>
      </c>
      <c r="O10" s="136" t="s">
        <v>969</v>
      </c>
      <c r="P10" s="136" t="s">
        <v>970</v>
      </c>
      <c r="Q10" s="136" t="s">
        <v>857</v>
      </c>
      <c r="R10" s="136" t="s">
        <v>858</v>
      </c>
      <c r="S10" s="136" t="s">
        <v>971</v>
      </c>
      <c r="T10" s="23"/>
      <c r="U10" s="23"/>
      <c r="V10" s="23"/>
      <c r="W10" s="23"/>
      <c r="X10" s="23"/>
      <c r="Y10" s="126"/>
      <c r="Z10" s="125"/>
      <c r="AA10" s="23"/>
      <c r="AB10" s="23"/>
      <c r="AC10" s="23"/>
      <c r="AD10" s="23"/>
      <c r="AE10" s="23"/>
      <c r="AF10" s="23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</row>
    <row r="11" spans="1:50" x14ac:dyDescent="0.2">
      <c r="A11" s="104" t="s">
        <v>73</v>
      </c>
      <c r="B11" s="104" t="s">
        <v>78</v>
      </c>
      <c r="C11" s="105" t="s">
        <v>75</v>
      </c>
      <c r="D11" s="105" t="s">
        <v>56</v>
      </c>
      <c r="E11" s="105" t="s">
        <v>46</v>
      </c>
      <c r="F11" s="105" t="s">
        <v>782</v>
      </c>
      <c r="H11" s="105" t="s">
        <v>33</v>
      </c>
      <c r="K11" s="5">
        <v>1.0900000000000001</v>
      </c>
      <c r="L11" s="107">
        <v>630</v>
      </c>
      <c r="M11" s="107">
        <v>3.14</v>
      </c>
      <c r="O11" s="107">
        <v>1.05</v>
      </c>
      <c r="Q11" s="5">
        <v>67</v>
      </c>
      <c r="R11" s="5">
        <v>63</v>
      </c>
      <c r="S11" s="108">
        <v>2.5</v>
      </c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</row>
    <row r="12" spans="1:50" x14ac:dyDescent="0.2">
      <c r="A12" s="104" t="s">
        <v>73</v>
      </c>
      <c r="B12" s="104" t="s">
        <v>76</v>
      </c>
      <c r="C12" s="105" t="s">
        <v>75</v>
      </c>
      <c r="D12" s="105" t="s">
        <v>56</v>
      </c>
      <c r="E12" s="105" t="s">
        <v>46</v>
      </c>
      <c r="F12" s="105" t="s">
        <v>782</v>
      </c>
      <c r="H12" s="105" t="s">
        <v>33</v>
      </c>
      <c r="K12" s="5">
        <v>1.2933333333333332</v>
      </c>
      <c r="L12" s="107">
        <v>380</v>
      </c>
      <c r="M12" s="107">
        <v>2.84</v>
      </c>
      <c r="O12" s="109">
        <v>2.9066666666666667</v>
      </c>
      <c r="Q12" s="5">
        <v>64</v>
      </c>
      <c r="R12" s="108">
        <v>91.666666666666671</v>
      </c>
      <c r="S12" s="107">
        <v>4.1050000000000004</v>
      </c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</row>
    <row r="13" spans="1:50" x14ac:dyDescent="0.2">
      <c r="A13" s="104" t="s">
        <v>73</v>
      </c>
      <c r="B13" s="104" t="s">
        <v>74</v>
      </c>
      <c r="C13" s="105" t="s">
        <v>75</v>
      </c>
      <c r="D13" s="105" t="s">
        <v>56</v>
      </c>
      <c r="E13" s="105" t="s">
        <v>46</v>
      </c>
      <c r="F13" s="105" t="s">
        <v>782</v>
      </c>
      <c r="H13" s="105" t="s">
        <v>33</v>
      </c>
      <c r="J13" s="5">
        <v>84</v>
      </c>
      <c r="K13" s="5">
        <v>1.5833333333333333</v>
      </c>
      <c r="L13" s="107">
        <v>326.33333333333331</v>
      </c>
      <c r="M13" s="109">
        <v>5.1166666666666671</v>
      </c>
      <c r="O13" s="109">
        <v>1.7950000000000002</v>
      </c>
      <c r="P13" s="5">
        <v>0.2858</v>
      </c>
      <c r="Q13" s="5">
        <v>69.333333333333329</v>
      </c>
      <c r="R13" s="5">
        <v>60.333333333333336</v>
      </c>
      <c r="S13" s="107">
        <v>2.68</v>
      </c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</row>
    <row r="14" spans="1:50" x14ac:dyDescent="0.2">
      <c r="A14" s="104" t="s">
        <v>73</v>
      </c>
      <c r="B14" s="104" t="s">
        <v>80</v>
      </c>
      <c r="C14" s="105" t="s">
        <v>75</v>
      </c>
      <c r="D14" s="105" t="s">
        <v>56</v>
      </c>
      <c r="E14" s="105" t="s">
        <v>46</v>
      </c>
      <c r="F14" s="105" t="s">
        <v>782</v>
      </c>
      <c r="H14" s="105" t="s">
        <v>33</v>
      </c>
      <c r="K14" s="5">
        <v>1</v>
      </c>
      <c r="L14" s="107">
        <v>272.21428571428572</v>
      </c>
      <c r="M14" s="107">
        <v>3.81</v>
      </c>
      <c r="O14" s="107">
        <v>0.80714285714285716</v>
      </c>
      <c r="P14" s="5" t="s">
        <v>0</v>
      </c>
      <c r="Q14" s="108">
        <v>188</v>
      </c>
      <c r="R14" s="5">
        <v>66.833333333333329</v>
      </c>
      <c r="S14" s="5">
        <v>1.1000000000000001</v>
      </c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</row>
    <row r="15" spans="1:50" x14ac:dyDescent="0.2">
      <c r="A15" s="104" t="s">
        <v>73</v>
      </c>
      <c r="B15" s="104" t="s">
        <v>77</v>
      </c>
      <c r="C15" s="105" t="s">
        <v>75</v>
      </c>
      <c r="D15" s="105" t="s">
        <v>56</v>
      </c>
      <c r="E15" s="105" t="s">
        <v>46</v>
      </c>
      <c r="F15" s="105" t="s">
        <v>782</v>
      </c>
      <c r="H15" s="105" t="s">
        <v>33</v>
      </c>
      <c r="K15" s="5">
        <v>1.58</v>
      </c>
      <c r="L15" s="107">
        <v>260.2</v>
      </c>
      <c r="M15" s="107">
        <v>2.2999999999999998</v>
      </c>
      <c r="O15" s="109">
        <v>3.5479999999999996</v>
      </c>
      <c r="Q15" s="5">
        <v>68</v>
      </c>
      <c r="R15" s="108">
        <v>88.8</v>
      </c>
      <c r="S15" s="108">
        <v>1.87</v>
      </c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</row>
    <row r="16" spans="1:50" x14ac:dyDescent="0.2">
      <c r="A16" s="104" t="s">
        <v>73</v>
      </c>
      <c r="B16" s="104" t="s">
        <v>79</v>
      </c>
      <c r="C16" s="105" t="s">
        <v>75</v>
      </c>
      <c r="D16" s="105" t="s">
        <v>56</v>
      </c>
      <c r="E16" s="105" t="s">
        <v>46</v>
      </c>
      <c r="F16" s="105" t="s">
        <v>782</v>
      </c>
      <c r="H16" s="105" t="s">
        <v>33</v>
      </c>
      <c r="J16" s="5">
        <v>91.7</v>
      </c>
      <c r="L16" s="108">
        <v>215</v>
      </c>
      <c r="M16" s="107">
        <v>2.2999999999999998</v>
      </c>
      <c r="N16" s="5">
        <v>55</v>
      </c>
      <c r="O16" s="107">
        <v>0.9</v>
      </c>
      <c r="P16" s="5">
        <v>0.14585000000000001</v>
      </c>
      <c r="Q16" s="5">
        <v>85</v>
      </c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</row>
    <row r="17" spans="1:42" x14ac:dyDescent="0.2">
      <c r="A17" s="104" t="s">
        <v>89</v>
      </c>
      <c r="B17" s="104" t="s">
        <v>90</v>
      </c>
      <c r="C17" s="105" t="s">
        <v>92</v>
      </c>
      <c r="D17" s="105" t="s">
        <v>56</v>
      </c>
      <c r="E17" s="105" t="s">
        <v>46</v>
      </c>
      <c r="F17" s="105" t="s">
        <v>782</v>
      </c>
      <c r="H17" s="105" t="s">
        <v>91</v>
      </c>
      <c r="J17" s="5">
        <v>95.050000000000011</v>
      </c>
      <c r="K17" s="5">
        <v>1.125</v>
      </c>
      <c r="L17" s="5">
        <v>46</v>
      </c>
      <c r="M17" s="5">
        <v>0.30000000000000004</v>
      </c>
      <c r="N17" s="5">
        <v>14</v>
      </c>
      <c r="O17" s="5">
        <v>0.13</v>
      </c>
      <c r="P17" s="5">
        <v>1.5825000000000002E-2</v>
      </c>
      <c r="Q17" s="5">
        <v>36</v>
      </c>
      <c r="R17" s="5">
        <v>5.55</v>
      </c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</row>
    <row r="18" spans="1:42" x14ac:dyDescent="0.2">
      <c r="A18" s="104" t="s">
        <v>116</v>
      </c>
      <c r="B18" s="104" t="s">
        <v>120</v>
      </c>
      <c r="C18" s="105" t="s">
        <v>122</v>
      </c>
      <c r="D18" s="105" t="s">
        <v>56</v>
      </c>
      <c r="E18" s="105" t="s">
        <v>46</v>
      </c>
      <c r="F18" s="105" t="s">
        <v>782</v>
      </c>
      <c r="H18" s="105" t="s">
        <v>121</v>
      </c>
      <c r="K18" s="5">
        <v>0.72</v>
      </c>
      <c r="L18" s="5">
        <v>158</v>
      </c>
      <c r="M18" s="5">
        <v>1.24</v>
      </c>
      <c r="O18" s="5">
        <v>0.35</v>
      </c>
      <c r="P18" s="107">
        <v>0.63349917081260354</v>
      </c>
      <c r="Q18" s="108">
        <v>172</v>
      </c>
      <c r="R18" s="5">
        <v>44</v>
      </c>
      <c r="S18" s="107">
        <v>3.11</v>
      </c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</row>
    <row r="19" spans="1:42" x14ac:dyDescent="0.2">
      <c r="A19" s="104" t="s">
        <v>133</v>
      </c>
      <c r="B19" s="104" t="s">
        <v>134</v>
      </c>
      <c r="C19" s="105" t="s">
        <v>135</v>
      </c>
      <c r="D19" s="105" t="s">
        <v>56</v>
      </c>
      <c r="E19" s="105" t="s">
        <v>46</v>
      </c>
      <c r="F19" s="105" t="s">
        <v>782</v>
      </c>
      <c r="H19" s="105" t="s">
        <v>33</v>
      </c>
      <c r="J19" s="5">
        <v>90</v>
      </c>
      <c r="K19" s="5">
        <v>1</v>
      </c>
      <c r="L19" s="5">
        <v>80</v>
      </c>
      <c r="M19" s="5">
        <v>1</v>
      </c>
      <c r="P19" s="108">
        <v>0.46500000000000002</v>
      </c>
      <c r="R19" s="5">
        <v>70</v>
      </c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</row>
    <row r="20" spans="1:42" x14ac:dyDescent="0.2">
      <c r="A20" s="104" t="s">
        <v>147</v>
      </c>
      <c r="B20" s="104" t="s">
        <v>148</v>
      </c>
      <c r="C20" s="105" t="s">
        <v>149</v>
      </c>
      <c r="D20" s="105" t="s">
        <v>56</v>
      </c>
      <c r="E20" s="105" t="s">
        <v>46</v>
      </c>
      <c r="F20" s="105" t="s">
        <v>782</v>
      </c>
      <c r="H20" s="105" t="s">
        <v>33</v>
      </c>
      <c r="J20" s="5">
        <v>90.957142857142841</v>
      </c>
      <c r="K20" s="5">
        <v>1.4124999999999999</v>
      </c>
      <c r="L20" s="5">
        <v>102.75</v>
      </c>
      <c r="M20" s="107">
        <v>2.9541666666666662</v>
      </c>
      <c r="N20" s="108">
        <v>78.25</v>
      </c>
      <c r="O20" s="5">
        <v>0.31666666666666671</v>
      </c>
      <c r="P20" s="5">
        <v>0.24247599183569335</v>
      </c>
      <c r="Q20" s="5">
        <v>32.571428571428569</v>
      </c>
      <c r="R20" s="5">
        <v>27.23076923076923</v>
      </c>
      <c r="S20" s="5">
        <v>0.92874999999999985</v>
      </c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</row>
    <row r="21" spans="1:42" x14ac:dyDescent="0.2">
      <c r="A21" s="104" t="s">
        <v>151</v>
      </c>
      <c r="B21" s="104" t="s">
        <v>152</v>
      </c>
      <c r="C21" s="105" t="s">
        <v>153</v>
      </c>
      <c r="D21" s="105" t="s">
        <v>56</v>
      </c>
      <c r="E21" s="105" t="s">
        <v>46</v>
      </c>
      <c r="F21" s="105" t="s">
        <v>782</v>
      </c>
      <c r="H21" s="105" t="s">
        <v>33</v>
      </c>
      <c r="J21" s="5">
        <v>82</v>
      </c>
      <c r="K21" s="5">
        <v>1.1100000000000001</v>
      </c>
      <c r="L21" s="5">
        <v>118</v>
      </c>
      <c r="M21" s="5">
        <v>1.38</v>
      </c>
      <c r="P21" s="108">
        <v>0.48710613598673297</v>
      </c>
      <c r="R21" s="5">
        <v>52.5</v>
      </c>
      <c r="S21" s="108">
        <v>1.74</v>
      </c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</row>
    <row r="22" spans="1:42" x14ac:dyDescent="0.2">
      <c r="A22" s="104" t="s">
        <v>161</v>
      </c>
      <c r="B22" s="104" t="s">
        <v>162</v>
      </c>
      <c r="C22" s="105" t="s">
        <v>167</v>
      </c>
      <c r="D22" s="105" t="s">
        <v>56</v>
      </c>
      <c r="E22" s="105" t="s">
        <v>46</v>
      </c>
      <c r="F22" s="105" t="s">
        <v>782</v>
      </c>
      <c r="H22" s="105" t="s">
        <v>166</v>
      </c>
      <c r="J22" s="5">
        <v>92.25</v>
      </c>
      <c r="K22" s="5">
        <v>1.85</v>
      </c>
      <c r="L22" s="5">
        <v>116.5</v>
      </c>
      <c r="M22" s="108">
        <v>1.8</v>
      </c>
      <c r="N22" s="5">
        <v>33.5</v>
      </c>
      <c r="O22" s="107">
        <v>0.77</v>
      </c>
      <c r="P22" s="5">
        <v>0.13305</v>
      </c>
      <c r="Q22" s="5">
        <v>83</v>
      </c>
      <c r="R22" s="5">
        <v>45.1</v>
      </c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</row>
    <row r="23" spans="1:42" x14ac:dyDescent="0.2">
      <c r="A23" s="104" t="s">
        <v>161</v>
      </c>
      <c r="B23" s="104" t="s">
        <v>45</v>
      </c>
      <c r="C23" s="105" t="s">
        <v>176</v>
      </c>
      <c r="D23" s="105" t="s">
        <v>56</v>
      </c>
      <c r="E23" s="105" t="s">
        <v>46</v>
      </c>
      <c r="F23" s="105" t="s">
        <v>782</v>
      </c>
      <c r="H23" s="105" t="s">
        <v>166</v>
      </c>
      <c r="J23" s="5">
        <v>89.65</v>
      </c>
      <c r="K23" s="5">
        <v>1.2671428571428571</v>
      </c>
      <c r="L23" s="5">
        <v>54.442857142857143</v>
      </c>
      <c r="M23" s="5">
        <v>1.0471428571428569</v>
      </c>
      <c r="N23" s="5">
        <v>24</v>
      </c>
      <c r="O23" s="108">
        <v>0.55833333333333346</v>
      </c>
      <c r="P23" s="5">
        <v>7.0321310116086236E-2</v>
      </c>
      <c r="Q23" s="5">
        <v>71</v>
      </c>
      <c r="R23" s="108">
        <v>94.171428571428578</v>
      </c>
      <c r="S23" s="5">
        <v>0.87999999999999989</v>
      </c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</row>
    <row r="24" spans="1:42" x14ac:dyDescent="0.2">
      <c r="A24" s="104" t="s">
        <v>161</v>
      </c>
      <c r="B24" s="104" t="s">
        <v>45</v>
      </c>
      <c r="C24" s="105" t="s">
        <v>180</v>
      </c>
      <c r="D24" s="105" t="s">
        <v>56</v>
      </c>
      <c r="E24" s="105" t="s">
        <v>46</v>
      </c>
      <c r="F24" s="105" t="s">
        <v>782</v>
      </c>
      <c r="H24" s="105" t="s">
        <v>166</v>
      </c>
      <c r="J24" s="5">
        <v>91</v>
      </c>
      <c r="K24" s="5">
        <v>1.3549999999999998</v>
      </c>
      <c r="L24" s="5">
        <v>26</v>
      </c>
      <c r="M24" s="5">
        <v>0.8500000000000002</v>
      </c>
      <c r="N24" s="5">
        <v>18.333333333333332</v>
      </c>
      <c r="O24" s="5">
        <v>0.36857142857142861</v>
      </c>
      <c r="P24" s="5">
        <v>3.298645660585959E-3</v>
      </c>
      <c r="Q24" s="5">
        <v>57</v>
      </c>
      <c r="R24" s="108">
        <v>85.662500000000009</v>
      </c>
      <c r="S24" s="5">
        <v>0.16344999999999998</v>
      </c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</row>
    <row r="25" spans="1:42" x14ac:dyDescent="0.2">
      <c r="A25" s="104" t="s">
        <v>161</v>
      </c>
      <c r="B25" s="104" t="s">
        <v>170</v>
      </c>
      <c r="C25" s="105" t="s">
        <v>171</v>
      </c>
      <c r="D25" s="105" t="s">
        <v>56</v>
      </c>
      <c r="E25" s="105" t="s">
        <v>46</v>
      </c>
      <c r="F25" s="105" t="s">
        <v>782</v>
      </c>
      <c r="H25" s="105" t="s">
        <v>33</v>
      </c>
      <c r="J25" s="5">
        <v>91.15</v>
      </c>
      <c r="K25" s="5">
        <v>0.89615384615384619</v>
      </c>
      <c r="L25" s="5">
        <v>152.03846153846155</v>
      </c>
      <c r="M25" s="5">
        <v>1.2423076923076921</v>
      </c>
      <c r="N25" s="5">
        <v>30.5</v>
      </c>
      <c r="O25" s="5">
        <v>0.23083333333333336</v>
      </c>
      <c r="P25" s="5">
        <v>0.14553255942509674</v>
      </c>
      <c r="Q25" s="5">
        <v>31</v>
      </c>
      <c r="R25" s="5">
        <v>65.615384615384613</v>
      </c>
      <c r="S25" s="5">
        <v>1.0808333333333333</v>
      </c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</row>
    <row r="26" spans="1:42" x14ac:dyDescent="0.2">
      <c r="A26" s="104" t="s">
        <v>161</v>
      </c>
      <c r="B26" s="104" t="s">
        <v>162</v>
      </c>
      <c r="C26" s="105" t="s">
        <v>165</v>
      </c>
      <c r="D26" s="105" t="s">
        <v>56</v>
      </c>
      <c r="E26" s="105" t="s">
        <v>46</v>
      </c>
      <c r="F26" s="105" t="s">
        <v>782</v>
      </c>
      <c r="H26" s="105" t="s">
        <v>33</v>
      </c>
      <c r="J26" s="5">
        <v>93.237500000000011</v>
      </c>
      <c r="K26" s="5">
        <v>0.69828571428571451</v>
      </c>
      <c r="L26" s="5">
        <v>136.32777777777778</v>
      </c>
      <c r="M26" s="5">
        <v>1.2313888888888889</v>
      </c>
      <c r="N26" s="5">
        <v>23.857142857142858</v>
      </c>
      <c r="O26" s="5">
        <v>0.22967741935483874</v>
      </c>
      <c r="P26" s="5">
        <v>0.18336100515938825</v>
      </c>
      <c r="Q26" s="5">
        <v>73.857142857142861</v>
      </c>
      <c r="R26" s="5">
        <v>55.25714285714286</v>
      </c>
      <c r="S26" s="5">
        <v>0.84576923076923083</v>
      </c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</row>
    <row r="27" spans="1:42" x14ac:dyDescent="0.2">
      <c r="A27" s="104" t="s">
        <v>161</v>
      </c>
      <c r="B27" s="104" t="s">
        <v>177</v>
      </c>
      <c r="C27" s="105" t="s">
        <v>178</v>
      </c>
      <c r="D27" s="105" t="s">
        <v>56</v>
      </c>
      <c r="E27" s="105" t="s">
        <v>46</v>
      </c>
      <c r="F27" s="105" t="s">
        <v>782</v>
      </c>
      <c r="H27" s="105" t="s">
        <v>33</v>
      </c>
      <c r="J27" s="5">
        <v>85.4</v>
      </c>
      <c r="K27" s="108">
        <v>2.7</v>
      </c>
      <c r="L27" s="5">
        <v>51.5</v>
      </c>
      <c r="M27" s="5">
        <v>1.45</v>
      </c>
      <c r="N27" s="5">
        <v>24.5</v>
      </c>
      <c r="O27" s="5">
        <v>0.42</v>
      </c>
      <c r="P27" s="5">
        <v>0</v>
      </c>
      <c r="Q27" s="5">
        <v>61</v>
      </c>
      <c r="R27" s="108">
        <v>91.5</v>
      </c>
      <c r="S27" s="5">
        <v>0.88</v>
      </c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</row>
    <row r="28" spans="1:42" x14ac:dyDescent="0.2">
      <c r="A28" s="104" t="s">
        <v>161</v>
      </c>
      <c r="B28" s="104" t="s">
        <v>45</v>
      </c>
      <c r="C28" s="105" t="s">
        <v>179</v>
      </c>
      <c r="D28" s="105" t="s">
        <v>56</v>
      </c>
      <c r="E28" s="105" t="s">
        <v>46</v>
      </c>
      <c r="F28" s="105" t="s">
        <v>782</v>
      </c>
      <c r="H28" s="105" t="s">
        <v>33</v>
      </c>
      <c r="J28" s="5">
        <v>91.712499999999991</v>
      </c>
      <c r="K28" s="5">
        <v>1.1546153846153844</v>
      </c>
      <c r="L28" s="5">
        <v>48.284615384615385</v>
      </c>
      <c r="M28" s="5">
        <v>0.73583333333333334</v>
      </c>
      <c r="N28" s="5">
        <v>17.714285714285715</v>
      </c>
      <c r="O28" s="5">
        <v>0.26666666666666666</v>
      </c>
      <c r="P28" s="5">
        <v>1.9977093698175789E-2</v>
      </c>
      <c r="Q28" s="5">
        <v>49.5</v>
      </c>
      <c r="R28" s="5">
        <v>46.661538461538463</v>
      </c>
      <c r="S28" s="5">
        <v>0.20250000000000004</v>
      </c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</row>
    <row r="29" spans="1:42" x14ac:dyDescent="0.2">
      <c r="A29" s="104" t="s">
        <v>161</v>
      </c>
      <c r="B29" s="104" t="s">
        <v>45</v>
      </c>
      <c r="C29" s="105" t="s">
        <v>184</v>
      </c>
      <c r="D29" s="105" t="s">
        <v>56</v>
      </c>
      <c r="E29" s="105" t="s">
        <v>46</v>
      </c>
      <c r="F29" s="105" t="s">
        <v>782</v>
      </c>
      <c r="H29" s="105" t="s">
        <v>183</v>
      </c>
      <c r="J29" s="5">
        <v>91</v>
      </c>
      <c r="K29" s="5">
        <v>1.1000000000000001</v>
      </c>
      <c r="L29" s="5">
        <v>42</v>
      </c>
      <c r="M29" s="5">
        <v>0.5</v>
      </c>
      <c r="N29" s="5">
        <v>27</v>
      </c>
      <c r="P29" s="5">
        <v>1.25E-3</v>
      </c>
      <c r="R29" s="5">
        <v>64</v>
      </c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</row>
    <row r="30" spans="1:42" x14ac:dyDescent="0.2">
      <c r="A30" s="104" t="s">
        <v>215</v>
      </c>
      <c r="B30" s="104" t="s">
        <v>216</v>
      </c>
      <c r="C30" s="105" t="s">
        <v>217</v>
      </c>
      <c r="D30" s="105" t="s">
        <v>56</v>
      </c>
      <c r="E30" s="105" t="s">
        <v>46</v>
      </c>
      <c r="F30" s="105" t="s">
        <v>782</v>
      </c>
      <c r="H30" s="105" t="s">
        <v>33</v>
      </c>
      <c r="J30" s="5">
        <v>85.15</v>
      </c>
      <c r="K30" s="5">
        <v>1.5059999999999998</v>
      </c>
      <c r="L30" s="108">
        <v>211</v>
      </c>
      <c r="M30" s="109">
        <v>4.3639999999999999</v>
      </c>
      <c r="O30" s="107">
        <v>0.9</v>
      </c>
      <c r="P30" s="107">
        <v>0.76451077943615253</v>
      </c>
      <c r="Q30" s="108">
        <v>159</v>
      </c>
      <c r="R30" s="5">
        <v>36.5</v>
      </c>
      <c r="S30" s="108">
        <v>1.8</v>
      </c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</row>
    <row r="31" spans="1:42" x14ac:dyDescent="0.2">
      <c r="A31" s="104" t="s">
        <v>221</v>
      </c>
      <c r="B31" s="104" t="s">
        <v>224</v>
      </c>
      <c r="C31" s="105" t="s">
        <v>224</v>
      </c>
      <c r="D31" s="105" t="s">
        <v>56</v>
      </c>
      <c r="E31" s="105" t="s">
        <v>46</v>
      </c>
      <c r="F31" s="105" t="s">
        <v>782</v>
      </c>
      <c r="H31" s="105" t="s">
        <v>33</v>
      </c>
      <c r="J31" s="5">
        <v>84</v>
      </c>
      <c r="K31" s="5">
        <v>2.1</v>
      </c>
      <c r="L31" s="107">
        <v>280</v>
      </c>
      <c r="M31" s="108">
        <v>2.1</v>
      </c>
      <c r="P31" s="107">
        <v>0.56499999999999995</v>
      </c>
      <c r="R31" s="108">
        <v>90</v>
      </c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</row>
    <row r="32" spans="1:42" x14ac:dyDescent="0.2">
      <c r="A32" s="104" t="s">
        <v>225</v>
      </c>
      <c r="B32" s="104" t="s">
        <v>226</v>
      </c>
      <c r="C32" s="105" t="s">
        <v>227</v>
      </c>
      <c r="D32" s="105" t="s">
        <v>56</v>
      </c>
      <c r="E32" s="105" t="s">
        <v>46</v>
      </c>
      <c r="F32" s="105" t="s">
        <v>782</v>
      </c>
      <c r="H32" s="105" t="s">
        <v>33</v>
      </c>
      <c r="J32" s="5">
        <v>93.9</v>
      </c>
      <c r="K32" s="5">
        <v>1.3650000000000002</v>
      </c>
      <c r="L32" s="5">
        <v>45</v>
      </c>
      <c r="M32" s="5">
        <v>0.6100000000000001</v>
      </c>
      <c r="N32" s="5">
        <v>14</v>
      </c>
      <c r="O32" s="108">
        <v>0.46666666666666662</v>
      </c>
      <c r="P32" s="5">
        <v>7.3537997512437808E-2</v>
      </c>
      <c r="Q32" s="5">
        <v>53.333333333333336</v>
      </c>
      <c r="R32" s="5">
        <v>7.625</v>
      </c>
      <c r="S32" s="5">
        <v>0.4</v>
      </c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</row>
    <row r="33" spans="1:42" x14ac:dyDescent="0.2">
      <c r="A33" s="104" t="s">
        <v>230</v>
      </c>
      <c r="B33" s="104" t="s">
        <v>231</v>
      </c>
      <c r="C33" s="105" t="s">
        <v>232</v>
      </c>
      <c r="D33" s="105" t="s">
        <v>56</v>
      </c>
      <c r="E33" s="105" t="s">
        <v>46</v>
      </c>
      <c r="F33" s="105" t="s">
        <v>782</v>
      </c>
      <c r="H33" s="105" t="s">
        <v>33</v>
      </c>
      <c r="J33" s="5">
        <v>86.6</v>
      </c>
      <c r="K33" s="5">
        <v>1.0316666666666667</v>
      </c>
      <c r="L33" s="108">
        <v>237.83333333333334</v>
      </c>
      <c r="M33" s="107">
        <v>3.125</v>
      </c>
      <c r="O33" s="107">
        <v>0.81799999999999995</v>
      </c>
      <c r="P33" s="109">
        <v>1.2981757877280267</v>
      </c>
      <c r="Q33" s="107">
        <v>246.8</v>
      </c>
      <c r="R33" s="107">
        <v>124</v>
      </c>
      <c r="S33" s="108">
        <v>2.06</v>
      </c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</row>
    <row r="34" spans="1:42" x14ac:dyDescent="0.2">
      <c r="A34" s="104" t="s">
        <v>256</v>
      </c>
      <c r="B34" s="104" t="s">
        <v>257</v>
      </c>
      <c r="C34" s="105" t="s">
        <v>867</v>
      </c>
      <c r="D34" s="105" t="s">
        <v>56</v>
      </c>
      <c r="E34" s="105" t="s">
        <v>46</v>
      </c>
      <c r="F34" s="105" t="s">
        <v>782</v>
      </c>
      <c r="H34" s="105" t="s">
        <v>33</v>
      </c>
      <c r="J34" s="5" t="s">
        <v>0</v>
      </c>
      <c r="K34" s="5">
        <v>2.1549999999999998</v>
      </c>
      <c r="L34" s="107">
        <v>283.5</v>
      </c>
      <c r="M34" s="107">
        <v>2.6550000000000002</v>
      </c>
      <c r="O34" s="5">
        <v>0.16</v>
      </c>
      <c r="P34" s="109">
        <v>1.2222222222222223</v>
      </c>
      <c r="Q34" s="5">
        <v>53</v>
      </c>
      <c r="R34" s="108">
        <v>84</v>
      </c>
      <c r="S34" s="107">
        <v>2.82</v>
      </c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</row>
    <row r="35" spans="1:42" x14ac:dyDescent="0.2">
      <c r="A35" s="104" t="s">
        <v>259</v>
      </c>
      <c r="B35" s="104" t="s">
        <v>258</v>
      </c>
      <c r="C35" s="105" t="s">
        <v>260</v>
      </c>
      <c r="D35" s="105" t="s">
        <v>56</v>
      </c>
      <c r="E35" s="105" t="s">
        <v>46</v>
      </c>
      <c r="F35" s="105" t="s">
        <v>782</v>
      </c>
      <c r="H35" s="105" t="s">
        <v>33</v>
      </c>
      <c r="J35" s="5">
        <v>84.066666666666677</v>
      </c>
      <c r="K35" s="5">
        <v>1.6636363636363634</v>
      </c>
      <c r="L35" s="107">
        <v>251.33333333333334</v>
      </c>
      <c r="M35" s="109">
        <v>4.3550000000000004</v>
      </c>
      <c r="N35" s="108">
        <v>64</v>
      </c>
      <c r="O35" s="107">
        <v>0.71444444444444444</v>
      </c>
      <c r="P35" s="108">
        <v>0.48018266244534902</v>
      </c>
      <c r="Q35" s="5">
        <v>96.111111111111114</v>
      </c>
      <c r="R35" s="108">
        <v>97.818181818181813</v>
      </c>
      <c r="S35" s="107">
        <v>3.141111111111111</v>
      </c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</row>
    <row r="36" spans="1:42" x14ac:dyDescent="0.2">
      <c r="A36" s="104" t="s">
        <v>261</v>
      </c>
      <c r="B36" s="104" t="s">
        <v>262</v>
      </c>
      <c r="C36" s="105" t="s">
        <v>868</v>
      </c>
      <c r="D36" s="105" t="s">
        <v>56</v>
      </c>
      <c r="E36" s="105" t="s">
        <v>46</v>
      </c>
      <c r="F36" s="105" t="s">
        <v>782</v>
      </c>
      <c r="H36" s="105" t="s">
        <v>33</v>
      </c>
      <c r="J36" s="5">
        <v>93</v>
      </c>
      <c r="K36" s="5">
        <v>1.6</v>
      </c>
      <c r="L36" s="107">
        <v>270</v>
      </c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</row>
    <row r="37" spans="1:42" x14ac:dyDescent="0.2">
      <c r="A37" s="104" t="s">
        <v>266</v>
      </c>
      <c r="B37" s="104" t="s">
        <v>267</v>
      </c>
      <c r="C37" s="105" t="s">
        <v>999</v>
      </c>
      <c r="D37" s="105" t="s">
        <v>56</v>
      </c>
      <c r="E37" s="105" t="s">
        <v>46</v>
      </c>
      <c r="F37" s="105" t="s">
        <v>782</v>
      </c>
      <c r="H37" s="105" t="s">
        <v>33</v>
      </c>
      <c r="J37" s="5">
        <v>79</v>
      </c>
      <c r="K37" s="5">
        <v>1.3499999999999999</v>
      </c>
      <c r="L37" s="5">
        <v>142.33333333333334</v>
      </c>
      <c r="M37" s="108">
        <v>1.615</v>
      </c>
      <c r="O37" s="5">
        <v>0.41500000000000004</v>
      </c>
      <c r="P37" s="108">
        <v>0.4079601990049751</v>
      </c>
      <c r="R37" s="5">
        <v>12</v>
      </c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</row>
    <row r="38" spans="1:42" x14ac:dyDescent="0.2">
      <c r="A38" s="104" t="s">
        <v>323</v>
      </c>
      <c r="B38" s="104" t="s">
        <v>324</v>
      </c>
      <c r="C38" s="105" t="s">
        <v>872</v>
      </c>
      <c r="D38" s="105" t="s">
        <v>56</v>
      </c>
      <c r="E38" s="105" t="s">
        <v>46</v>
      </c>
      <c r="F38" s="105" t="s">
        <v>782</v>
      </c>
      <c r="H38" s="105" t="s">
        <v>33</v>
      </c>
      <c r="K38" s="5">
        <v>1.03</v>
      </c>
      <c r="L38" s="108">
        <v>172</v>
      </c>
      <c r="M38" s="107">
        <v>2.4</v>
      </c>
      <c r="O38" s="107">
        <v>0.86</v>
      </c>
      <c r="P38" s="107">
        <v>0.61194029850746268</v>
      </c>
      <c r="R38" s="5">
        <v>23</v>
      </c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</row>
    <row r="39" spans="1:42" x14ac:dyDescent="0.2">
      <c r="A39" s="104" t="s">
        <v>330</v>
      </c>
      <c r="B39" s="104" t="s">
        <v>334</v>
      </c>
      <c r="C39" s="105" t="s">
        <v>874</v>
      </c>
      <c r="D39" s="105" t="s">
        <v>56</v>
      </c>
      <c r="E39" s="105" t="s">
        <v>46</v>
      </c>
      <c r="F39" s="105" t="s">
        <v>782</v>
      </c>
      <c r="H39" s="105" t="s">
        <v>33</v>
      </c>
      <c r="K39" s="5">
        <v>1.1300000000000001</v>
      </c>
      <c r="L39" s="107">
        <v>387.5</v>
      </c>
      <c r="M39" s="108">
        <v>1.77</v>
      </c>
      <c r="P39" s="107">
        <v>0.62603648424543934</v>
      </c>
      <c r="R39" s="109">
        <v>275.5</v>
      </c>
      <c r="S39" s="5">
        <v>1.0899999999999999</v>
      </c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</row>
    <row r="40" spans="1:42" x14ac:dyDescent="0.2">
      <c r="A40" s="104" t="s">
        <v>330</v>
      </c>
      <c r="B40" s="104" t="s">
        <v>331</v>
      </c>
      <c r="C40" s="105" t="s">
        <v>333</v>
      </c>
      <c r="D40" s="105" t="s">
        <v>56</v>
      </c>
      <c r="E40" s="105" t="s">
        <v>46</v>
      </c>
      <c r="F40" s="105" t="s">
        <v>782</v>
      </c>
      <c r="H40" s="105" t="s">
        <v>33</v>
      </c>
      <c r="J40" s="5">
        <v>91.75</v>
      </c>
      <c r="K40" s="5">
        <v>1.1133333333333333</v>
      </c>
      <c r="L40" s="108">
        <v>224</v>
      </c>
      <c r="M40" s="5">
        <v>1.3366666666666667</v>
      </c>
      <c r="N40" s="5">
        <v>47</v>
      </c>
      <c r="O40" s="108">
        <v>0.43999999999999995</v>
      </c>
      <c r="P40" s="5">
        <v>0.15287227750138196</v>
      </c>
      <c r="Q40" s="5">
        <v>92</v>
      </c>
      <c r="R40" s="5">
        <v>53.65</v>
      </c>
      <c r="S40" s="5">
        <v>1.21</v>
      </c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</row>
    <row r="41" spans="1:42" x14ac:dyDescent="0.2">
      <c r="A41" s="104" t="s">
        <v>340</v>
      </c>
      <c r="B41" s="104" t="s">
        <v>341</v>
      </c>
      <c r="C41" s="105" t="s">
        <v>342</v>
      </c>
      <c r="D41" s="105" t="s">
        <v>56</v>
      </c>
      <c r="E41" s="105" t="s">
        <v>46</v>
      </c>
      <c r="F41" s="105" t="s">
        <v>782</v>
      </c>
      <c r="H41" s="105" t="s">
        <v>91</v>
      </c>
      <c r="J41" s="5">
        <v>88</v>
      </c>
      <c r="K41" s="5">
        <v>0.5</v>
      </c>
      <c r="L41" s="5">
        <v>73</v>
      </c>
      <c r="M41" s="5">
        <v>1.5</v>
      </c>
      <c r="N41" s="5">
        <v>36</v>
      </c>
      <c r="P41" s="5">
        <v>5.0000000000000001E-3</v>
      </c>
      <c r="R41" s="5">
        <v>20</v>
      </c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</row>
    <row r="42" spans="1:42" x14ac:dyDescent="0.2">
      <c r="A42" s="104" t="s">
        <v>343</v>
      </c>
      <c r="B42" s="104" t="s">
        <v>345</v>
      </c>
      <c r="C42" s="105" t="s">
        <v>346</v>
      </c>
      <c r="D42" s="105" t="s">
        <v>56</v>
      </c>
      <c r="E42" s="105" t="s">
        <v>46</v>
      </c>
      <c r="F42" s="105" t="s">
        <v>782</v>
      </c>
      <c r="H42" s="105" t="s">
        <v>33</v>
      </c>
      <c r="J42" s="5">
        <v>91.8</v>
      </c>
      <c r="K42" s="5">
        <v>0.9044444444444445</v>
      </c>
      <c r="L42" s="5">
        <v>86.7</v>
      </c>
      <c r="M42" s="108">
        <v>1.7736363636363637</v>
      </c>
      <c r="N42" s="5">
        <v>32</v>
      </c>
      <c r="O42" s="5">
        <v>0.26999999999999991</v>
      </c>
      <c r="P42" s="5">
        <v>0.28387577265189207</v>
      </c>
      <c r="Q42" s="5">
        <v>100.5</v>
      </c>
      <c r="R42" s="5">
        <v>15.945454545454545</v>
      </c>
      <c r="S42" s="109">
        <v>15.076249999999998</v>
      </c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</row>
    <row r="43" spans="1:42" x14ac:dyDescent="0.2">
      <c r="A43" s="104" t="s">
        <v>347</v>
      </c>
      <c r="B43" s="104" t="s">
        <v>348</v>
      </c>
      <c r="C43" s="105" t="s">
        <v>349</v>
      </c>
      <c r="D43" s="105" t="s">
        <v>56</v>
      </c>
      <c r="E43" s="105" t="s">
        <v>46</v>
      </c>
      <c r="F43" s="105" t="s">
        <v>782</v>
      </c>
      <c r="H43" s="105" t="s">
        <v>37</v>
      </c>
      <c r="J43" s="5">
        <v>67.5</v>
      </c>
      <c r="K43" s="5">
        <v>2.3733333333333335</v>
      </c>
      <c r="L43" s="5">
        <v>113.33333333333333</v>
      </c>
      <c r="M43" s="107">
        <v>3.4633333333333334</v>
      </c>
      <c r="N43" s="108">
        <v>65</v>
      </c>
      <c r="O43" s="109">
        <v>1.2349999999999999</v>
      </c>
      <c r="P43" s="5">
        <v>1.4255666113875069E-2</v>
      </c>
      <c r="Q43" s="5">
        <v>132.5</v>
      </c>
      <c r="R43" s="5">
        <v>30.666666666666668</v>
      </c>
      <c r="S43" s="109">
        <v>6.46</v>
      </c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</row>
    <row r="44" spans="1:42" x14ac:dyDescent="0.2">
      <c r="A44" s="104" t="s">
        <v>365</v>
      </c>
      <c r="B44" s="104" t="s">
        <v>366</v>
      </c>
      <c r="C44" s="105" t="s">
        <v>367</v>
      </c>
      <c r="D44" s="105" t="s">
        <v>56</v>
      </c>
      <c r="E44" s="105" t="s">
        <v>46</v>
      </c>
      <c r="F44" s="105" t="s">
        <v>783</v>
      </c>
      <c r="H44" s="105" t="s">
        <v>33</v>
      </c>
      <c r="J44" s="5">
        <v>85.6</v>
      </c>
      <c r="K44" s="5">
        <v>1.3100000000000003</v>
      </c>
      <c r="L44" s="108">
        <v>192.66666666666666</v>
      </c>
      <c r="M44" s="107">
        <v>2.3933333333333331</v>
      </c>
      <c r="P44" s="108">
        <v>0.41459369817578773</v>
      </c>
      <c r="R44" s="5">
        <v>36.666666666666664</v>
      </c>
      <c r="S44" s="108">
        <v>1.95</v>
      </c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</row>
    <row r="45" spans="1:42" x14ac:dyDescent="0.2">
      <c r="A45" s="104" t="s">
        <v>385</v>
      </c>
      <c r="B45" s="104" t="s">
        <v>203</v>
      </c>
      <c r="C45" s="105" t="s">
        <v>386</v>
      </c>
      <c r="D45" s="105" t="s">
        <v>56</v>
      </c>
      <c r="E45" s="105" t="s">
        <v>46</v>
      </c>
      <c r="F45" s="105" t="s">
        <v>782</v>
      </c>
      <c r="H45" s="105" t="s">
        <v>33</v>
      </c>
      <c r="K45" s="5">
        <v>1.1399999999999999</v>
      </c>
      <c r="L45" s="5">
        <v>94</v>
      </c>
      <c r="M45" s="5">
        <v>0.99</v>
      </c>
      <c r="O45" s="5">
        <v>0.22</v>
      </c>
      <c r="P45" s="5">
        <v>3.6484245439469321E-2</v>
      </c>
      <c r="R45" s="5">
        <v>24</v>
      </c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</row>
    <row r="46" spans="1:42" x14ac:dyDescent="0.2">
      <c r="A46" s="104" t="s">
        <v>385</v>
      </c>
      <c r="B46" s="104" t="s">
        <v>331</v>
      </c>
      <c r="C46" s="105" t="s">
        <v>387</v>
      </c>
      <c r="D46" s="105" t="s">
        <v>56</v>
      </c>
      <c r="E46" s="105" t="s">
        <v>46</v>
      </c>
      <c r="F46" s="105" t="s">
        <v>782</v>
      </c>
      <c r="H46" s="105" t="s">
        <v>33</v>
      </c>
      <c r="J46" s="5">
        <v>95.037000000000006</v>
      </c>
      <c r="K46" s="5">
        <v>0.70263157894736827</v>
      </c>
      <c r="L46" s="5">
        <v>37.421052631578945</v>
      </c>
      <c r="M46" s="5">
        <v>1.0152631578947371</v>
      </c>
      <c r="N46" s="5">
        <v>12.9</v>
      </c>
      <c r="O46" s="5">
        <v>0.17071428571428568</v>
      </c>
      <c r="P46" s="5">
        <v>0.11845855721393037</v>
      </c>
      <c r="Q46" s="5">
        <v>62.4</v>
      </c>
      <c r="R46" s="5">
        <v>8.7252631578947373</v>
      </c>
      <c r="S46" s="5">
        <v>0.36230769230769233</v>
      </c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</row>
    <row r="47" spans="1:42" x14ac:dyDescent="0.2">
      <c r="A47" s="104" t="s">
        <v>397</v>
      </c>
      <c r="B47" s="104" t="s">
        <v>398</v>
      </c>
      <c r="C47" s="105" t="s">
        <v>399</v>
      </c>
      <c r="D47" s="105" t="s">
        <v>56</v>
      </c>
      <c r="E47" s="105" t="s">
        <v>46</v>
      </c>
      <c r="F47" s="105" t="s">
        <v>782</v>
      </c>
      <c r="H47" s="105" t="s">
        <v>33</v>
      </c>
      <c r="J47" s="5">
        <v>88.2</v>
      </c>
      <c r="K47" s="5">
        <v>1.1000000000000001</v>
      </c>
      <c r="L47" s="108">
        <v>179</v>
      </c>
      <c r="M47" s="107">
        <v>2.5</v>
      </c>
      <c r="P47" s="5" t="s">
        <v>0</v>
      </c>
      <c r="R47" s="5">
        <v>73</v>
      </c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</row>
    <row r="48" spans="1:42" x14ac:dyDescent="0.2">
      <c r="A48" s="104" t="s">
        <v>422</v>
      </c>
      <c r="B48" s="104" t="s">
        <v>425</v>
      </c>
      <c r="C48" s="105" t="s">
        <v>423</v>
      </c>
      <c r="D48" s="105" t="s">
        <v>56</v>
      </c>
      <c r="E48" s="105" t="s">
        <v>46</v>
      </c>
      <c r="F48" s="105" t="s">
        <v>782</v>
      </c>
      <c r="H48" s="105" t="s">
        <v>33</v>
      </c>
      <c r="K48" s="5">
        <v>1.0900000000000001</v>
      </c>
      <c r="L48" s="107">
        <v>252</v>
      </c>
      <c r="M48" s="109">
        <v>4.6100000000000003</v>
      </c>
      <c r="O48" s="107">
        <v>0.85000000000000009</v>
      </c>
      <c r="P48" s="107">
        <v>0.78496406854615819</v>
      </c>
      <c r="Q48" s="5">
        <v>31</v>
      </c>
      <c r="R48" s="108">
        <v>97.666666666666671</v>
      </c>
      <c r="S48" s="108">
        <v>1.7933333333333332</v>
      </c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</row>
    <row r="49" spans="1:42" x14ac:dyDescent="0.2">
      <c r="A49" s="104" t="s">
        <v>515</v>
      </c>
      <c r="B49" s="104" t="s">
        <v>516</v>
      </c>
      <c r="C49" s="105" t="s">
        <v>517</v>
      </c>
      <c r="D49" s="105" t="s">
        <v>56</v>
      </c>
      <c r="E49" s="105" t="s">
        <v>46</v>
      </c>
      <c r="F49" s="105" t="s">
        <v>782</v>
      </c>
      <c r="H49" s="105" t="s">
        <v>28</v>
      </c>
      <c r="J49" s="5">
        <v>90.314999999999998</v>
      </c>
      <c r="K49" s="5">
        <v>1.9</v>
      </c>
      <c r="L49" s="5">
        <v>13.5</v>
      </c>
      <c r="M49" s="5">
        <v>1.21</v>
      </c>
      <c r="N49" s="5">
        <v>50.5</v>
      </c>
      <c r="O49" s="5">
        <v>0.22</v>
      </c>
      <c r="P49" s="5">
        <v>9.4999999999999998E-3</v>
      </c>
      <c r="Q49" s="5">
        <v>7</v>
      </c>
      <c r="R49" s="5">
        <v>10.85</v>
      </c>
      <c r="S49" s="5">
        <v>0.38</v>
      </c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</row>
    <row r="50" spans="1:42" x14ac:dyDescent="0.2">
      <c r="A50" s="104" t="s">
        <v>525</v>
      </c>
      <c r="B50" s="104" t="s">
        <v>398</v>
      </c>
      <c r="C50" s="105" t="s">
        <v>526</v>
      </c>
      <c r="D50" s="105" t="s">
        <v>56</v>
      </c>
      <c r="E50" s="105" t="s">
        <v>46</v>
      </c>
      <c r="F50" s="105" t="s">
        <v>782</v>
      </c>
      <c r="H50" s="105" t="s">
        <v>27</v>
      </c>
      <c r="J50" s="5">
        <v>88.245000000000005</v>
      </c>
      <c r="K50" s="5">
        <v>2.2000000000000002</v>
      </c>
      <c r="L50" s="5">
        <v>46.5</v>
      </c>
      <c r="M50" s="108">
        <v>1.69</v>
      </c>
      <c r="N50" s="5">
        <v>24</v>
      </c>
      <c r="O50" s="5">
        <v>0.27</v>
      </c>
      <c r="P50" s="5">
        <v>3.73E-2</v>
      </c>
      <c r="Q50" s="5">
        <v>42</v>
      </c>
      <c r="R50" s="5">
        <v>56</v>
      </c>
      <c r="S50" s="5">
        <v>0.39</v>
      </c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</row>
    <row r="51" spans="1:42" x14ac:dyDescent="0.2">
      <c r="A51" s="104" t="s">
        <v>525</v>
      </c>
      <c r="B51" s="104" t="s">
        <v>398</v>
      </c>
      <c r="C51" s="105" t="s">
        <v>526</v>
      </c>
      <c r="D51" s="105" t="s">
        <v>56</v>
      </c>
      <c r="E51" s="105" t="s">
        <v>46</v>
      </c>
      <c r="F51" s="105" t="s">
        <v>782</v>
      </c>
      <c r="H51" s="105" t="s">
        <v>37</v>
      </c>
      <c r="J51" s="5">
        <v>74.599999999999994</v>
      </c>
      <c r="K51" s="5">
        <v>2.2000000000000002</v>
      </c>
      <c r="L51" s="5">
        <v>30</v>
      </c>
      <c r="M51" s="108">
        <v>1.8</v>
      </c>
      <c r="N51" s="5">
        <v>35</v>
      </c>
      <c r="P51" s="5">
        <v>3.9E-2</v>
      </c>
      <c r="R51" s="5">
        <v>33</v>
      </c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</row>
    <row r="52" spans="1:42" x14ac:dyDescent="0.2">
      <c r="A52" s="104" t="s">
        <v>538</v>
      </c>
      <c r="B52" s="104" t="s">
        <v>45</v>
      </c>
      <c r="C52" s="105" t="s">
        <v>539</v>
      </c>
      <c r="D52" s="105" t="s">
        <v>56</v>
      </c>
      <c r="E52" s="105" t="s">
        <v>46</v>
      </c>
      <c r="F52" s="105" t="s">
        <v>782</v>
      </c>
      <c r="H52" s="105" t="s">
        <v>33</v>
      </c>
      <c r="J52" s="5">
        <v>93.9</v>
      </c>
      <c r="K52" s="5">
        <v>0.54749999999999999</v>
      </c>
      <c r="L52" s="5">
        <v>60.2</v>
      </c>
      <c r="M52" s="5">
        <v>1.3940000000000001</v>
      </c>
      <c r="N52" s="108">
        <v>68</v>
      </c>
      <c r="O52" s="108">
        <v>0.44000000000000006</v>
      </c>
      <c r="P52" s="5">
        <v>0.30043051409618571</v>
      </c>
      <c r="Q52" s="5">
        <v>12</v>
      </c>
      <c r="R52" s="5">
        <v>10.8</v>
      </c>
      <c r="S52" s="5">
        <v>0.47</v>
      </c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</row>
    <row r="53" spans="1:42" x14ac:dyDescent="0.2">
      <c r="A53" s="104" t="s">
        <v>549</v>
      </c>
      <c r="B53" s="104" t="s">
        <v>277</v>
      </c>
      <c r="C53" s="105" t="s">
        <v>550</v>
      </c>
      <c r="D53" s="105" t="s">
        <v>56</v>
      </c>
      <c r="E53" s="105" t="s">
        <v>46</v>
      </c>
      <c r="F53" s="105" t="s">
        <v>782</v>
      </c>
      <c r="H53" s="105" t="s">
        <v>27</v>
      </c>
      <c r="J53" s="5">
        <v>90.5</v>
      </c>
      <c r="K53" s="5">
        <v>1.4</v>
      </c>
      <c r="L53" s="5">
        <v>80</v>
      </c>
      <c r="M53" s="107">
        <v>2.8</v>
      </c>
      <c r="P53" s="5">
        <v>2.5000000000000001E-3</v>
      </c>
      <c r="R53" s="5">
        <v>69</v>
      </c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</row>
    <row r="54" spans="1:42" x14ac:dyDescent="0.2">
      <c r="A54" s="104" t="s">
        <v>627</v>
      </c>
      <c r="B54" s="104" t="s">
        <v>628</v>
      </c>
      <c r="C54" s="105" t="s">
        <v>629</v>
      </c>
      <c r="D54" s="105" t="s">
        <v>56</v>
      </c>
      <c r="E54" s="105" t="s">
        <v>46</v>
      </c>
      <c r="F54" s="105" t="s">
        <v>782</v>
      </c>
      <c r="H54" s="105" t="s">
        <v>33</v>
      </c>
      <c r="J54" s="5">
        <v>87.5</v>
      </c>
      <c r="K54" s="108">
        <v>3.3</v>
      </c>
      <c r="L54" s="5">
        <v>62.5</v>
      </c>
      <c r="M54" s="107">
        <v>3.45</v>
      </c>
      <c r="N54" s="108">
        <v>76</v>
      </c>
      <c r="O54" s="107">
        <v>0.8</v>
      </c>
      <c r="P54" s="109">
        <v>1.5439498341625206</v>
      </c>
      <c r="R54" s="5">
        <v>39.25</v>
      </c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</row>
    <row r="55" spans="1:42" x14ac:dyDescent="0.2">
      <c r="A55" s="104" t="s">
        <v>633</v>
      </c>
      <c r="B55" s="104" t="s">
        <v>45</v>
      </c>
      <c r="C55" s="105" t="s">
        <v>634</v>
      </c>
      <c r="D55" s="105" t="s">
        <v>56</v>
      </c>
      <c r="E55" s="105" t="s">
        <v>46</v>
      </c>
      <c r="F55" s="105" t="s">
        <v>782</v>
      </c>
      <c r="H55" s="105" t="s">
        <v>33</v>
      </c>
      <c r="J55" s="5">
        <v>91.2</v>
      </c>
      <c r="K55" s="5">
        <v>0.95600000000000007</v>
      </c>
      <c r="L55" s="5">
        <v>88.4</v>
      </c>
      <c r="M55" s="108">
        <v>2.1060000000000003</v>
      </c>
      <c r="N55" s="108">
        <v>85.5</v>
      </c>
      <c r="O55" s="108">
        <v>0.48666666666666664</v>
      </c>
      <c r="P55" s="5">
        <v>0.36230126036484245</v>
      </c>
      <c r="Q55" s="108">
        <v>194</v>
      </c>
      <c r="R55" s="5">
        <v>35.22</v>
      </c>
      <c r="S55" s="108">
        <v>1.7066666666666668</v>
      </c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</row>
    <row r="56" spans="1:42" x14ac:dyDescent="0.2">
      <c r="A56" s="104" t="s">
        <v>668</v>
      </c>
      <c r="B56" s="104" t="s">
        <v>669</v>
      </c>
      <c r="C56" s="105" t="s">
        <v>670</v>
      </c>
      <c r="D56" s="105" t="s">
        <v>56</v>
      </c>
      <c r="E56" s="105" t="s">
        <v>46</v>
      </c>
      <c r="F56" s="105" t="s">
        <v>782</v>
      </c>
      <c r="H56" s="105" t="s">
        <v>33</v>
      </c>
      <c r="J56" s="5">
        <v>93.1</v>
      </c>
      <c r="K56" s="5">
        <v>0.8</v>
      </c>
      <c r="L56" s="5">
        <v>35</v>
      </c>
      <c r="M56" s="108">
        <v>1.7</v>
      </c>
      <c r="N56" s="5">
        <v>13</v>
      </c>
      <c r="R56" s="5">
        <v>35</v>
      </c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</row>
    <row r="57" spans="1:42" x14ac:dyDescent="0.2">
      <c r="A57" s="104" t="s">
        <v>674</v>
      </c>
      <c r="B57" s="104" t="s">
        <v>675</v>
      </c>
      <c r="C57" s="105" t="s">
        <v>676</v>
      </c>
      <c r="D57" s="105" t="s">
        <v>56</v>
      </c>
      <c r="E57" s="105" t="s">
        <v>46</v>
      </c>
      <c r="F57" s="105" t="s">
        <v>782</v>
      </c>
      <c r="H57" s="105" t="s">
        <v>27</v>
      </c>
      <c r="J57" s="5">
        <v>72.599999999999994</v>
      </c>
      <c r="K57" s="109">
        <v>7.5</v>
      </c>
      <c r="L57" s="5">
        <v>37</v>
      </c>
      <c r="M57" s="5">
        <v>1.55</v>
      </c>
      <c r="N57" s="5">
        <v>33</v>
      </c>
      <c r="O57" s="107">
        <v>1</v>
      </c>
      <c r="P57" s="5">
        <v>6.6500000000000005E-3</v>
      </c>
      <c r="Q57" s="108">
        <v>148</v>
      </c>
      <c r="R57" s="5">
        <v>3.7</v>
      </c>
      <c r="S57" s="5">
        <v>1.1599999999999999</v>
      </c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</row>
    <row r="58" spans="1:42" x14ac:dyDescent="0.2">
      <c r="A58" s="104" t="s">
        <v>674</v>
      </c>
      <c r="B58" s="104" t="s">
        <v>675</v>
      </c>
      <c r="C58" s="105" t="s">
        <v>676</v>
      </c>
      <c r="D58" s="105" t="s">
        <v>56</v>
      </c>
      <c r="E58" s="105" t="s">
        <v>46</v>
      </c>
      <c r="F58" s="105" t="s">
        <v>782</v>
      </c>
      <c r="H58" s="105" t="s">
        <v>37</v>
      </c>
      <c r="J58" s="5">
        <v>78.2</v>
      </c>
      <c r="K58" s="107">
        <v>3.6500000000000004</v>
      </c>
      <c r="L58" s="5">
        <v>26</v>
      </c>
      <c r="M58" s="108">
        <v>2</v>
      </c>
      <c r="N58" s="5">
        <v>38</v>
      </c>
      <c r="O58" s="107">
        <v>0.57999999999999996</v>
      </c>
      <c r="P58" s="5">
        <v>1.7500000000000002E-2</v>
      </c>
      <c r="Q58" s="5">
        <v>96</v>
      </c>
      <c r="R58" s="5">
        <v>33</v>
      </c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</row>
    <row r="59" spans="1:42" x14ac:dyDescent="0.2">
      <c r="A59" s="104" t="s">
        <v>690</v>
      </c>
      <c r="B59" s="104" t="s">
        <v>689</v>
      </c>
      <c r="C59" s="105" t="s">
        <v>691</v>
      </c>
      <c r="D59" s="105" t="s">
        <v>56</v>
      </c>
      <c r="E59" s="105" t="s">
        <v>46</v>
      </c>
      <c r="F59" s="105" t="s">
        <v>885</v>
      </c>
      <c r="H59" s="105" t="s">
        <v>37</v>
      </c>
      <c r="J59" s="5">
        <v>75.77</v>
      </c>
      <c r="K59" s="5">
        <v>1.8166666666666667</v>
      </c>
      <c r="L59" s="5">
        <v>13</v>
      </c>
      <c r="M59" s="5">
        <v>0.71333333333333337</v>
      </c>
      <c r="N59" s="5">
        <v>39.666666666666664</v>
      </c>
      <c r="O59" s="108">
        <v>0.45500000000000002</v>
      </c>
      <c r="P59" s="5">
        <v>5.8249999999999994E-3</v>
      </c>
      <c r="Q59" s="5">
        <v>21.0275</v>
      </c>
      <c r="R59" s="5">
        <v>8.5333333333333332</v>
      </c>
      <c r="S59" s="5">
        <v>7.0000000000000007E-2</v>
      </c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</row>
    <row r="60" spans="1:42" x14ac:dyDescent="0.2">
      <c r="A60" s="104" t="s">
        <v>141</v>
      </c>
      <c r="B60" s="104" t="s">
        <v>142</v>
      </c>
      <c r="C60" s="105" t="s">
        <v>144</v>
      </c>
      <c r="D60" s="105" t="s">
        <v>56</v>
      </c>
      <c r="E60" s="105" t="s">
        <v>42</v>
      </c>
      <c r="F60" s="105" t="s">
        <v>784</v>
      </c>
      <c r="H60" s="105" t="s">
        <v>28</v>
      </c>
      <c r="J60" s="5">
        <v>96.05</v>
      </c>
      <c r="K60" s="5">
        <v>1.482</v>
      </c>
      <c r="L60" s="5">
        <v>16.666666666666668</v>
      </c>
      <c r="M60" s="5">
        <v>0.38500000000000001</v>
      </c>
      <c r="N60" s="5">
        <v>12</v>
      </c>
      <c r="O60" s="5">
        <v>0.32500000000000001</v>
      </c>
      <c r="P60" s="5">
        <v>5.2500000000000003E-3</v>
      </c>
      <c r="Q60" s="5">
        <v>5</v>
      </c>
      <c r="R60" s="5">
        <v>22.333333333333332</v>
      </c>
      <c r="S60" s="5">
        <v>8.5000000000000006E-2</v>
      </c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</row>
    <row r="61" spans="1:42" x14ac:dyDescent="0.2">
      <c r="A61" s="104" t="s">
        <v>198</v>
      </c>
      <c r="B61" s="104" t="s">
        <v>199</v>
      </c>
      <c r="C61" s="105" t="s">
        <v>200</v>
      </c>
      <c r="D61" s="105" t="s">
        <v>56</v>
      </c>
      <c r="E61" s="105" t="s">
        <v>42</v>
      </c>
      <c r="F61" s="105" t="s">
        <v>784</v>
      </c>
      <c r="H61" s="105" t="s">
        <v>27</v>
      </c>
      <c r="J61" s="5">
        <v>89</v>
      </c>
      <c r="K61" s="107">
        <v>5.4833999999999996</v>
      </c>
      <c r="L61" s="5">
        <v>34.199999999999996</v>
      </c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</row>
    <row r="62" spans="1:42" x14ac:dyDescent="0.2">
      <c r="A62" s="104" t="s">
        <v>198</v>
      </c>
      <c r="B62" s="104" t="s">
        <v>199</v>
      </c>
      <c r="C62" s="105" t="s">
        <v>200</v>
      </c>
      <c r="D62" s="105" t="s">
        <v>56</v>
      </c>
      <c r="E62" s="105" t="s">
        <v>42</v>
      </c>
      <c r="F62" s="105" t="s">
        <v>784</v>
      </c>
      <c r="H62" s="105" t="s">
        <v>37</v>
      </c>
      <c r="J62" s="5">
        <v>85.666666666666671</v>
      </c>
      <c r="K62" s="5">
        <v>2.2972999999999999</v>
      </c>
      <c r="L62" s="5">
        <v>50.999633333333328</v>
      </c>
      <c r="M62" s="108">
        <v>1.7313333333333329</v>
      </c>
      <c r="P62" s="5">
        <v>2.2912499999999999E-3</v>
      </c>
      <c r="R62" s="5">
        <v>31.991999999999997</v>
      </c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</row>
    <row r="63" spans="1:42" x14ac:dyDescent="0.2">
      <c r="A63" s="104" t="s">
        <v>272</v>
      </c>
      <c r="B63" s="104" t="s">
        <v>273</v>
      </c>
      <c r="C63" s="105" t="s">
        <v>869</v>
      </c>
      <c r="D63" s="105" t="s">
        <v>56</v>
      </c>
      <c r="E63" s="105" t="s">
        <v>42</v>
      </c>
      <c r="F63" s="105" t="s">
        <v>784</v>
      </c>
      <c r="H63" s="105" t="s">
        <v>28</v>
      </c>
      <c r="J63" s="5">
        <v>93</v>
      </c>
      <c r="K63" s="5">
        <v>0.6</v>
      </c>
      <c r="L63" s="5">
        <v>26</v>
      </c>
      <c r="M63" s="5">
        <v>0.6</v>
      </c>
      <c r="N63" s="5">
        <v>32</v>
      </c>
      <c r="P63" s="5">
        <v>9.0062500000000004E-2</v>
      </c>
      <c r="R63" s="5">
        <v>51</v>
      </c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</row>
    <row r="64" spans="1:42" x14ac:dyDescent="0.2">
      <c r="A64" s="104" t="s">
        <v>272</v>
      </c>
      <c r="B64" s="104" t="s">
        <v>276</v>
      </c>
      <c r="C64" s="105" t="s">
        <v>870</v>
      </c>
      <c r="D64" s="105" t="s">
        <v>56</v>
      </c>
      <c r="E64" s="105" t="s">
        <v>42</v>
      </c>
      <c r="F64" s="105" t="s">
        <v>784</v>
      </c>
      <c r="H64" s="105" t="s">
        <v>28</v>
      </c>
      <c r="J64" s="5">
        <v>91</v>
      </c>
      <c r="K64" s="5">
        <v>1.1000000000000001</v>
      </c>
      <c r="L64" s="5">
        <v>11.9</v>
      </c>
      <c r="M64" s="5">
        <v>0.53</v>
      </c>
      <c r="N64" s="5">
        <v>22.3</v>
      </c>
      <c r="R64" s="5">
        <v>19</v>
      </c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</row>
    <row r="65" spans="1:42" x14ac:dyDescent="0.2">
      <c r="A65" s="104" t="s">
        <v>272</v>
      </c>
      <c r="B65" s="104" t="s">
        <v>274</v>
      </c>
      <c r="C65" s="105" t="s">
        <v>275</v>
      </c>
      <c r="D65" s="105" t="s">
        <v>56</v>
      </c>
      <c r="E65" s="105" t="s">
        <v>42</v>
      </c>
      <c r="F65" s="105" t="s">
        <v>784</v>
      </c>
      <c r="H65" s="105" t="s">
        <v>28</v>
      </c>
      <c r="J65" s="5" t="s">
        <v>0</v>
      </c>
      <c r="K65" s="5">
        <v>0.24</v>
      </c>
      <c r="L65" s="5">
        <v>11</v>
      </c>
      <c r="M65" s="5">
        <v>0.39</v>
      </c>
      <c r="P65" s="5">
        <v>3.3167495854063019E-3</v>
      </c>
      <c r="R65" s="5">
        <v>10</v>
      </c>
      <c r="S65" s="5">
        <v>7.0000000000000007E-2</v>
      </c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</row>
    <row r="66" spans="1:42" x14ac:dyDescent="0.2">
      <c r="A66" s="104" t="s">
        <v>279</v>
      </c>
      <c r="B66" s="104" t="s">
        <v>277</v>
      </c>
      <c r="C66" s="105" t="s">
        <v>280</v>
      </c>
      <c r="D66" s="105" t="s">
        <v>56</v>
      </c>
      <c r="E66" s="105" t="s">
        <v>42</v>
      </c>
      <c r="F66" s="105" t="s">
        <v>784</v>
      </c>
      <c r="H66" s="105" t="s">
        <v>27</v>
      </c>
      <c r="J66" s="5">
        <v>95.833333333333329</v>
      </c>
      <c r="K66" s="5">
        <v>0.40416666666666662</v>
      </c>
      <c r="L66" s="5">
        <v>22.516666666666666</v>
      </c>
      <c r="M66" s="5">
        <v>0.70909090909090911</v>
      </c>
      <c r="N66" s="5">
        <v>12.666666666666666</v>
      </c>
      <c r="O66" s="5">
        <v>0.23300000000000004</v>
      </c>
      <c r="P66" s="5">
        <v>9.6763207770670465E-3</v>
      </c>
      <c r="R66" s="5">
        <v>10.9</v>
      </c>
      <c r="S66" s="5">
        <v>0.11222222222222225</v>
      </c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</row>
    <row r="67" spans="1:42" x14ac:dyDescent="0.2">
      <c r="A67" s="104" t="s">
        <v>281</v>
      </c>
      <c r="B67" s="104" t="s">
        <v>285</v>
      </c>
      <c r="C67" s="105" t="s">
        <v>287</v>
      </c>
      <c r="D67" s="105" t="s">
        <v>56</v>
      </c>
      <c r="E67" s="105" t="s">
        <v>42</v>
      </c>
      <c r="F67" s="105" t="s">
        <v>784</v>
      </c>
      <c r="H67" s="105" t="s">
        <v>286</v>
      </c>
      <c r="K67" s="5">
        <v>0.75</v>
      </c>
      <c r="L67" s="5">
        <v>92</v>
      </c>
      <c r="M67" s="5">
        <v>1.03</v>
      </c>
      <c r="O67" s="108">
        <v>0.45</v>
      </c>
      <c r="P67" s="5">
        <v>2.1558872305140961E-2</v>
      </c>
      <c r="Q67" s="5">
        <v>30</v>
      </c>
      <c r="R67" s="5">
        <v>14</v>
      </c>
      <c r="S67" s="107">
        <v>4.16</v>
      </c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</row>
    <row r="68" spans="1:42" x14ac:dyDescent="0.2">
      <c r="A68" s="104" t="s">
        <v>281</v>
      </c>
      <c r="B68" s="104" t="s">
        <v>79</v>
      </c>
      <c r="C68" s="105" t="s">
        <v>287</v>
      </c>
      <c r="D68" s="105" t="s">
        <v>56</v>
      </c>
      <c r="E68" s="105" t="s">
        <v>42</v>
      </c>
      <c r="F68" s="105" t="s">
        <v>784</v>
      </c>
      <c r="H68" s="105" t="s">
        <v>286</v>
      </c>
      <c r="J68" s="5">
        <v>93.65</v>
      </c>
      <c r="K68" s="5">
        <v>0.65</v>
      </c>
      <c r="L68" s="5">
        <v>59.5</v>
      </c>
      <c r="M68" s="5">
        <v>0.7</v>
      </c>
      <c r="N68" s="5">
        <v>24</v>
      </c>
      <c r="P68" s="5">
        <v>9.7350000000000006E-2</v>
      </c>
      <c r="Q68" s="5">
        <v>59</v>
      </c>
      <c r="R68" s="5">
        <v>28</v>
      </c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</row>
    <row r="69" spans="1:42" x14ac:dyDescent="0.2">
      <c r="A69" s="104" t="s">
        <v>281</v>
      </c>
      <c r="B69" s="104" t="s">
        <v>288</v>
      </c>
      <c r="C69" s="105" t="s">
        <v>287</v>
      </c>
      <c r="D69" s="105" t="s">
        <v>56</v>
      </c>
      <c r="E69" s="105" t="s">
        <v>42</v>
      </c>
      <c r="F69" s="105" t="s">
        <v>784</v>
      </c>
      <c r="H69" s="105" t="s">
        <v>28</v>
      </c>
      <c r="J69" s="5">
        <v>86.4</v>
      </c>
      <c r="K69" s="5">
        <v>2</v>
      </c>
      <c r="L69" s="5">
        <v>48</v>
      </c>
      <c r="M69" s="5">
        <v>0.7</v>
      </c>
      <c r="N69" s="5">
        <v>34</v>
      </c>
      <c r="O69" s="5">
        <v>0.15</v>
      </c>
      <c r="P69" s="108">
        <v>0.53149999999999997</v>
      </c>
      <c r="Q69" s="5">
        <v>27</v>
      </c>
      <c r="R69" s="5">
        <v>21</v>
      </c>
      <c r="S69" s="108">
        <v>1.44</v>
      </c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</row>
    <row r="70" spans="1:42" x14ac:dyDescent="0.2">
      <c r="A70" s="104" t="s">
        <v>281</v>
      </c>
      <c r="B70" s="104" t="s">
        <v>289</v>
      </c>
      <c r="C70" s="105" t="s">
        <v>287</v>
      </c>
      <c r="D70" s="105" t="s">
        <v>56</v>
      </c>
      <c r="E70" s="105" t="s">
        <v>42</v>
      </c>
      <c r="F70" s="105" t="s">
        <v>784</v>
      </c>
      <c r="H70" s="105" t="s">
        <v>28</v>
      </c>
      <c r="J70" s="5">
        <v>89.59</v>
      </c>
      <c r="K70" s="5">
        <v>1.35</v>
      </c>
      <c r="L70" s="5">
        <v>27.5</v>
      </c>
      <c r="M70" s="5">
        <v>0.75</v>
      </c>
      <c r="N70" s="5">
        <v>21</v>
      </c>
      <c r="O70" s="5">
        <v>0.13</v>
      </c>
      <c r="P70" s="5">
        <v>4.9175000000000003E-2</v>
      </c>
      <c r="Q70" s="5">
        <v>17</v>
      </c>
      <c r="R70" s="5">
        <v>10</v>
      </c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</row>
    <row r="71" spans="1:42" x14ac:dyDescent="0.2">
      <c r="A71" s="104" t="s">
        <v>281</v>
      </c>
      <c r="B71" s="104" t="s">
        <v>130</v>
      </c>
      <c r="C71" s="105" t="s">
        <v>287</v>
      </c>
      <c r="D71" s="105" t="s">
        <v>56</v>
      </c>
      <c r="E71" s="105" t="s">
        <v>42</v>
      </c>
      <c r="F71" s="105" t="s">
        <v>784</v>
      </c>
      <c r="H71" s="105" t="s">
        <v>28</v>
      </c>
      <c r="J71" s="5">
        <v>88.8</v>
      </c>
      <c r="K71" s="5">
        <v>1.32</v>
      </c>
      <c r="L71" s="5">
        <v>25</v>
      </c>
      <c r="M71" s="5">
        <v>0.7</v>
      </c>
      <c r="N71" s="5">
        <v>22</v>
      </c>
      <c r="P71" s="5">
        <v>9.9000000000000005E-2</v>
      </c>
      <c r="R71" s="5">
        <v>10</v>
      </c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</row>
    <row r="72" spans="1:42" x14ac:dyDescent="0.2">
      <c r="A72" s="104" t="s">
        <v>281</v>
      </c>
      <c r="B72" s="104" t="s">
        <v>285</v>
      </c>
      <c r="C72" s="105" t="s">
        <v>287</v>
      </c>
      <c r="D72" s="105" t="s">
        <v>56</v>
      </c>
      <c r="E72" s="105" t="s">
        <v>42</v>
      </c>
      <c r="F72" s="105" t="s">
        <v>784</v>
      </c>
      <c r="H72" s="105" t="s">
        <v>28</v>
      </c>
      <c r="J72" s="5">
        <v>88</v>
      </c>
      <c r="K72" s="5">
        <v>2.37</v>
      </c>
      <c r="L72" s="5">
        <v>11.5</v>
      </c>
      <c r="M72" s="5">
        <v>0.56499999999999995</v>
      </c>
      <c r="N72" s="5">
        <v>19</v>
      </c>
      <c r="O72" s="5">
        <v>0.20500000000000002</v>
      </c>
      <c r="P72" s="5">
        <v>4.0808499170812605E-2</v>
      </c>
      <c r="Q72" s="5">
        <v>14</v>
      </c>
      <c r="R72" s="5">
        <v>10</v>
      </c>
      <c r="S72" s="5">
        <v>0.67999999999999994</v>
      </c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</row>
    <row r="73" spans="1:42" x14ac:dyDescent="0.2">
      <c r="A73" s="104" t="s">
        <v>281</v>
      </c>
      <c r="B73" s="104" t="s">
        <v>79</v>
      </c>
      <c r="C73" s="105" t="s">
        <v>287</v>
      </c>
      <c r="D73" s="105" t="s">
        <v>56</v>
      </c>
      <c r="E73" s="105" t="s">
        <v>42</v>
      </c>
      <c r="F73" s="105" t="s">
        <v>784</v>
      </c>
      <c r="H73" s="105" t="s">
        <v>33</v>
      </c>
      <c r="J73" s="5">
        <v>90.45</v>
      </c>
      <c r="K73" s="5">
        <v>1.8</v>
      </c>
      <c r="L73" s="108">
        <v>171</v>
      </c>
      <c r="M73" s="108">
        <v>1.85</v>
      </c>
      <c r="N73" s="5">
        <v>38</v>
      </c>
      <c r="O73" s="5">
        <v>0.2</v>
      </c>
      <c r="P73" s="5">
        <v>9.7100000000000006E-2</v>
      </c>
      <c r="Q73" s="5">
        <v>36</v>
      </c>
      <c r="R73" s="5">
        <v>28</v>
      </c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</row>
    <row r="74" spans="1:42" x14ac:dyDescent="0.2">
      <c r="A74" s="104" t="s">
        <v>281</v>
      </c>
      <c r="B74" s="104" t="s">
        <v>285</v>
      </c>
      <c r="C74" s="105" t="s">
        <v>287</v>
      </c>
      <c r="D74" s="105" t="s">
        <v>56</v>
      </c>
      <c r="E74" s="105" t="s">
        <v>42</v>
      </c>
      <c r="F74" s="105" t="s">
        <v>784</v>
      </c>
      <c r="H74" s="105" t="s">
        <v>33</v>
      </c>
      <c r="K74" s="5">
        <v>1.1299999999999999</v>
      </c>
      <c r="L74" s="5">
        <v>102</v>
      </c>
      <c r="M74" s="108">
        <v>1.675</v>
      </c>
      <c r="O74" s="107">
        <v>0.63</v>
      </c>
      <c r="P74" s="5">
        <v>7.2968490878938627E-2</v>
      </c>
      <c r="Q74" s="5">
        <v>64.5</v>
      </c>
      <c r="R74" s="5">
        <v>28</v>
      </c>
      <c r="S74" s="107">
        <v>2.61</v>
      </c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</row>
    <row r="75" spans="1:42" x14ac:dyDescent="0.2">
      <c r="A75" s="104" t="s">
        <v>281</v>
      </c>
      <c r="B75" s="104" t="s">
        <v>288</v>
      </c>
      <c r="C75" s="105" t="s">
        <v>287</v>
      </c>
      <c r="D75" s="105" t="s">
        <v>56</v>
      </c>
      <c r="E75" s="105" t="s">
        <v>42</v>
      </c>
      <c r="F75" s="105" t="s">
        <v>784</v>
      </c>
      <c r="H75" s="105" t="s">
        <v>33</v>
      </c>
      <c r="K75" s="5">
        <v>1.1100000000000001</v>
      </c>
      <c r="L75" s="5">
        <v>31</v>
      </c>
      <c r="M75" s="108">
        <v>1.69</v>
      </c>
      <c r="O75" s="5">
        <v>0.37</v>
      </c>
      <c r="P75" s="5">
        <v>7.1310116086235484E-2</v>
      </c>
      <c r="R75" s="5">
        <v>9</v>
      </c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</row>
    <row r="76" spans="1:42" x14ac:dyDescent="0.2">
      <c r="A76" s="104" t="s">
        <v>281</v>
      </c>
      <c r="B76" s="104" t="s">
        <v>285</v>
      </c>
      <c r="C76" s="105" t="s">
        <v>287</v>
      </c>
      <c r="D76" s="105" t="s">
        <v>56</v>
      </c>
      <c r="E76" s="105" t="s">
        <v>42</v>
      </c>
      <c r="F76" s="105" t="s">
        <v>784</v>
      </c>
      <c r="H76" s="105" t="s">
        <v>27</v>
      </c>
      <c r="K76" s="5">
        <v>0.69</v>
      </c>
      <c r="L76" s="5">
        <v>20</v>
      </c>
      <c r="M76" s="5">
        <v>0.56999999999999995</v>
      </c>
      <c r="P76" s="5">
        <v>4.9751243781094526E-3</v>
      </c>
      <c r="Q76" s="5">
        <v>10</v>
      </c>
      <c r="R76" s="5">
        <v>8</v>
      </c>
      <c r="S76" s="5">
        <v>0.47</v>
      </c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</row>
    <row r="77" spans="1:42" x14ac:dyDescent="0.2">
      <c r="A77" s="104" t="s">
        <v>281</v>
      </c>
      <c r="B77" s="104" t="s">
        <v>289</v>
      </c>
      <c r="C77" s="105" t="s">
        <v>290</v>
      </c>
      <c r="D77" s="105" t="s">
        <v>56</v>
      </c>
      <c r="E77" s="105" t="s">
        <v>42</v>
      </c>
      <c r="F77" s="105" t="s">
        <v>784</v>
      </c>
      <c r="H77" s="105" t="s">
        <v>27</v>
      </c>
      <c r="J77" s="5">
        <v>94.14500000000001</v>
      </c>
      <c r="K77" s="5">
        <v>0.82499999999999996</v>
      </c>
      <c r="L77" s="5">
        <v>19</v>
      </c>
      <c r="M77" s="5">
        <v>0.435</v>
      </c>
      <c r="N77" s="5">
        <v>18.5</v>
      </c>
      <c r="P77" s="5">
        <v>1.2975E-2</v>
      </c>
      <c r="R77" s="5">
        <v>18.45</v>
      </c>
      <c r="S77" s="5">
        <v>0.12</v>
      </c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</row>
    <row r="78" spans="1:42" x14ac:dyDescent="0.2">
      <c r="A78" s="104" t="s">
        <v>291</v>
      </c>
      <c r="B78" s="104" t="s">
        <v>79</v>
      </c>
      <c r="C78" s="105" t="s">
        <v>290</v>
      </c>
      <c r="D78" s="105" t="s">
        <v>56</v>
      </c>
      <c r="E78" s="105" t="s">
        <v>42</v>
      </c>
      <c r="F78" s="105" t="s">
        <v>784</v>
      </c>
      <c r="H78" s="105" t="s">
        <v>27</v>
      </c>
      <c r="J78" s="5">
        <v>94.449999999999989</v>
      </c>
      <c r="K78" s="5">
        <v>1.05</v>
      </c>
      <c r="L78" s="5">
        <v>18</v>
      </c>
      <c r="M78" s="5">
        <v>0.39500000000000002</v>
      </c>
      <c r="N78" s="5">
        <v>18.5</v>
      </c>
      <c r="O78" s="5">
        <v>0.28999999999999998</v>
      </c>
      <c r="P78" s="5">
        <v>8.7500000000000008E-3</v>
      </c>
      <c r="Q78" s="5">
        <v>24</v>
      </c>
      <c r="R78" s="5">
        <v>18.149999999999999</v>
      </c>
      <c r="S78" s="5">
        <v>0.125</v>
      </c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</row>
    <row r="79" spans="1:42" x14ac:dyDescent="0.2">
      <c r="A79" s="104" t="s">
        <v>292</v>
      </c>
      <c r="B79" s="104" t="s">
        <v>293</v>
      </c>
      <c r="C79" s="105" t="s">
        <v>294</v>
      </c>
      <c r="D79" s="105" t="s">
        <v>56</v>
      </c>
      <c r="E79" s="105" t="s">
        <v>42</v>
      </c>
      <c r="F79" s="105" t="s">
        <v>784</v>
      </c>
      <c r="H79" s="105" t="s">
        <v>27</v>
      </c>
      <c r="J79" s="5">
        <v>81</v>
      </c>
      <c r="K79" s="5">
        <v>1.59</v>
      </c>
      <c r="L79" s="5">
        <v>116</v>
      </c>
      <c r="M79" s="107">
        <v>2.81</v>
      </c>
      <c r="O79" s="107">
        <v>0.65</v>
      </c>
      <c r="P79" s="5">
        <v>5.1846932006633498E-2</v>
      </c>
      <c r="Q79" s="5">
        <v>116</v>
      </c>
      <c r="R79" s="5">
        <v>51</v>
      </c>
      <c r="S79" s="5">
        <v>1.05</v>
      </c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</row>
    <row r="80" spans="1:42" x14ac:dyDescent="0.2">
      <c r="A80" s="104" t="s">
        <v>295</v>
      </c>
      <c r="B80" s="104" t="s">
        <v>296</v>
      </c>
      <c r="C80" s="105" t="s">
        <v>297</v>
      </c>
      <c r="D80" s="105" t="s">
        <v>56</v>
      </c>
      <c r="E80" s="105" t="s">
        <v>42</v>
      </c>
      <c r="F80" s="105" t="s">
        <v>784</v>
      </c>
      <c r="H80" s="105" t="s">
        <v>27</v>
      </c>
      <c r="J80" s="5">
        <v>94.1</v>
      </c>
      <c r="K80" s="5">
        <v>0.7</v>
      </c>
      <c r="L80" s="5">
        <v>14</v>
      </c>
      <c r="M80" s="5">
        <v>0.8</v>
      </c>
      <c r="R80" s="5">
        <v>14</v>
      </c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</row>
    <row r="81" spans="1:50" x14ac:dyDescent="0.2">
      <c r="A81" s="104" t="s">
        <v>388</v>
      </c>
      <c r="B81" s="104" t="s">
        <v>389</v>
      </c>
      <c r="C81" s="105" t="s">
        <v>390</v>
      </c>
      <c r="D81" s="105" t="s">
        <v>56</v>
      </c>
      <c r="E81" s="105" t="s">
        <v>42</v>
      </c>
      <c r="F81" s="105" t="s">
        <v>784</v>
      </c>
      <c r="H81" s="105" t="s">
        <v>27</v>
      </c>
      <c r="J81" s="5">
        <v>95.12</v>
      </c>
      <c r="K81" s="5">
        <v>0.4744444444444445</v>
      </c>
      <c r="L81" s="5">
        <v>17.611111111111111</v>
      </c>
      <c r="M81" s="5">
        <v>0.42857142857142855</v>
      </c>
      <c r="N81" s="5">
        <v>11</v>
      </c>
      <c r="O81" s="5">
        <v>0.25142857142857145</v>
      </c>
      <c r="P81" s="5">
        <v>4.2613557213930349E-2</v>
      </c>
      <c r="Q81" s="5">
        <v>6</v>
      </c>
      <c r="R81" s="5">
        <v>10.566666666666666</v>
      </c>
      <c r="S81" s="5">
        <v>7.4999999999999997E-2</v>
      </c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</row>
    <row r="82" spans="1:50" x14ac:dyDescent="0.2">
      <c r="A82" s="104" t="s">
        <v>412</v>
      </c>
      <c r="B82" s="104" t="s">
        <v>416</v>
      </c>
      <c r="C82" s="105" t="s">
        <v>415</v>
      </c>
      <c r="D82" s="105" t="s">
        <v>56</v>
      </c>
      <c r="E82" s="105" t="s">
        <v>42</v>
      </c>
      <c r="F82" s="105" t="s">
        <v>784</v>
      </c>
      <c r="H82" s="105" t="s">
        <v>166</v>
      </c>
      <c r="K82" s="5">
        <v>1.23</v>
      </c>
      <c r="L82" s="5">
        <v>58</v>
      </c>
      <c r="M82" s="5">
        <v>1.1599999999999999</v>
      </c>
      <c r="P82" s="5">
        <v>0.1824212271973466</v>
      </c>
      <c r="R82" s="5">
        <v>20</v>
      </c>
      <c r="S82" s="5">
        <v>1.1100000000000001</v>
      </c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</row>
    <row r="83" spans="1:50" x14ac:dyDescent="0.2">
      <c r="A83" s="104" t="s">
        <v>412</v>
      </c>
      <c r="B83" s="104" t="s">
        <v>414</v>
      </c>
      <c r="C83" s="105" t="s">
        <v>415</v>
      </c>
      <c r="D83" s="105" t="s">
        <v>56</v>
      </c>
      <c r="E83" s="105" t="s">
        <v>42</v>
      </c>
      <c r="F83" s="105" t="s">
        <v>784</v>
      </c>
      <c r="H83" s="105" t="s">
        <v>27</v>
      </c>
      <c r="J83" s="5">
        <v>94.4</v>
      </c>
      <c r="K83" s="5">
        <v>1.1000000000000001</v>
      </c>
      <c r="L83" s="5">
        <v>15</v>
      </c>
      <c r="M83" s="5">
        <v>0.4</v>
      </c>
      <c r="P83" s="108">
        <v>0.4765743159203979</v>
      </c>
      <c r="Q83" s="5">
        <v>37</v>
      </c>
      <c r="R83" s="5">
        <v>7.5</v>
      </c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</row>
    <row r="84" spans="1:50" x14ac:dyDescent="0.2">
      <c r="A84" s="104" t="s">
        <v>412</v>
      </c>
      <c r="B84" s="104" t="s">
        <v>416</v>
      </c>
      <c r="C84" s="105" t="s">
        <v>415</v>
      </c>
      <c r="D84" s="105" t="s">
        <v>56</v>
      </c>
      <c r="E84" s="105" t="s">
        <v>42</v>
      </c>
      <c r="F84" s="105" t="s">
        <v>784</v>
      </c>
      <c r="H84" s="105" t="s">
        <v>27</v>
      </c>
      <c r="J84" s="5">
        <v>93.7</v>
      </c>
      <c r="K84" s="5">
        <v>0.32</v>
      </c>
      <c r="L84" s="5">
        <v>14.833333333333334</v>
      </c>
      <c r="M84" s="5">
        <v>0.59399999999999997</v>
      </c>
      <c r="N84" s="5">
        <v>19</v>
      </c>
      <c r="O84" s="5">
        <v>0.17</v>
      </c>
      <c r="P84" s="5">
        <v>8.272249861802099E-3</v>
      </c>
      <c r="R84" s="5">
        <v>8.0833333333333339</v>
      </c>
      <c r="S84" s="5">
        <v>0.115</v>
      </c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</row>
    <row r="85" spans="1:50" x14ac:dyDescent="0.2">
      <c r="A85" s="104" t="s">
        <v>441</v>
      </c>
      <c r="B85" s="104" t="s">
        <v>442</v>
      </c>
      <c r="C85" s="105" t="s">
        <v>443</v>
      </c>
      <c r="D85" s="105" t="s">
        <v>56</v>
      </c>
      <c r="E85" s="105" t="s">
        <v>42</v>
      </c>
      <c r="F85" s="105" t="s">
        <v>784</v>
      </c>
      <c r="H85" s="105" t="s">
        <v>33</v>
      </c>
      <c r="J85" s="5">
        <v>84.65</v>
      </c>
      <c r="K85" s="5">
        <v>1.39</v>
      </c>
      <c r="L85" s="108">
        <v>174</v>
      </c>
      <c r="M85" s="109">
        <v>4.55</v>
      </c>
      <c r="N85" s="108">
        <v>85</v>
      </c>
      <c r="P85" s="5">
        <v>8.6749999999999994E-2</v>
      </c>
      <c r="R85" s="107">
        <v>167.5</v>
      </c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</row>
    <row r="86" spans="1:50" x14ac:dyDescent="0.2">
      <c r="A86" s="104" t="s">
        <v>441</v>
      </c>
      <c r="B86" s="104" t="s">
        <v>442</v>
      </c>
      <c r="C86" s="105" t="s">
        <v>443</v>
      </c>
      <c r="D86" s="105" t="s">
        <v>56</v>
      </c>
      <c r="E86" s="105" t="s">
        <v>42</v>
      </c>
      <c r="F86" s="105" t="s">
        <v>784</v>
      </c>
      <c r="H86" s="105" t="s">
        <v>27</v>
      </c>
      <c r="J86" s="5">
        <v>93.65</v>
      </c>
      <c r="K86" s="5">
        <v>1.0392307692307692</v>
      </c>
      <c r="L86" s="5">
        <v>19.615384615384617</v>
      </c>
      <c r="M86" s="5">
        <v>0.56307692307692314</v>
      </c>
      <c r="N86" s="5">
        <v>17</v>
      </c>
      <c r="O86" s="5">
        <v>0.24636363636363637</v>
      </c>
      <c r="P86" s="5">
        <v>1.3404794210764358E-2</v>
      </c>
      <c r="Q86" s="5">
        <v>72</v>
      </c>
      <c r="R86" s="5">
        <v>63.230769230769234</v>
      </c>
      <c r="S86" s="5">
        <v>1.0542857142857143</v>
      </c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</row>
    <row r="87" spans="1:50" x14ac:dyDescent="0.2">
      <c r="A87" s="104" t="s">
        <v>505</v>
      </c>
      <c r="B87" s="104" t="s">
        <v>146</v>
      </c>
      <c r="C87" s="105" t="s">
        <v>510</v>
      </c>
      <c r="D87" s="105" t="s">
        <v>56</v>
      </c>
      <c r="E87" s="105" t="s">
        <v>42</v>
      </c>
      <c r="F87" s="105" t="s">
        <v>784</v>
      </c>
      <c r="H87" s="105" t="s">
        <v>27</v>
      </c>
      <c r="J87" s="5">
        <v>90.49666666666667</v>
      </c>
      <c r="K87" s="5">
        <v>2.4333333333333331</v>
      </c>
      <c r="L87" s="5">
        <v>41.333333333333336</v>
      </c>
      <c r="M87" s="5">
        <v>0.9900000000000001</v>
      </c>
      <c r="N87" s="5">
        <v>28</v>
      </c>
      <c r="O87" s="5">
        <v>0.24</v>
      </c>
      <c r="P87" s="5">
        <v>2.2466666666666666E-2</v>
      </c>
      <c r="Q87" s="5">
        <v>35</v>
      </c>
      <c r="R87" s="5">
        <v>15.833333333333334</v>
      </c>
      <c r="S87" s="5">
        <v>0.41</v>
      </c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</row>
    <row r="88" spans="1:50" x14ac:dyDescent="0.2">
      <c r="A88" s="104" t="s">
        <v>657</v>
      </c>
      <c r="B88" s="104" t="s">
        <v>658</v>
      </c>
      <c r="C88" s="105" t="s">
        <v>659</v>
      </c>
      <c r="D88" s="105" t="s">
        <v>56</v>
      </c>
      <c r="E88" s="105" t="s">
        <v>42</v>
      </c>
      <c r="F88" s="105" t="s">
        <v>784</v>
      </c>
      <c r="H88" s="105" t="s">
        <v>27</v>
      </c>
      <c r="J88" s="5">
        <v>93.6</v>
      </c>
      <c r="K88" s="5">
        <v>0.84750000000000003</v>
      </c>
      <c r="L88" s="5">
        <v>22</v>
      </c>
      <c r="M88" s="5">
        <v>0.46</v>
      </c>
      <c r="P88" s="5">
        <v>9.4445826423438361E-3</v>
      </c>
      <c r="Q88" s="5">
        <v>15</v>
      </c>
      <c r="R88" s="5">
        <v>7.25</v>
      </c>
      <c r="S88" s="5">
        <v>0.04</v>
      </c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</row>
    <row r="89" spans="1:50" x14ac:dyDescent="0.2">
      <c r="A89" s="104" t="s">
        <v>677</v>
      </c>
      <c r="B89" s="104" t="s">
        <v>678</v>
      </c>
      <c r="C89" s="105" t="s">
        <v>679</v>
      </c>
      <c r="D89" s="105" t="s">
        <v>56</v>
      </c>
      <c r="E89" s="105" t="s">
        <v>42</v>
      </c>
      <c r="F89" s="105" t="s">
        <v>784</v>
      </c>
      <c r="H89" s="105" t="s">
        <v>33</v>
      </c>
      <c r="J89" s="5">
        <v>89.78</v>
      </c>
      <c r="K89" s="5">
        <v>1.7399999999999998</v>
      </c>
      <c r="L89" s="107">
        <v>259.84615384615387</v>
      </c>
      <c r="M89" s="108">
        <v>1.889230769230769</v>
      </c>
      <c r="N89" s="5">
        <v>43</v>
      </c>
      <c r="O89" s="107">
        <v>0.62307692307692308</v>
      </c>
      <c r="P89" s="107">
        <v>0.56448526597780324</v>
      </c>
      <c r="Q89" s="108">
        <v>133.07142857142858</v>
      </c>
      <c r="R89" s="5">
        <v>76.5</v>
      </c>
      <c r="S89" s="107">
        <v>3.2623076923076932</v>
      </c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</row>
    <row r="90" spans="1:50" x14ac:dyDescent="0.2">
      <c r="A90" s="104" t="s">
        <v>677</v>
      </c>
      <c r="B90" s="104" t="s">
        <v>678</v>
      </c>
      <c r="C90" s="105" t="s">
        <v>680</v>
      </c>
      <c r="D90" s="105" t="s">
        <v>56</v>
      </c>
      <c r="E90" s="105" t="s">
        <v>42</v>
      </c>
      <c r="F90" s="105" t="s">
        <v>784</v>
      </c>
      <c r="H90" s="105" t="s">
        <v>27</v>
      </c>
      <c r="J90" s="5">
        <v>86.75</v>
      </c>
      <c r="K90" s="5">
        <v>1.7</v>
      </c>
      <c r="L90" s="5">
        <v>60</v>
      </c>
      <c r="M90" s="5">
        <v>1.0539999999999998</v>
      </c>
      <c r="N90" s="5">
        <v>51.6</v>
      </c>
      <c r="O90" s="5">
        <v>0.33666666666666667</v>
      </c>
      <c r="P90" s="5">
        <v>5.8339999999999989E-2</v>
      </c>
      <c r="Q90" s="5">
        <v>56</v>
      </c>
      <c r="R90" s="5">
        <v>26.160000000000004</v>
      </c>
      <c r="S90" s="5">
        <v>0.49</v>
      </c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111"/>
      <c r="AV90" s="111"/>
      <c r="AW90" s="111"/>
      <c r="AX90" s="111"/>
    </row>
    <row r="91" spans="1:50" x14ac:dyDescent="0.2">
      <c r="A91" s="104" t="s">
        <v>677</v>
      </c>
      <c r="B91" s="104" t="s">
        <v>678</v>
      </c>
      <c r="C91" s="105" t="s">
        <v>679</v>
      </c>
      <c r="D91" s="105" t="s">
        <v>56</v>
      </c>
      <c r="E91" s="105" t="s">
        <v>42</v>
      </c>
      <c r="F91" s="105" t="s">
        <v>784</v>
      </c>
      <c r="H91" s="105" t="s">
        <v>37</v>
      </c>
      <c r="J91" s="5">
        <v>73.733333333333334</v>
      </c>
      <c r="K91" s="107">
        <v>3.9333333333333336</v>
      </c>
      <c r="L91" s="5">
        <v>93.666666666666671</v>
      </c>
      <c r="M91" s="5">
        <v>1.4333333333333336</v>
      </c>
      <c r="N91" s="5">
        <v>51</v>
      </c>
      <c r="O91" s="107">
        <v>1.0049999999999999</v>
      </c>
      <c r="P91" s="5">
        <v>1.9699999999999999E-2</v>
      </c>
      <c r="Q91" s="108">
        <v>168</v>
      </c>
      <c r="R91" s="5">
        <v>11.333333333333334</v>
      </c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</row>
    <row r="92" spans="1:50" x14ac:dyDescent="0.2">
      <c r="A92" s="104" t="s">
        <v>190</v>
      </c>
      <c r="B92" s="104" t="s">
        <v>191</v>
      </c>
      <c r="C92" s="105" t="s">
        <v>193</v>
      </c>
      <c r="D92" s="105" t="s">
        <v>25</v>
      </c>
      <c r="E92" s="105" t="s">
        <v>32</v>
      </c>
      <c r="F92" s="105" t="s">
        <v>783</v>
      </c>
      <c r="H92" s="105" t="s">
        <v>194</v>
      </c>
      <c r="J92" s="5">
        <v>85.2</v>
      </c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</row>
    <row r="93" spans="1:50" x14ac:dyDescent="0.2">
      <c r="A93" s="104" t="s">
        <v>192</v>
      </c>
      <c r="B93" s="104" t="s">
        <v>191</v>
      </c>
      <c r="C93" s="105" t="s">
        <v>193</v>
      </c>
      <c r="D93" s="105" t="s">
        <v>25</v>
      </c>
      <c r="E93" s="105" t="s">
        <v>32</v>
      </c>
      <c r="F93" s="105" t="s">
        <v>783</v>
      </c>
      <c r="H93" s="105" t="s">
        <v>37</v>
      </c>
      <c r="J93" s="5">
        <v>68.3</v>
      </c>
      <c r="K93" s="107">
        <v>3.7646666666666668</v>
      </c>
      <c r="L93" s="5">
        <v>35.995925</v>
      </c>
      <c r="M93" s="5">
        <v>1.4055500000000001</v>
      </c>
      <c r="N93" s="108">
        <v>68</v>
      </c>
      <c r="O93" s="109">
        <v>1.625</v>
      </c>
      <c r="P93" s="5">
        <v>8.4706871890547278E-3</v>
      </c>
      <c r="Q93" s="108">
        <v>173</v>
      </c>
      <c r="R93" s="5">
        <v>30.002275000000001</v>
      </c>
      <c r="S93" s="5">
        <v>0.39</v>
      </c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</row>
    <row r="94" spans="1:50" x14ac:dyDescent="0.2">
      <c r="A94" s="104" t="s">
        <v>23</v>
      </c>
      <c r="B94" s="104" t="s">
        <v>24</v>
      </c>
      <c r="C94" s="105" t="s">
        <v>29</v>
      </c>
      <c r="D94" s="105" t="s">
        <v>25</v>
      </c>
      <c r="E94" s="105" t="s">
        <v>46</v>
      </c>
      <c r="F94" s="105" t="s">
        <v>783</v>
      </c>
      <c r="H94" s="105" t="s">
        <v>27</v>
      </c>
      <c r="J94" s="5">
        <v>88.47999999999999</v>
      </c>
      <c r="K94" s="5">
        <v>1.0699230769230768</v>
      </c>
      <c r="L94" s="5">
        <v>69.307446153846158</v>
      </c>
      <c r="M94" s="5">
        <v>0.95533846153846147</v>
      </c>
      <c r="N94" s="5">
        <v>51.5</v>
      </c>
      <c r="O94" s="5">
        <v>0.41</v>
      </c>
      <c r="P94" s="5">
        <v>2.4087500000000001E-2</v>
      </c>
      <c r="Q94" s="5">
        <v>34.75</v>
      </c>
      <c r="R94" s="5">
        <v>31.000191666666666</v>
      </c>
      <c r="S94" s="5">
        <v>0.44625000000000004</v>
      </c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</row>
    <row r="95" spans="1:50" x14ac:dyDescent="0.2">
      <c r="A95" s="104" t="s">
        <v>51</v>
      </c>
      <c r="B95" s="104" t="s">
        <v>57</v>
      </c>
      <c r="C95" s="105" t="s">
        <v>58</v>
      </c>
      <c r="D95" s="105" t="s">
        <v>25</v>
      </c>
      <c r="E95" s="105" t="s">
        <v>46</v>
      </c>
      <c r="F95" s="105" t="s">
        <v>782</v>
      </c>
      <c r="H95" s="105" t="s">
        <v>33</v>
      </c>
      <c r="J95" s="5" t="s">
        <v>0</v>
      </c>
      <c r="L95" s="5">
        <v>91</v>
      </c>
      <c r="M95" s="107">
        <v>3</v>
      </c>
      <c r="P95" s="5">
        <v>2.5000000000000001E-2</v>
      </c>
      <c r="Q95" s="5" t="s">
        <v>0</v>
      </c>
      <c r="R95" s="5">
        <v>39</v>
      </c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</row>
    <row r="96" spans="1:50" x14ac:dyDescent="0.2">
      <c r="A96" s="104" t="s">
        <v>51</v>
      </c>
      <c r="B96" s="104" t="s">
        <v>60</v>
      </c>
      <c r="C96" s="105" t="s">
        <v>61</v>
      </c>
      <c r="D96" s="105" t="s">
        <v>25</v>
      </c>
      <c r="E96" s="105" t="s">
        <v>46</v>
      </c>
      <c r="F96" s="105" t="s">
        <v>782</v>
      </c>
      <c r="H96" s="105" t="s">
        <v>33</v>
      </c>
      <c r="J96" s="5">
        <v>91</v>
      </c>
      <c r="K96" s="5">
        <v>1.0833333333333335</v>
      </c>
      <c r="L96" s="5">
        <v>70.857142857142861</v>
      </c>
      <c r="M96" s="5">
        <v>1.4633333333333332</v>
      </c>
      <c r="N96" s="5">
        <v>23</v>
      </c>
      <c r="O96" s="5">
        <v>0.34199999999999997</v>
      </c>
      <c r="P96" s="5">
        <v>3.3666666666666671E-2</v>
      </c>
      <c r="Q96" s="5">
        <v>16</v>
      </c>
      <c r="R96" s="5">
        <v>30.857142857142858</v>
      </c>
      <c r="S96" s="5">
        <v>0.22499999999999998</v>
      </c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</row>
    <row r="97" spans="1:42" x14ac:dyDescent="0.2">
      <c r="A97" s="104" t="s">
        <v>51</v>
      </c>
      <c r="B97" s="104" t="s">
        <v>53</v>
      </c>
      <c r="C97" s="105" t="s">
        <v>54</v>
      </c>
      <c r="D97" s="105" t="s">
        <v>25</v>
      </c>
      <c r="E97" s="105" t="s">
        <v>46</v>
      </c>
      <c r="F97" s="105" t="s">
        <v>782</v>
      </c>
      <c r="H97" s="105" t="s">
        <v>33</v>
      </c>
      <c r="J97" s="5">
        <v>84.716666666666669</v>
      </c>
      <c r="K97" s="5">
        <v>1.9451600000000002</v>
      </c>
      <c r="L97" s="5">
        <v>59.934733333333327</v>
      </c>
      <c r="M97" s="5">
        <v>1.5229999999999999</v>
      </c>
      <c r="N97" s="5">
        <v>23.366666666666664</v>
      </c>
      <c r="O97" s="108">
        <v>0.436</v>
      </c>
      <c r="P97" s="5">
        <v>7.3004166666666662E-2</v>
      </c>
      <c r="Q97" s="108">
        <v>145</v>
      </c>
      <c r="R97" s="5">
        <v>13.785966666666665</v>
      </c>
      <c r="S97" s="5">
        <v>0.05</v>
      </c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</row>
    <row r="98" spans="1:42" x14ac:dyDescent="0.2">
      <c r="A98" s="104" t="s">
        <v>82</v>
      </c>
      <c r="B98" s="104" t="s">
        <v>83</v>
      </c>
      <c r="C98" s="105" t="s">
        <v>84</v>
      </c>
      <c r="D98" s="105" t="s">
        <v>25</v>
      </c>
      <c r="E98" s="105" t="s">
        <v>46</v>
      </c>
      <c r="F98" s="105" t="s">
        <v>782</v>
      </c>
      <c r="H98" s="105" t="s">
        <v>33</v>
      </c>
      <c r="J98" s="5">
        <v>88.6</v>
      </c>
      <c r="K98" s="5">
        <v>2.335</v>
      </c>
      <c r="L98" s="107">
        <v>298</v>
      </c>
      <c r="M98" s="5">
        <v>1.5474999999999999</v>
      </c>
      <c r="N98" s="5">
        <v>26</v>
      </c>
      <c r="O98" s="107">
        <v>0.96666666666666667</v>
      </c>
      <c r="Q98" s="5">
        <v>69.75</v>
      </c>
      <c r="R98" s="5">
        <v>71.75</v>
      </c>
      <c r="S98" s="109">
        <v>7.5975000000000001</v>
      </c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</row>
    <row r="99" spans="1:42" x14ac:dyDescent="0.2">
      <c r="A99" s="104" t="s">
        <v>133</v>
      </c>
      <c r="B99" s="104" t="s">
        <v>146</v>
      </c>
      <c r="C99" s="105" t="s">
        <v>753</v>
      </c>
      <c r="D99" s="105" t="s">
        <v>25</v>
      </c>
      <c r="E99" s="105" t="s">
        <v>46</v>
      </c>
      <c r="F99" s="105" t="s">
        <v>782</v>
      </c>
      <c r="H99" s="105" t="s">
        <v>166</v>
      </c>
      <c r="J99" s="5">
        <v>82.5</v>
      </c>
      <c r="L99" s="5">
        <v>159.5</v>
      </c>
      <c r="M99" s="107">
        <v>2.2999999999999998</v>
      </c>
      <c r="P99" s="5">
        <v>0.10100000000000001</v>
      </c>
      <c r="R99" s="107">
        <v>227.5</v>
      </c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</row>
    <row r="100" spans="1:42" x14ac:dyDescent="0.2">
      <c r="A100" s="104" t="s">
        <v>161</v>
      </c>
      <c r="B100" s="104" t="s">
        <v>45</v>
      </c>
      <c r="C100" s="105" t="s">
        <v>175</v>
      </c>
      <c r="D100" s="105" t="s">
        <v>25</v>
      </c>
      <c r="E100" s="105" t="s">
        <v>46</v>
      </c>
      <c r="F100" s="105" t="s">
        <v>782</v>
      </c>
      <c r="H100" s="105" t="s">
        <v>33</v>
      </c>
      <c r="J100" s="5">
        <v>87.56</v>
      </c>
      <c r="K100" s="5">
        <v>1.6049999999999998</v>
      </c>
      <c r="L100" s="108">
        <v>238.7</v>
      </c>
      <c r="M100" s="5">
        <v>1.5509999999999999</v>
      </c>
      <c r="N100" s="5">
        <v>51.75</v>
      </c>
      <c r="O100" s="5">
        <v>0.32124999999999998</v>
      </c>
      <c r="P100" s="5">
        <v>0.2635935634328358</v>
      </c>
      <c r="Q100" s="5">
        <v>99.333333333333329</v>
      </c>
      <c r="R100" s="108">
        <v>91.33</v>
      </c>
      <c r="S100" s="108">
        <v>1.51</v>
      </c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</row>
    <row r="101" spans="1:42" x14ac:dyDescent="0.2">
      <c r="A101" s="104" t="s">
        <v>161</v>
      </c>
      <c r="B101" s="104" t="s">
        <v>172</v>
      </c>
      <c r="C101" s="105" t="s">
        <v>174</v>
      </c>
      <c r="D101" s="105" t="s">
        <v>25</v>
      </c>
      <c r="E101" s="105" t="s">
        <v>46</v>
      </c>
      <c r="F101" s="105" t="s">
        <v>782</v>
      </c>
      <c r="H101" s="105" t="s">
        <v>33</v>
      </c>
      <c r="J101" s="5">
        <v>87</v>
      </c>
      <c r="K101" s="5">
        <v>1.23</v>
      </c>
      <c r="L101" s="108">
        <v>205</v>
      </c>
      <c r="M101" s="107">
        <v>3</v>
      </c>
      <c r="N101" s="107">
        <v>88</v>
      </c>
      <c r="P101" s="5">
        <v>0.155</v>
      </c>
      <c r="Q101" s="5" t="s">
        <v>0</v>
      </c>
      <c r="R101" s="107">
        <v>130</v>
      </c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</row>
    <row r="102" spans="1:42" x14ac:dyDescent="0.2">
      <c r="A102" s="104" t="s">
        <v>161</v>
      </c>
      <c r="B102" s="104" t="s">
        <v>172</v>
      </c>
      <c r="C102" s="105" t="s">
        <v>174</v>
      </c>
      <c r="D102" s="105" t="s">
        <v>25</v>
      </c>
      <c r="E102" s="105" t="s">
        <v>46</v>
      </c>
      <c r="F102" s="105" t="s">
        <v>782</v>
      </c>
      <c r="H102" s="105" t="s">
        <v>33</v>
      </c>
      <c r="J102" s="5">
        <v>87</v>
      </c>
      <c r="K102" s="5">
        <v>1.23</v>
      </c>
      <c r="L102" s="108">
        <v>205</v>
      </c>
      <c r="M102" s="107">
        <v>3</v>
      </c>
      <c r="N102" s="107">
        <v>88</v>
      </c>
      <c r="P102" s="5">
        <v>0.155</v>
      </c>
      <c r="Q102" s="5" t="s">
        <v>0</v>
      </c>
      <c r="R102" s="107">
        <v>130</v>
      </c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</row>
    <row r="103" spans="1:42" x14ac:dyDescent="0.2">
      <c r="A103" s="104" t="s">
        <v>161</v>
      </c>
      <c r="B103" s="104" t="s">
        <v>168</v>
      </c>
      <c r="C103" s="105" t="s">
        <v>169</v>
      </c>
      <c r="D103" s="105" t="s">
        <v>25</v>
      </c>
      <c r="E103" s="105" t="s">
        <v>46</v>
      </c>
      <c r="F103" s="105" t="s">
        <v>782</v>
      </c>
      <c r="H103" s="105" t="s">
        <v>33</v>
      </c>
      <c r="J103" s="5" t="s">
        <v>0</v>
      </c>
      <c r="K103" s="5">
        <v>1.3766666666666667</v>
      </c>
      <c r="L103" s="5">
        <v>157</v>
      </c>
      <c r="M103" s="5">
        <v>1.3333333333333333</v>
      </c>
      <c r="O103" s="107">
        <v>0.92</v>
      </c>
      <c r="P103" s="5">
        <v>0.15257048092868988</v>
      </c>
      <c r="Q103" s="5">
        <v>86.5</v>
      </c>
      <c r="R103" s="107">
        <v>157</v>
      </c>
      <c r="S103" s="5">
        <v>1.2566666666666666</v>
      </c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</row>
    <row r="104" spans="1:42" x14ac:dyDescent="0.2">
      <c r="A104" s="104" t="s">
        <v>164</v>
      </c>
      <c r="B104" s="104" t="s">
        <v>45</v>
      </c>
      <c r="C104" s="105" t="s">
        <v>182</v>
      </c>
      <c r="D104" s="105" t="s">
        <v>25</v>
      </c>
      <c r="E104" s="105" t="s">
        <v>46</v>
      </c>
      <c r="F104" s="105" t="s">
        <v>782</v>
      </c>
      <c r="H104" s="105" t="s">
        <v>166</v>
      </c>
      <c r="J104" s="5">
        <v>90.25</v>
      </c>
      <c r="K104" s="108">
        <v>2.6</v>
      </c>
      <c r="L104" s="5">
        <v>83.5</v>
      </c>
      <c r="M104" s="5">
        <v>1.4000000000000001</v>
      </c>
      <c r="N104" s="5">
        <v>19</v>
      </c>
      <c r="O104" s="5">
        <v>0.41</v>
      </c>
      <c r="P104" s="5">
        <v>0.33680679933665009</v>
      </c>
      <c r="Q104" s="5">
        <v>104</v>
      </c>
      <c r="R104" s="5">
        <v>72.3</v>
      </c>
      <c r="S104" s="5">
        <v>0.5</v>
      </c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</row>
    <row r="105" spans="1:42" x14ac:dyDescent="0.2">
      <c r="A105" s="104" t="s">
        <v>204</v>
      </c>
      <c r="B105" s="104" t="s">
        <v>205</v>
      </c>
      <c r="C105" s="105" t="s">
        <v>206</v>
      </c>
      <c r="D105" s="105" t="s">
        <v>25</v>
      </c>
      <c r="E105" s="105" t="s">
        <v>46</v>
      </c>
      <c r="F105" s="105" t="s">
        <v>783</v>
      </c>
      <c r="H105" s="105" t="s">
        <v>28</v>
      </c>
      <c r="J105" s="5">
        <v>87.691111111111113</v>
      </c>
      <c r="K105" s="5">
        <v>1.3384210526315787</v>
      </c>
      <c r="L105" s="5">
        <v>17.49476842105263</v>
      </c>
      <c r="M105" s="5">
        <v>1.1298111111111111</v>
      </c>
      <c r="N105" s="5">
        <v>17.333333333333332</v>
      </c>
      <c r="O105" s="5">
        <v>0.2446153846153846</v>
      </c>
      <c r="P105" s="5">
        <v>0.11407912494817578</v>
      </c>
      <c r="Q105" s="5">
        <v>24.333333333333332</v>
      </c>
      <c r="R105" s="108">
        <v>116.79510526315789</v>
      </c>
      <c r="S105" s="108">
        <v>2.1209090909090911</v>
      </c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</row>
    <row r="106" spans="1:42" x14ac:dyDescent="0.2">
      <c r="A106" s="104" t="s">
        <v>204</v>
      </c>
      <c r="B106" s="104" t="s">
        <v>210</v>
      </c>
      <c r="C106" s="105" t="s">
        <v>211</v>
      </c>
      <c r="D106" s="105" t="s">
        <v>25</v>
      </c>
      <c r="E106" s="105" t="s">
        <v>46</v>
      </c>
      <c r="F106" s="105" t="s">
        <v>783</v>
      </c>
      <c r="H106" s="105" t="s">
        <v>28</v>
      </c>
      <c r="J106" s="5">
        <v>89.15</v>
      </c>
      <c r="K106" s="5">
        <v>0.99509999999999976</v>
      </c>
      <c r="L106" s="5">
        <v>6.0013499999999995</v>
      </c>
      <c r="M106" s="5">
        <v>0.74774999999999991</v>
      </c>
      <c r="P106" s="5">
        <v>2.5000000000000001E-2</v>
      </c>
      <c r="R106" s="5">
        <v>35.494500000000002</v>
      </c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</row>
    <row r="107" spans="1:42" x14ac:dyDescent="0.2">
      <c r="A107" s="104" t="s">
        <v>204</v>
      </c>
      <c r="B107" s="104" t="s">
        <v>205</v>
      </c>
      <c r="C107" s="105" t="s">
        <v>206</v>
      </c>
      <c r="D107" s="105" t="s">
        <v>25</v>
      </c>
      <c r="E107" s="105" t="s">
        <v>46</v>
      </c>
      <c r="F107" s="105" t="s">
        <v>783</v>
      </c>
      <c r="H107" s="105" t="s">
        <v>33</v>
      </c>
      <c r="K107" s="5">
        <v>1.2349999999999999</v>
      </c>
      <c r="L107" s="108">
        <v>216</v>
      </c>
      <c r="M107" s="108">
        <v>2.08</v>
      </c>
      <c r="O107" s="108">
        <v>0.48000000000000004</v>
      </c>
      <c r="P107" s="108">
        <v>0.40132669983416247</v>
      </c>
      <c r="Q107" s="5">
        <v>53</v>
      </c>
      <c r="R107" s="5">
        <v>70.5</v>
      </c>
      <c r="S107" s="5">
        <v>0.4</v>
      </c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</row>
    <row r="108" spans="1:42" x14ac:dyDescent="0.2">
      <c r="A108" s="104" t="s">
        <v>225</v>
      </c>
      <c r="B108" s="104" t="s">
        <v>228</v>
      </c>
      <c r="C108" s="105" t="s">
        <v>229</v>
      </c>
      <c r="D108" s="105" t="s">
        <v>25</v>
      </c>
      <c r="E108" s="105" t="s">
        <v>46</v>
      </c>
      <c r="F108" s="105" t="s">
        <v>782</v>
      </c>
      <c r="H108" s="105" t="s">
        <v>33</v>
      </c>
      <c r="J108" s="5">
        <v>92.44285714285715</v>
      </c>
      <c r="K108" s="5">
        <v>1.8928333333333331</v>
      </c>
      <c r="L108" s="5">
        <v>78.999728571428577</v>
      </c>
      <c r="M108" s="5">
        <v>0.98962857142857141</v>
      </c>
      <c r="N108" s="5">
        <v>19.559999999999999</v>
      </c>
      <c r="O108" s="5">
        <v>0.31766666666666665</v>
      </c>
      <c r="P108" s="5">
        <v>0.27022734936428966</v>
      </c>
      <c r="Q108" s="108">
        <v>137.66666666666666</v>
      </c>
      <c r="R108" s="5">
        <v>19.333099999999998</v>
      </c>
      <c r="S108" s="108">
        <v>2.3049999999999997</v>
      </c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</row>
    <row r="109" spans="1:42" x14ac:dyDescent="0.2">
      <c r="A109" s="104" t="s">
        <v>300</v>
      </c>
      <c r="B109" s="104" t="s">
        <v>299</v>
      </c>
      <c r="C109" s="105" t="s">
        <v>301</v>
      </c>
      <c r="D109" s="105" t="s">
        <v>25</v>
      </c>
      <c r="E109" s="105" t="s">
        <v>46</v>
      </c>
      <c r="F109" s="105" t="s">
        <v>782</v>
      </c>
      <c r="H109" s="105" t="s">
        <v>91</v>
      </c>
      <c r="J109" s="5">
        <v>94</v>
      </c>
      <c r="K109" s="5">
        <v>1.2991000000000006</v>
      </c>
      <c r="L109" s="5">
        <v>68.999800000000036</v>
      </c>
      <c r="M109" s="5">
        <v>1.1002000000000005</v>
      </c>
      <c r="N109" s="5">
        <v>21.35</v>
      </c>
      <c r="O109" s="5">
        <v>0.17</v>
      </c>
      <c r="P109" s="5">
        <v>9.2500000000000013E-3</v>
      </c>
      <c r="Q109" s="5">
        <v>68</v>
      </c>
      <c r="R109" s="5">
        <v>1.6660666666666668</v>
      </c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</row>
    <row r="110" spans="1:42" x14ac:dyDescent="0.2">
      <c r="A110" s="104" t="s">
        <v>370</v>
      </c>
      <c r="B110" s="104" t="s">
        <v>371</v>
      </c>
      <c r="C110" s="105" t="s">
        <v>373</v>
      </c>
      <c r="D110" s="105" t="s">
        <v>25</v>
      </c>
      <c r="E110" s="105" t="s">
        <v>46</v>
      </c>
      <c r="F110" s="105" t="s">
        <v>782</v>
      </c>
      <c r="G110" s="105" t="s">
        <v>71</v>
      </c>
      <c r="H110" s="105" t="s">
        <v>33</v>
      </c>
      <c r="J110" s="5">
        <v>89.52500000000002</v>
      </c>
      <c r="K110" s="5">
        <v>1.2421499999999999</v>
      </c>
      <c r="L110" s="5">
        <v>126.73543571428571</v>
      </c>
      <c r="M110" s="107">
        <v>3.6589916666666671</v>
      </c>
      <c r="N110" s="5">
        <v>60</v>
      </c>
      <c r="O110" s="5">
        <v>0.42125000000000001</v>
      </c>
      <c r="P110" s="5">
        <v>0.33588946793808733</v>
      </c>
      <c r="Q110" s="5">
        <v>29.666666666666668</v>
      </c>
      <c r="R110" s="5">
        <v>48.160806666666666</v>
      </c>
      <c r="S110" s="108">
        <v>1.4387500000000002</v>
      </c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</row>
    <row r="111" spans="1:42" x14ac:dyDescent="0.2">
      <c r="A111" s="104" t="s">
        <v>370</v>
      </c>
      <c r="B111" s="104" t="s">
        <v>374</v>
      </c>
      <c r="C111" s="105" t="s">
        <v>375</v>
      </c>
      <c r="D111" s="105" t="s">
        <v>25</v>
      </c>
      <c r="E111" s="105" t="s">
        <v>46</v>
      </c>
      <c r="F111" s="105" t="s">
        <v>782</v>
      </c>
      <c r="H111" s="105" t="s">
        <v>33</v>
      </c>
      <c r="J111" s="5">
        <v>86.7</v>
      </c>
      <c r="K111" s="5">
        <v>1.6890750000000001</v>
      </c>
      <c r="L111" s="5">
        <v>124.41626666666667</v>
      </c>
      <c r="M111" s="107">
        <v>2.3142714285714283</v>
      </c>
      <c r="N111" s="5">
        <v>55.333333333333336</v>
      </c>
      <c r="O111" s="5">
        <v>0.38166666666666665</v>
      </c>
      <c r="P111" s="5">
        <v>0.36125286661928452</v>
      </c>
      <c r="Q111" s="5">
        <v>47.666666666666664</v>
      </c>
      <c r="R111" s="5">
        <v>29.923576923076926</v>
      </c>
      <c r="S111" s="108">
        <v>1.6557142857142859</v>
      </c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</row>
    <row r="112" spans="1:42" x14ac:dyDescent="0.2">
      <c r="A112" s="104" t="s">
        <v>422</v>
      </c>
      <c r="B112" s="104" t="s">
        <v>424</v>
      </c>
      <c r="C112" s="105" t="s">
        <v>423</v>
      </c>
      <c r="D112" s="105" t="s">
        <v>25</v>
      </c>
      <c r="E112" s="105" t="s">
        <v>46</v>
      </c>
      <c r="F112" s="105" t="s">
        <v>782</v>
      </c>
      <c r="H112" s="105" t="s">
        <v>33</v>
      </c>
      <c r="J112" s="5">
        <v>85.65</v>
      </c>
      <c r="K112" s="5">
        <v>2.1844000000000001</v>
      </c>
      <c r="L112" s="108">
        <v>226.49939999999995</v>
      </c>
      <c r="M112" s="109">
        <v>5.299999999999998</v>
      </c>
      <c r="N112" s="108">
        <v>82</v>
      </c>
      <c r="O112" s="109">
        <v>2.2000000000000002</v>
      </c>
      <c r="P112" s="5">
        <v>0.1473888888888889</v>
      </c>
      <c r="R112" s="5">
        <v>75.33293333333333</v>
      </c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</row>
    <row r="113" spans="1:42" x14ac:dyDescent="0.2">
      <c r="A113" s="104" t="s">
        <v>464</v>
      </c>
      <c r="B113" s="104" t="s">
        <v>466</v>
      </c>
      <c r="C113" s="105" t="s">
        <v>467</v>
      </c>
      <c r="D113" s="105" t="s">
        <v>25</v>
      </c>
      <c r="E113" s="105" t="s">
        <v>46</v>
      </c>
      <c r="F113" s="105" t="s">
        <v>782</v>
      </c>
      <c r="G113" s="105" t="s">
        <v>71</v>
      </c>
      <c r="H113" s="105" t="s">
        <v>33</v>
      </c>
      <c r="J113" s="5">
        <v>92.960999999999999</v>
      </c>
      <c r="K113" s="5">
        <v>0.92139999999999989</v>
      </c>
      <c r="L113" s="5">
        <v>141.93904999999998</v>
      </c>
      <c r="M113" s="108">
        <v>1.7313454545454545</v>
      </c>
      <c r="N113" s="5">
        <v>20.25</v>
      </c>
      <c r="O113" s="107">
        <v>0.59500000000000008</v>
      </c>
      <c r="P113" s="5">
        <v>0.2190030661088497</v>
      </c>
      <c r="Q113" s="5">
        <v>9</v>
      </c>
      <c r="R113" s="5">
        <v>60.318579999999997</v>
      </c>
      <c r="S113" s="5">
        <v>1</v>
      </c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</row>
    <row r="114" spans="1:42" x14ac:dyDescent="0.2">
      <c r="A114" s="104" t="s">
        <v>601</v>
      </c>
      <c r="B114" s="104" t="s">
        <v>620</v>
      </c>
      <c r="C114" s="105" t="s">
        <v>621</v>
      </c>
      <c r="D114" s="105" t="s">
        <v>25</v>
      </c>
      <c r="E114" s="105" t="s">
        <v>46</v>
      </c>
      <c r="F114" s="105" t="s">
        <v>782</v>
      </c>
      <c r="H114" s="105" t="s">
        <v>28</v>
      </c>
      <c r="J114" s="5">
        <v>93.2</v>
      </c>
      <c r="K114" s="5">
        <v>0.4</v>
      </c>
      <c r="L114" s="5">
        <v>29</v>
      </c>
      <c r="M114" s="108">
        <v>1.7</v>
      </c>
      <c r="P114" s="5">
        <v>0.1</v>
      </c>
      <c r="R114" s="5">
        <v>50</v>
      </c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</row>
    <row r="115" spans="1:42" x14ac:dyDescent="0.2">
      <c r="A115" s="104" t="s">
        <v>601</v>
      </c>
      <c r="B115" s="104" t="s">
        <v>602</v>
      </c>
      <c r="C115" s="105" t="s">
        <v>603</v>
      </c>
      <c r="D115" s="105" t="s">
        <v>25</v>
      </c>
      <c r="E115" s="105" t="s">
        <v>46</v>
      </c>
      <c r="F115" s="105" t="s">
        <v>782</v>
      </c>
      <c r="H115" s="105" t="s">
        <v>28</v>
      </c>
      <c r="J115" s="5">
        <v>90.8</v>
      </c>
      <c r="K115" s="5">
        <v>1.5165857142857142</v>
      </c>
      <c r="L115" s="5">
        <v>18.928757142857144</v>
      </c>
      <c r="M115" s="5">
        <v>1.1709999999999998</v>
      </c>
      <c r="O115" s="5">
        <v>0.19999999999999998</v>
      </c>
      <c r="P115" s="5">
        <v>3.3430762852404643E-2</v>
      </c>
      <c r="Q115" s="5">
        <v>21.818181818181817</v>
      </c>
      <c r="R115" s="5">
        <v>10.861385714285715</v>
      </c>
      <c r="S115" s="5">
        <v>0.86818181818181828</v>
      </c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</row>
    <row r="116" spans="1:42" x14ac:dyDescent="0.2">
      <c r="A116" s="104" t="s">
        <v>601</v>
      </c>
      <c r="B116" s="104" t="s">
        <v>618</v>
      </c>
      <c r="C116" s="105" t="s">
        <v>619</v>
      </c>
      <c r="D116" s="105" t="s">
        <v>25</v>
      </c>
      <c r="E116" s="105" t="s">
        <v>46</v>
      </c>
      <c r="F116" s="105" t="s">
        <v>782</v>
      </c>
      <c r="H116" s="105" t="s">
        <v>28</v>
      </c>
      <c r="J116" s="5">
        <v>92.166666666666671</v>
      </c>
      <c r="K116" s="5">
        <v>1.17875</v>
      </c>
      <c r="L116" s="5">
        <v>14.5</v>
      </c>
      <c r="M116" s="5">
        <v>0.75857142857142856</v>
      </c>
      <c r="N116" s="5">
        <v>15</v>
      </c>
      <c r="O116" s="5">
        <v>0.20400000000000001</v>
      </c>
      <c r="P116" s="5">
        <v>9.1459369817578769E-4</v>
      </c>
      <c r="Q116" s="5">
        <v>13.5</v>
      </c>
      <c r="R116" s="5">
        <v>5.65</v>
      </c>
      <c r="S116" s="5">
        <v>0.10499999999999998</v>
      </c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</row>
    <row r="117" spans="1:42" x14ac:dyDescent="0.2">
      <c r="A117" s="104" t="s">
        <v>601</v>
      </c>
      <c r="B117" s="104" t="s">
        <v>616</v>
      </c>
      <c r="C117" s="105" t="s">
        <v>617</v>
      </c>
      <c r="D117" s="105" t="s">
        <v>25</v>
      </c>
      <c r="E117" s="105" t="s">
        <v>46</v>
      </c>
      <c r="F117" s="105" t="s">
        <v>782</v>
      </c>
      <c r="H117" s="105" t="s">
        <v>28</v>
      </c>
      <c r="J117" s="5">
        <v>89</v>
      </c>
      <c r="K117" s="5">
        <v>1.4731999999999998</v>
      </c>
      <c r="L117" s="5">
        <v>14.167</v>
      </c>
      <c r="M117" s="5">
        <v>0.65333333333333332</v>
      </c>
      <c r="N117" s="5">
        <v>40</v>
      </c>
      <c r="O117" s="5">
        <v>0.25</v>
      </c>
      <c r="P117" s="5">
        <v>2.8500000000000001E-2</v>
      </c>
      <c r="Q117" s="5">
        <v>23</v>
      </c>
      <c r="R117" s="5">
        <v>16.666666666666668</v>
      </c>
      <c r="S117" s="5">
        <v>0.62</v>
      </c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</row>
    <row r="118" spans="1:42" x14ac:dyDescent="0.2">
      <c r="A118" s="104" t="s">
        <v>601</v>
      </c>
      <c r="B118" s="104" t="s">
        <v>614</v>
      </c>
      <c r="C118" s="105" t="s">
        <v>615</v>
      </c>
      <c r="D118" s="105" t="s">
        <v>25</v>
      </c>
      <c r="E118" s="105" t="s">
        <v>46</v>
      </c>
      <c r="F118" s="105" t="s">
        <v>782</v>
      </c>
      <c r="H118" s="105" t="s">
        <v>28</v>
      </c>
      <c r="J118" s="5">
        <v>94.316000000000003</v>
      </c>
      <c r="K118" s="5">
        <v>0.56352941176470595</v>
      </c>
      <c r="L118" s="5">
        <v>12.823529411764707</v>
      </c>
      <c r="M118" s="5">
        <v>0.60875000000000001</v>
      </c>
      <c r="N118" s="5">
        <v>11.25</v>
      </c>
      <c r="O118" s="5">
        <v>0.20333333333333339</v>
      </c>
      <c r="P118" s="5">
        <v>5.9944332260267283E-2</v>
      </c>
      <c r="Q118" s="5">
        <v>16.8</v>
      </c>
      <c r="R118" s="5">
        <v>20.688235294117646</v>
      </c>
      <c r="S118" s="108">
        <v>1.4746153846153844</v>
      </c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</row>
    <row r="119" spans="1:42" x14ac:dyDescent="0.2">
      <c r="A119" s="104" t="s">
        <v>601</v>
      </c>
      <c r="B119" s="104" t="s">
        <v>602</v>
      </c>
      <c r="C119" s="105" t="s">
        <v>603</v>
      </c>
      <c r="D119" s="105" t="s">
        <v>25</v>
      </c>
      <c r="E119" s="105" t="s">
        <v>46</v>
      </c>
      <c r="F119" s="105" t="s">
        <v>782</v>
      </c>
      <c r="H119" s="105" t="s">
        <v>33</v>
      </c>
      <c r="J119" s="5">
        <v>83.3</v>
      </c>
      <c r="K119" s="5">
        <v>2.1862000000000004</v>
      </c>
      <c r="L119" s="107">
        <v>523.00110000000006</v>
      </c>
      <c r="M119" s="109">
        <v>4.2582500000000012</v>
      </c>
      <c r="O119" s="107">
        <v>0.81</v>
      </c>
      <c r="P119" s="107">
        <v>0.75345494748479824</v>
      </c>
      <c r="R119" s="5">
        <v>59.333233333333339</v>
      </c>
      <c r="S119" s="109">
        <v>7.31</v>
      </c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</row>
    <row r="120" spans="1:42" x14ac:dyDescent="0.2">
      <c r="A120" s="104" t="s">
        <v>601</v>
      </c>
      <c r="B120" s="104" t="s">
        <v>616</v>
      </c>
      <c r="C120" s="105" t="s">
        <v>617</v>
      </c>
      <c r="D120" s="105" t="s">
        <v>25</v>
      </c>
      <c r="E120" s="105" t="s">
        <v>46</v>
      </c>
      <c r="F120" s="105" t="s">
        <v>782</v>
      </c>
      <c r="H120" s="105" t="s">
        <v>33</v>
      </c>
      <c r="J120" s="5">
        <v>85.866666666666674</v>
      </c>
      <c r="K120" s="5">
        <v>1.599466666666667</v>
      </c>
      <c r="L120" s="107">
        <v>391.0010666666667</v>
      </c>
      <c r="M120" s="5">
        <v>0.3</v>
      </c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</row>
    <row r="121" spans="1:42" x14ac:dyDescent="0.2">
      <c r="A121" s="104" t="s">
        <v>601</v>
      </c>
      <c r="B121" s="104" t="s">
        <v>604</v>
      </c>
      <c r="C121" s="105" t="s">
        <v>605</v>
      </c>
      <c r="D121" s="105" t="s">
        <v>25</v>
      </c>
      <c r="E121" s="105" t="s">
        <v>46</v>
      </c>
      <c r="F121" s="105" t="s">
        <v>782</v>
      </c>
      <c r="H121" s="105" t="s">
        <v>33</v>
      </c>
      <c r="J121" s="5">
        <v>85</v>
      </c>
      <c r="K121" s="5">
        <v>1.0900000000000001</v>
      </c>
      <c r="L121" s="108">
        <v>213.5</v>
      </c>
      <c r="M121" s="109">
        <v>4.2249999999999996</v>
      </c>
      <c r="O121" s="5">
        <v>0.28000000000000003</v>
      </c>
      <c r="P121" s="109">
        <v>1.1990049751243781</v>
      </c>
      <c r="R121" s="5">
        <v>51</v>
      </c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</row>
    <row r="122" spans="1:42" x14ac:dyDescent="0.2">
      <c r="A122" s="104" t="s">
        <v>601</v>
      </c>
      <c r="B122" s="104" t="s">
        <v>622</v>
      </c>
      <c r="C122" s="105" t="s">
        <v>605</v>
      </c>
      <c r="D122" s="105" t="s">
        <v>25</v>
      </c>
      <c r="E122" s="105" t="s">
        <v>46</v>
      </c>
      <c r="F122" s="105" t="s">
        <v>782</v>
      </c>
      <c r="H122" s="105" t="s">
        <v>33</v>
      </c>
      <c r="J122" s="5">
        <v>87.8</v>
      </c>
      <c r="K122" s="5">
        <v>1.37</v>
      </c>
      <c r="L122" s="108">
        <v>196.33333333333334</v>
      </c>
      <c r="M122" s="107">
        <v>3.5500000000000003</v>
      </c>
      <c r="O122" s="107">
        <v>0.93</v>
      </c>
      <c r="P122" s="107">
        <v>0.84079601990049746</v>
      </c>
      <c r="Q122" s="5">
        <v>69.5</v>
      </c>
      <c r="R122" s="108">
        <v>91.666666666666671</v>
      </c>
      <c r="S122" s="108">
        <v>2.35</v>
      </c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</row>
    <row r="123" spans="1:42" x14ac:dyDescent="0.2">
      <c r="A123" s="104" t="s">
        <v>601</v>
      </c>
      <c r="B123" s="104" t="s">
        <v>625</v>
      </c>
      <c r="C123" s="105" t="s">
        <v>626</v>
      </c>
      <c r="D123" s="105" t="s">
        <v>25</v>
      </c>
      <c r="E123" s="105" t="s">
        <v>46</v>
      </c>
      <c r="F123" s="105" t="s">
        <v>782</v>
      </c>
      <c r="H123" s="105" t="s">
        <v>33</v>
      </c>
      <c r="K123" s="5">
        <v>1.31</v>
      </c>
      <c r="L123" s="108">
        <v>175</v>
      </c>
      <c r="M123" s="107">
        <v>3.26</v>
      </c>
      <c r="O123" s="107">
        <v>0.8</v>
      </c>
      <c r="P123" s="108">
        <v>0.48922056384742951</v>
      </c>
      <c r="Q123" s="5">
        <v>61</v>
      </c>
      <c r="R123" s="5">
        <v>79</v>
      </c>
      <c r="S123" s="108">
        <v>2.14</v>
      </c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</row>
    <row r="124" spans="1:42" x14ac:dyDescent="0.2">
      <c r="A124" s="104" t="s">
        <v>648</v>
      </c>
      <c r="B124" s="104" t="s">
        <v>649</v>
      </c>
      <c r="C124" s="105" t="s">
        <v>650</v>
      </c>
      <c r="D124" s="105" t="s">
        <v>25</v>
      </c>
      <c r="E124" s="105" t="s">
        <v>46</v>
      </c>
      <c r="F124" s="105" t="s">
        <v>782</v>
      </c>
      <c r="H124" s="105" t="s">
        <v>33</v>
      </c>
      <c r="J124" s="5">
        <v>93</v>
      </c>
      <c r="K124" s="5">
        <v>1.0126099999999993</v>
      </c>
      <c r="L124" s="5">
        <v>104.80676999999996</v>
      </c>
      <c r="M124" s="107">
        <v>2.2304499999999998</v>
      </c>
      <c r="N124" s="5">
        <v>39.333333333333336</v>
      </c>
      <c r="O124" s="5">
        <v>0.36</v>
      </c>
      <c r="P124" s="5">
        <v>0.31052690713101161</v>
      </c>
      <c r="Q124" s="5">
        <v>32.666666666666664</v>
      </c>
      <c r="R124" s="5">
        <v>31.636439999999993</v>
      </c>
      <c r="S124" s="108">
        <v>1.5633333333333332</v>
      </c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</row>
    <row r="125" spans="1:42" x14ac:dyDescent="0.2">
      <c r="A125" s="104" t="s">
        <v>382</v>
      </c>
      <c r="B125" s="104" t="s">
        <v>383</v>
      </c>
      <c r="C125" s="105" t="s">
        <v>384</v>
      </c>
      <c r="D125" s="105" t="s">
        <v>25</v>
      </c>
      <c r="E125" s="105" t="s">
        <v>42</v>
      </c>
      <c r="F125" s="105" t="s">
        <v>784</v>
      </c>
      <c r="H125" s="105" t="s">
        <v>27</v>
      </c>
      <c r="J125" s="5">
        <v>87</v>
      </c>
      <c r="K125" s="5">
        <v>1.6199999999999999</v>
      </c>
      <c r="L125" s="5">
        <v>54.1</v>
      </c>
      <c r="M125" s="108">
        <v>1.68</v>
      </c>
      <c r="N125" s="5">
        <v>37</v>
      </c>
      <c r="O125" s="107">
        <v>0.68666666666666654</v>
      </c>
      <c r="P125" s="5">
        <v>0.14306185737976782</v>
      </c>
      <c r="Q125" s="5">
        <v>41.333333333333336</v>
      </c>
      <c r="R125" s="5">
        <v>17.333333333333332</v>
      </c>
      <c r="S125" s="5">
        <v>0.15</v>
      </c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</row>
    <row r="126" spans="1:42" x14ac:dyDescent="0.2">
      <c r="A126" s="104" t="s">
        <v>382</v>
      </c>
      <c r="B126" s="104" t="s">
        <v>383</v>
      </c>
      <c r="C126" s="105" t="s">
        <v>384</v>
      </c>
      <c r="D126" s="105" t="s">
        <v>25</v>
      </c>
      <c r="E126" s="105" t="s">
        <v>42</v>
      </c>
      <c r="F126" s="105" t="s">
        <v>784</v>
      </c>
      <c r="H126" s="105" t="s">
        <v>37</v>
      </c>
      <c r="J126" s="5">
        <v>87.885000000000005</v>
      </c>
      <c r="K126" s="108">
        <v>3.3</v>
      </c>
      <c r="L126" s="5">
        <v>50</v>
      </c>
      <c r="M126" s="5">
        <v>0.97</v>
      </c>
      <c r="N126" s="5">
        <v>40</v>
      </c>
      <c r="O126" s="5">
        <v>0.37</v>
      </c>
      <c r="P126" s="5">
        <v>3.7750000000000001E-3</v>
      </c>
      <c r="Q126" s="5">
        <v>62</v>
      </c>
      <c r="R126" s="5">
        <v>12.9</v>
      </c>
      <c r="S126" s="5">
        <v>0.51</v>
      </c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</row>
    <row r="127" spans="1:42" x14ac:dyDescent="0.2">
      <c r="A127" s="104" t="s">
        <v>23</v>
      </c>
      <c r="B127" s="104" t="s">
        <v>30</v>
      </c>
      <c r="C127" s="105" t="s">
        <v>34</v>
      </c>
      <c r="D127" s="105" t="s">
        <v>31</v>
      </c>
      <c r="E127" s="105" t="s">
        <v>32</v>
      </c>
      <c r="F127" s="105" t="s">
        <v>783</v>
      </c>
      <c r="H127" s="105" t="s">
        <v>33</v>
      </c>
      <c r="J127" s="5">
        <v>89.666666666666671</v>
      </c>
      <c r="K127" s="5">
        <v>1.8025</v>
      </c>
      <c r="L127" s="107">
        <v>401</v>
      </c>
      <c r="M127" s="108">
        <v>2.0966666666666667</v>
      </c>
      <c r="N127" s="5">
        <v>18</v>
      </c>
      <c r="O127" s="109">
        <v>1.4</v>
      </c>
      <c r="P127" s="5">
        <v>4.4999999999999998E-2</v>
      </c>
      <c r="Q127" s="5" t="s">
        <v>0</v>
      </c>
      <c r="R127" s="108">
        <v>86</v>
      </c>
      <c r="S127" s="107">
        <v>3.2549999999999999</v>
      </c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</row>
    <row r="128" spans="1:42" x14ac:dyDescent="0.2">
      <c r="A128" s="104" t="s">
        <v>35</v>
      </c>
      <c r="B128" s="104" t="s">
        <v>39</v>
      </c>
      <c r="C128" s="105" t="s">
        <v>862</v>
      </c>
      <c r="D128" s="105" t="s">
        <v>31</v>
      </c>
      <c r="E128" s="105" t="s">
        <v>32</v>
      </c>
      <c r="F128" s="105" t="s">
        <v>781</v>
      </c>
      <c r="H128" s="105" t="s">
        <v>33</v>
      </c>
      <c r="J128" s="5">
        <v>82.4</v>
      </c>
      <c r="K128" s="107">
        <v>3.9</v>
      </c>
      <c r="L128" s="5">
        <v>41</v>
      </c>
      <c r="M128" s="107">
        <v>2.5</v>
      </c>
      <c r="O128" s="108">
        <v>0.5</v>
      </c>
      <c r="P128" s="5" t="s">
        <v>0</v>
      </c>
      <c r="R128" s="5">
        <v>47</v>
      </c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</row>
    <row r="129" spans="1:42" x14ac:dyDescent="0.2">
      <c r="A129" s="104" t="s">
        <v>35</v>
      </c>
      <c r="B129" s="104" t="s">
        <v>36</v>
      </c>
      <c r="C129" s="105" t="s">
        <v>38</v>
      </c>
      <c r="D129" s="105" t="s">
        <v>31</v>
      </c>
      <c r="E129" s="105" t="s">
        <v>32</v>
      </c>
      <c r="F129" s="105" t="s">
        <v>781</v>
      </c>
      <c r="H129" s="105" t="s">
        <v>37</v>
      </c>
      <c r="J129" s="5">
        <v>56.8</v>
      </c>
      <c r="K129" s="108">
        <v>3.3</v>
      </c>
      <c r="L129" s="5">
        <v>137</v>
      </c>
      <c r="M129" s="107">
        <v>3.2</v>
      </c>
      <c r="N129" s="108">
        <v>75</v>
      </c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</row>
    <row r="130" spans="1:42" x14ac:dyDescent="0.2">
      <c r="A130" s="104" t="s">
        <v>48</v>
      </c>
      <c r="B130" s="104" t="s">
        <v>49</v>
      </c>
      <c r="C130" s="105" t="s">
        <v>50</v>
      </c>
      <c r="D130" s="105" t="s">
        <v>31</v>
      </c>
      <c r="E130" s="105" t="s">
        <v>32</v>
      </c>
      <c r="F130" s="105" t="s">
        <v>781</v>
      </c>
      <c r="H130" s="105" t="s">
        <v>33</v>
      </c>
      <c r="J130" s="5">
        <v>77.650000000000006</v>
      </c>
      <c r="K130" s="5">
        <v>1.9937499999999997</v>
      </c>
      <c r="L130" s="107">
        <v>297.375</v>
      </c>
      <c r="M130" s="108">
        <v>1.8337500000000002</v>
      </c>
      <c r="N130" s="5">
        <v>26</v>
      </c>
      <c r="O130" s="107">
        <v>0.85250000000000004</v>
      </c>
      <c r="P130" s="5">
        <v>0.22500000000000001</v>
      </c>
      <c r="Q130" s="5">
        <v>36.75</v>
      </c>
      <c r="R130" s="5">
        <v>61.5</v>
      </c>
      <c r="S130" s="107">
        <v>4.0133333333333336</v>
      </c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</row>
    <row r="131" spans="1:42" x14ac:dyDescent="0.2">
      <c r="A131" s="104" t="s">
        <v>93</v>
      </c>
      <c r="B131" s="104" t="s">
        <v>96</v>
      </c>
      <c r="C131" s="105" t="s">
        <v>97</v>
      </c>
      <c r="D131" s="105" t="s">
        <v>31</v>
      </c>
      <c r="E131" s="105" t="s">
        <v>32</v>
      </c>
      <c r="F131" s="105" t="s">
        <v>781</v>
      </c>
      <c r="H131" s="105" t="s">
        <v>33</v>
      </c>
      <c r="J131" s="5">
        <v>86.066666666666663</v>
      </c>
      <c r="K131" s="108">
        <v>2.8693333333333335</v>
      </c>
      <c r="L131" s="5">
        <v>54.336000000000013</v>
      </c>
      <c r="M131" s="109">
        <v>5.2360000000000007</v>
      </c>
      <c r="N131" s="5">
        <v>33</v>
      </c>
      <c r="O131" s="107">
        <v>0.8</v>
      </c>
      <c r="Q131" s="108">
        <v>160</v>
      </c>
      <c r="R131" s="5">
        <v>8.5</v>
      </c>
      <c r="S131" s="107">
        <v>4.3</v>
      </c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</row>
    <row r="132" spans="1:42" x14ac:dyDescent="0.2">
      <c r="A132" s="104" t="s">
        <v>116</v>
      </c>
      <c r="B132" s="104" t="s">
        <v>117</v>
      </c>
      <c r="C132" s="105" t="s">
        <v>118</v>
      </c>
      <c r="D132" s="105" t="s">
        <v>31</v>
      </c>
      <c r="E132" s="105" t="s">
        <v>32</v>
      </c>
      <c r="F132" s="105" t="s">
        <v>783</v>
      </c>
      <c r="H132" s="105" t="s">
        <v>33</v>
      </c>
      <c r="J132" s="5">
        <v>0.6</v>
      </c>
      <c r="K132" s="107">
        <v>5.74</v>
      </c>
      <c r="L132" s="109">
        <v>912</v>
      </c>
      <c r="M132" s="109">
        <v>18.600000000000001</v>
      </c>
      <c r="N132" s="109">
        <v>610</v>
      </c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</row>
    <row r="133" spans="1:42" x14ac:dyDescent="0.2">
      <c r="A133" s="31" t="s">
        <v>907</v>
      </c>
      <c r="B133" s="31" t="s">
        <v>908</v>
      </c>
      <c r="C133" s="105" t="s">
        <v>908</v>
      </c>
      <c r="D133" s="1" t="s">
        <v>31</v>
      </c>
      <c r="E133" s="1" t="s">
        <v>32</v>
      </c>
      <c r="F133" s="105" t="s">
        <v>781</v>
      </c>
      <c r="G133" s="1"/>
      <c r="H133" s="1" t="s">
        <v>28</v>
      </c>
      <c r="J133" s="5">
        <v>94.366666666666674</v>
      </c>
      <c r="K133" s="5">
        <v>0.64999999999999991</v>
      </c>
      <c r="L133" s="5">
        <v>7.7</v>
      </c>
      <c r="M133" s="5">
        <v>0.70500000000000007</v>
      </c>
      <c r="P133" s="5">
        <v>3.6500000000000005E-2</v>
      </c>
      <c r="R133" s="5">
        <v>15.6</v>
      </c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</row>
    <row r="134" spans="1:42" x14ac:dyDescent="0.2">
      <c r="A134" s="104" t="s">
        <v>125</v>
      </c>
      <c r="B134" s="104" t="s">
        <v>124</v>
      </c>
      <c r="C134" s="105" t="s">
        <v>128</v>
      </c>
      <c r="D134" s="105" t="s">
        <v>31</v>
      </c>
      <c r="E134" s="105" t="s">
        <v>32</v>
      </c>
      <c r="F134" s="105" t="s">
        <v>780</v>
      </c>
      <c r="H134" s="105" t="s">
        <v>28</v>
      </c>
      <c r="J134" s="5">
        <v>53.537499999999994</v>
      </c>
      <c r="K134" s="107">
        <v>5.34</v>
      </c>
      <c r="L134" s="5">
        <v>36.78</v>
      </c>
      <c r="M134" s="5">
        <v>1.4739999999999998</v>
      </c>
      <c r="N134" s="5">
        <v>24.419999999999998</v>
      </c>
      <c r="O134" s="5">
        <v>0.31500000000000006</v>
      </c>
      <c r="P134" s="5">
        <v>0.1824212271973466</v>
      </c>
      <c r="R134" s="5">
        <v>18.7</v>
      </c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</row>
    <row r="135" spans="1:42" x14ac:dyDescent="0.2">
      <c r="A135" s="104" t="s">
        <v>125</v>
      </c>
      <c r="B135" s="104" t="s">
        <v>124</v>
      </c>
      <c r="C135" s="105" t="s">
        <v>128</v>
      </c>
      <c r="D135" s="105" t="s">
        <v>31</v>
      </c>
      <c r="E135" s="105" t="s">
        <v>32</v>
      </c>
      <c r="F135" s="105" t="s">
        <v>780</v>
      </c>
      <c r="H135" s="105" t="s">
        <v>131</v>
      </c>
      <c r="J135" s="5">
        <v>89.556666666666672</v>
      </c>
      <c r="K135" s="5">
        <v>0.90999999999999992</v>
      </c>
      <c r="L135" s="5">
        <v>80.8</v>
      </c>
      <c r="M135" s="108">
        <v>1.7433333333333334</v>
      </c>
      <c r="N135" s="5">
        <v>30.8</v>
      </c>
      <c r="O135" s="107">
        <v>0.79</v>
      </c>
      <c r="R135" s="5">
        <v>9.35</v>
      </c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</row>
    <row r="136" spans="1:42" x14ac:dyDescent="0.2">
      <c r="A136" s="104" t="s">
        <v>769</v>
      </c>
      <c r="B136" s="104" t="s">
        <v>770</v>
      </c>
      <c r="C136" s="105" t="s">
        <v>864</v>
      </c>
      <c r="D136" s="105" t="s">
        <v>31</v>
      </c>
      <c r="E136" s="105" t="s">
        <v>32</v>
      </c>
      <c r="F136" s="105" t="s">
        <v>781</v>
      </c>
      <c r="H136" s="105" t="s">
        <v>33</v>
      </c>
      <c r="J136" s="5">
        <v>33.700000000000003</v>
      </c>
      <c r="K136" s="107">
        <v>6.76</v>
      </c>
      <c r="L136" s="5">
        <v>106.08</v>
      </c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</row>
    <row r="137" spans="1:42" x14ac:dyDescent="0.2">
      <c r="A137" s="104" t="s">
        <v>129</v>
      </c>
      <c r="B137" s="104" t="s">
        <v>774</v>
      </c>
      <c r="C137" s="105" t="s">
        <v>132</v>
      </c>
      <c r="D137" s="105" t="s">
        <v>31</v>
      </c>
      <c r="E137" s="105" t="s">
        <v>32</v>
      </c>
      <c r="F137" s="105" t="s">
        <v>132</v>
      </c>
      <c r="H137" s="105" t="s">
        <v>131</v>
      </c>
      <c r="J137" s="5">
        <v>90.26</v>
      </c>
      <c r="K137" s="107">
        <v>3.81</v>
      </c>
      <c r="L137" s="107">
        <v>560</v>
      </c>
      <c r="N137" s="107">
        <v>140</v>
      </c>
      <c r="R137" s="5">
        <v>2.6</v>
      </c>
      <c r="S137" s="5">
        <v>0.49</v>
      </c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</row>
    <row r="138" spans="1:42" x14ac:dyDescent="0.2">
      <c r="A138" s="104" t="s">
        <v>129</v>
      </c>
      <c r="B138" s="104" t="s">
        <v>146</v>
      </c>
      <c r="C138" s="105" t="s">
        <v>132</v>
      </c>
      <c r="D138" s="105" t="s">
        <v>31</v>
      </c>
      <c r="E138" s="105" t="s">
        <v>32</v>
      </c>
      <c r="F138" s="105" t="s">
        <v>132</v>
      </c>
      <c r="H138" s="105" t="s">
        <v>131</v>
      </c>
      <c r="J138" s="5">
        <v>88.275000000000006</v>
      </c>
      <c r="K138" s="108">
        <v>2.895</v>
      </c>
      <c r="L138" s="5">
        <v>115</v>
      </c>
      <c r="M138" s="5">
        <v>0.51500000000000001</v>
      </c>
      <c r="N138" s="5">
        <v>54.14</v>
      </c>
      <c r="O138" s="5">
        <v>0.37</v>
      </c>
      <c r="Q138" s="5">
        <v>17.05</v>
      </c>
      <c r="R138" s="5">
        <v>10.185</v>
      </c>
      <c r="S138" s="5">
        <v>0.29000000000000004</v>
      </c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</row>
    <row r="139" spans="1:42" x14ac:dyDescent="0.2">
      <c r="A139" s="104" t="s">
        <v>129</v>
      </c>
      <c r="B139" s="104" t="s">
        <v>773</v>
      </c>
      <c r="C139" s="105" t="s">
        <v>132</v>
      </c>
      <c r="D139" s="105" t="s">
        <v>31</v>
      </c>
      <c r="E139" s="105" t="s">
        <v>32</v>
      </c>
      <c r="F139" s="105" t="s">
        <v>132</v>
      </c>
      <c r="H139" s="105" t="s">
        <v>131</v>
      </c>
      <c r="J139" s="5">
        <v>90.265000000000001</v>
      </c>
      <c r="K139" s="5">
        <v>2.02</v>
      </c>
      <c r="L139" s="5">
        <v>33</v>
      </c>
      <c r="M139" s="5">
        <v>0.4</v>
      </c>
      <c r="P139" s="5">
        <v>0.37266666666666665</v>
      </c>
      <c r="R139" s="5">
        <v>2.95</v>
      </c>
      <c r="S139" s="5">
        <v>0.61</v>
      </c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</row>
    <row r="140" spans="1:42" x14ac:dyDescent="0.2">
      <c r="A140" s="104" t="s">
        <v>129</v>
      </c>
      <c r="B140" s="104" t="s">
        <v>79</v>
      </c>
      <c r="C140" s="105" t="s">
        <v>132</v>
      </c>
      <c r="D140" s="105" t="s">
        <v>31</v>
      </c>
      <c r="E140" s="105" t="s">
        <v>32</v>
      </c>
      <c r="F140" s="105" t="s">
        <v>132</v>
      </c>
      <c r="H140" s="105" t="s">
        <v>131</v>
      </c>
      <c r="J140" s="5">
        <v>90.7</v>
      </c>
      <c r="K140" s="5">
        <v>1.7678999999999998</v>
      </c>
      <c r="L140" s="5">
        <v>16.666066666666662</v>
      </c>
      <c r="M140" s="5">
        <v>0.63563333333333316</v>
      </c>
      <c r="N140" s="5">
        <v>3</v>
      </c>
      <c r="P140" s="5">
        <v>1.8541666666666667E-3</v>
      </c>
      <c r="R140" s="5">
        <v>6.399119999999999</v>
      </c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</row>
    <row r="141" spans="1:42" x14ac:dyDescent="0.2">
      <c r="A141" s="104" t="s">
        <v>129</v>
      </c>
      <c r="B141" s="104" t="s">
        <v>771</v>
      </c>
      <c r="C141" s="105" t="s">
        <v>132</v>
      </c>
      <c r="D141" s="105" t="s">
        <v>31</v>
      </c>
      <c r="E141" s="105" t="s">
        <v>32</v>
      </c>
      <c r="F141" s="105" t="s">
        <v>132</v>
      </c>
      <c r="H141" s="105" t="s">
        <v>131</v>
      </c>
      <c r="J141" s="5">
        <v>71.22</v>
      </c>
      <c r="K141" s="5">
        <v>0.96</v>
      </c>
      <c r="L141" s="5">
        <v>13.1</v>
      </c>
      <c r="M141" s="5">
        <v>0.21</v>
      </c>
      <c r="N141" s="5">
        <v>0.52</v>
      </c>
      <c r="O141" s="107">
        <v>0.97</v>
      </c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</row>
    <row r="142" spans="1:42" x14ac:dyDescent="0.2">
      <c r="A142" s="104" t="s">
        <v>129</v>
      </c>
      <c r="B142" s="104" t="s">
        <v>790</v>
      </c>
      <c r="C142" s="105" t="s">
        <v>132</v>
      </c>
      <c r="D142" s="105" t="s">
        <v>31</v>
      </c>
      <c r="E142" s="105" t="s">
        <v>32</v>
      </c>
      <c r="F142" s="105" t="s">
        <v>132</v>
      </c>
      <c r="H142" s="105" t="s">
        <v>131</v>
      </c>
      <c r="J142" s="5">
        <v>83.6</v>
      </c>
      <c r="K142" s="107">
        <v>3.97</v>
      </c>
      <c r="L142" s="5">
        <v>4.0599999999999996</v>
      </c>
      <c r="M142" s="107">
        <v>2.69</v>
      </c>
      <c r="N142" s="5">
        <v>6.09</v>
      </c>
      <c r="O142" s="107">
        <v>0.7</v>
      </c>
      <c r="R142" s="5">
        <v>1.42</v>
      </c>
      <c r="S142" s="5">
        <v>0.61</v>
      </c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</row>
    <row r="143" spans="1:42" x14ac:dyDescent="0.2">
      <c r="A143" s="104" t="s">
        <v>129</v>
      </c>
      <c r="B143" s="104" t="s">
        <v>789</v>
      </c>
      <c r="C143" s="105" t="s">
        <v>132</v>
      </c>
      <c r="D143" s="105" t="s">
        <v>31</v>
      </c>
      <c r="E143" s="105" t="s">
        <v>32</v>
      </c>
      <c r="F143" s="105" t="s">
        <v>132</v>
      </c>
      <c r="H143" s="105" t="s">
        <v>131</v>
      </c>
      <c r="J143" s="5">
        <v>92</v>
      </c>
      <c r="K143" s="5">
        <v>2.2799999999999998</v>
      </c>
      <c r="R143" s="5">
        <v>2.6</v>
      </c>
      <c r="S143" s="5">
        <v>0.47</v>
      </c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</row>
    <row r="144" spans="1:42" x14ac:dyDescent="0.2">
      <c r="A144" s="104" t="s">
        <v>719</v>
      </c>
      <c r="B144" s="104" t="s">
        <v>720</v>
      </c>
      <c r="C144" s="105" t="s">
        <v>865</v>
      </c>
      <c r="D144" s="105" t="s">
        <v>31</v>
      </c>
      <c r="E144" s="105" t="s">
        <v>32</v>
      </c>
      <c r="F144" s="105" t="s">
        <v>781</v>
      </c>
      <c r="H144" s="105" t="s">
        <v>721</v>
      </c>
      <c r="J144" s="5">
        <v>70.5</v>
      </c>
      <c r="K144" s="108">
        <v>2.8</v>
      </c>
      <c r="L144" s="107">
        <v>294</v>
      </c>
      <c r="M144" s="107">
        <v>2.9</v>
      </c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</row>
    <row r="145" spans="1:42" x14ac:dyDescent="0.2">
      <c r="A145" s="104" t="s">
        <v>154</v>
      </c>
      <c r="B145" s="104" t="s">
        <v>155</v>
      </c>
      <c r="C145" s="105" t="s">
        <v>157</v>
      </c>
      <c r="D145" s="105" t="s">
        <v>31</v>
      </c>
      <c r="E145" s="105" t="s">
        <v>32</v>
      </c>
      <c r="F145" s="105" t="s">
        <v>781</v>
      </c>
      <c r="H145" s="105" t="s">
        <v>156</v>
      </c>
      <c r="J145" s="5">
        <v>69</v>
      </c>
      <c r="K145" s="5">
        <v>1.2958000000000003</v>
      </c>
      <c r="L145" s="5">
        <v>41.654600000000002</v>
      </c>
      <c r="M145" s="107">
        <v>4.0402000000000005</v>
      </c>
      <c r="N145" s="5" t="s">
        <v>0</v>
      </c>
      <c r="O145" s="109">
        <v>1.24</v>
      </c>
      <c r="P145" s="5">
        <v>4.6249166666666668E-2</v>
      </c>
      <c r="Q145" s="5" t="s">
        <v>0</v>
      </c>
      <c r="R145" s="5">
        <v>25.995200000000008</v>
      </c>
      <c r="S145" s="5" t="s">
        <v>0</v>
      </c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</row>
    <row r="146" spans="1:42" x14ac:dyDescent="0.2">
      <c r="A146" s="104" t="s">
        <v>185</v>
      </c>
      <c r="B146" s="104" t="s">
        <v>188</v>
      </c>
      <c r="C146" s="105" t="s">
        <v>189</v>
      </c>
      <c r="D146" s="105" t="s">
        <v>31</v>
      </c>
      <c r="E146" s="105" t="s">
        <v>32</v>
      </c>
      <c r="F146" s="105" t="s">
        <v>781</v>
      </c>
      <c r="H146" s="105" t="s">
        <v>166</v>
      </c>
      <c r="J146" s="5">
        <v>77.8</v>
      </c>
      <c r="K146" s="5">
        <v>2.3983999999999996</v>
      </c>
      <c r="L146" s="107">
        <v>281.99680000000001</v>
      </c>
      <c r="M146" s="109">
        <v>6.8047999999999993</v>
      </c>
      <c r="P146" s="5">
        <v>9.7500000000000003E-2</v>
      </c>
      <c r="R146" s="5">
        <v>23.995199999999997</v>
      </c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</row>
    <row r="147" spans="1:42" x14ac:dyDescent="0.2">
      <c r="A147" s="25" t="s">
        <v>910</v>
      </c>
      <c r="B147" s="25" t="s">
        <v>911</v>
      </c>
      <c r="C147" s="22" t="s">
        <v>912</v>
      </c>
      <c r="D147" s="22" t="s">
        <v>31</v>
      </c>
      <c r="E147" s="22" t="s">
        <v>32</v>
      </c>
      <c r="F147" s="22" t="s">
        <v>781</v>
      </c>
      <c r="G147" s="22"/>
      <c r="H147" s="22" t="s">
        <v>284</v>
      </c>
      <c r="J147" s="5">
        <v>41.3</v>
      </c>
      <c r="K147" s="107">
        <v>4.3</v>
      </c>
      <c r="L147" s="108">
        <v>200</v>
      </c>
      <c r="M147" s="5">
        <v>1.3</v>
      </c>
      <c r="N147" s="107">
        <v>106</v>
      </c>
      <c r="O147" s="5">
        <v>4.0000000000000001E-3</v>
      </c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</row>
    <row r="148" spans="1:42" x14ac:dyDescent="0.2">
      <c r="A148" s="104" t="s">
        <v>208</v>
      </c>
      <c r="B148" s="104" t="s">
        <v>722</v>
      </c>
      <c r="C148" s="105" t="s">
        <v>866</v>
      </c>
      <c r="D148" s="105" t="s">
        <v>31</v>
      </c>
      <c r="E148" s="105" t="s">
        <v>32</v>
      </c>
      <c r="F148" s="105" t="s">
        <v>783</v>
      </c>
      <c r="H148" s="105" t="s">
        <v>28</v>
      </c>
      <c r="J148" s="5">
        <v>77.900000000000006</v>
      </c>
      <c r="L148" s="5">
        <v>48</v>
      </c>
      <c r="M148" s="109">
        <v>6.3</v>
      </c>
      <c r="R148" s="5">
        <v>61</v>
      </c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</row>
    <row r="149" spans="1:42" x14ac:dyDescent="0.2">
      <c r="A149" s="104" t="s">
        <v>212</v>
      </c>
      <c r="B149" s="104" t="s">
        <v>213</v>
      </c>
      <c r="C149" s="105" t="s">
        <v>213</v>
      </c>
      <c r="D149" s="105" t="s">
        <v>31</v>
      </c>
      <c r="E149" s="105" t="s">
        <v>32</v>
      </c>
      <c r="F149" s="105" t="s">
        <v>781</v>
      </c>
      <c r="H149" s="105" t="s">
        <v>27</v>
      </c>
      <c r="J149" s="5">
        <v>92.2</v>
      </c>
      <c r="K149" s="5">
        <v>1.4668666666666665</v>
      </c>
      <c r="L149" s="5">
        <v>40.999666666666663</v>
      </c>
      <c r="M149" s="5">
        <v>0.40006666666666657</v>
      </c>
      <c r="N149" s="5">
        <v>20</v>
      </c>
      <c r="O149" s="5">
        <v>0.2</v>
      </c>
      <c r="P149" s="5">
        <v>1.25E-3</v>
      </c>
      <c r="Q149" s="5" t="s">
        <v>0</v>
      </c>
      <c r="R149" s="5">
        <v>36.332566666666658</v>
      </c>
      <c r="S149" s="5">
        <v>0.8</v>
      </c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</row>
    <row r="150" spans="1:42" x14ac:dyDescent="0.2">
      <c r="A150" s="104" t="s">
        <v>723</v>
      </c>
      <c r="B150" s="104" t="s">
        <v>1051</v>
      </c>
      <c r="C150" s="105" t="s">
        <v>724</v>
      </c>
      <c r="D150" s="105" t="s">
        <v>31</v>
      </c>
      <c r="E150" s="105" t="s">
        <v>32</v>
      </c>
      <c r="F150" s="105" t="s">
        <v>780</v>
      </c>
      <c r="H150" s="105" t="s">
        <v>166</v>
      </c>
      <c r="J150" s="5">
        <v>85</v>
      </c>
      <c r="L150" s="107">
        <v>369</v>
      </c>
      <c r="M150" s="5">
        <v>1.4</v>
      </c>
      <c r="R150" s="5">
        <v>14</v>
      </c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</row>
    <row r="151" spans="1:42" x14ac:dyDescent="0.2">
      <c r="A151" s="104" t="s">
        <v>233</v>
      </c>
      <c r="B151" s="104" t="s">
        <v>234</v>
      </c>
      <c r="C151" s="105" t="s">
        <v>235</v>
      </c>
      <c r="D151" s="105" t="s">
        <v>31</v>
      </c>
      <c r="E151" s="105" t="s">
        <v>32</v>
      </c>
      <c r="F151" s="105" t="s">
        <v>783</v>
      </c>
      <c r="H151" s="105" t="s">
        <v>33</v>
      </c>
      <c r="J151" s="5">
        <v>79.100000000000009</v>
      </c>
      <c r="K151" s="5">
        <v>2.3999600000000001</v>
      </c>
      <c r="L151" s="107">
        <v>277.66613333333333</v>
      </c>
      <c r="M151" s="109">
        <v>4.6011142857142859</v>
      </c>
      <c r="N151" s="107">
        <v>88</v>
      </c>
      <c r="P151" s="109">
        <v>1.3778608965588721</v>
      </c>
      <c r="R151" s="107">
        <v>216.66679999999997</v>
      </c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</row>
    <row r="152" spans="1:42" x14ac:dyDescent="0.2">
      <c r="A152" s="104" t="s">
        <v>268</v>
      </c>
      <c r="B152" s="104" t="s">
        <v>269</v>
      </c>
      <c r="C152" s="105" t="s">
        <v>271</v>
      </c>
      <c r="D152" s="105" t="s">
        <v>31</v>
      </c>
      <c r="E152" s="105" t="s">
        <v>32</v>
      </c>
      <c r="F152" s="105" t="s">
        <v>783</v>
      </c>
      <c r="H152" s="105" t="s">
        <v>33</v>
      </c>
      <c r="J152" s="5">
        <v>81.433333333333337</v>
      </c>
      <c r="K152" s="5">
        <v>2.4818666666666669</v>
      </c>
      <c r="L152" s="107">
        <v>314.0010666666667</v>
      </c>
      <c r="M152" s="109">
        <v>4.6973333333333338</v>
      </c>
      <c r="P152" s="5">
        <v>0.33350000000000002</v>
      </c>
      <c r="R152" s="108">
        <v>83.322400000000002</v>
      </c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</row>
    <row r="153" spans="1:42" x14ac:dyDescent="0.2">
      <c r="A153" s="104" t="s">
        <v>304</v>
      </c>
      <c r="B153" s="104" t="s">
        <v>305</v>
      </c>
      <c r="C153" s="105" t="s">
        <v>306</v>
      </c>
      <c r="D153" s="105" t="s">
        <v>31</v>
      </c>
      <c r="E153" s="105" t="s">
        <v>32</v>
      </c>
      <c r="F153" s="105" t="s">
        <v>783</v>
      </c>
      <c r="H153" s="105" t="s">
        <v>28</v>
      </c>
      <c r="J153" s="5">
        <v>85</v>
      </c>
      <c r="K153" s="108">
        <v>2.5593600000000003</v>
      </c>
      <c r="L153" s="5">
        <v>23.249400000000001</v>
      </c>
      <c r="M153" s="5">
        <v>0.71367500000000006</v>
      </c>
      <c r="N153" s="5">
        <v>20.5</v>
      </c>
      <c r="O153" s="5">
        <v>0.02</v>
      </c>
      <c r="P153" s="5">
        <v>2.8718124999999997E-2</v>
      </c>
      <c r="Q153" s="5" t="s">
        <v>0</v>
      </c>
      <c r="R153" s="5">
        <v>23.644583333333333</v>
      </c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</row>
    <row r="154" spans="1:42" x14ac:dyDescent="0.2">
      <c r="A154" s="104" t="s">
        <v>309</v>
      </c>
      <c r="B154" s="104" t="s">
        <v>310</v>
      </c>
      <c r="C154" s="105" t="s">
        <v>311</v>
      </c>
      <c r="D154" s="105" t="s">
        <v>31</v>
      </c>
      <c r="E154" s="105" t="s">
        <v>32</v>
      </c>
      <c r="F154" s="105" t="s">
        <v>781</v>
      </c>
      <c r="H154" s="105" t="s">
        <v>28</v>
      </c>
      <c r="J154" s="5">
        <v>56</v>
      </c>
      <c r="K154" s="109">
        <v>8.1905999999999999</v>
      </c>
      <c r="L154" s="5">
        <v>43.011599999999994</v>
      </c>
      <c r="M154" s="5">
        <v>0.78839999999999988</v>
      </c>
      <c r="R154" s="5">
        <v>19.009199999999996</v>
      </c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</row>
    <row r="155" spans="1:42" x14ac:dyDescent="0.2">
      <c r="A155" s="104" t="s">
        <v>791</v>
      </c>
      <c r="B155" s="104" t="s">
        <v>795</v>
      </c>
      <c r="C155" s="105" t="s">
        <v>132</v>
      </c>
      <c r="D155" s="105" t="s">
        <v>31</v>
      </c>
      <c r="E155" s="105" t="s">
        <v>32</v>
      </c>
      <c r="F155" s="105" t="s">
        <v>132</v>
      </c>
      <c r="H155" s="105" t="s">
        <v>131</v>
      </c>
      <c r="J155" s="5">
        <v>92.855000000000004</v>
      </c>
      <c r="K155" s="108">
        <v>3.12</v>
      </c>
      <c r="L155" s="5">
        <v>4.3599999999999994</v>
      </c>
      <c r="M155" s="5">
        <v>1.55</v>
      </c>
      <c r="N155" s="5">
        <v>13.494999999999999</v>
      </c>
      <c r="O155" s="107">
        <v>0.57999999999999996</v>
      </c>
      <c r="Q155" s="5">
        <v>128</v>
      </c>
      <c r="R155" s="5">
        <v>2.645</v>
      </c>
      <c r="S155" s="5">
        <v>0.41599999999999998</v>
      </c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</row>
    <row r="156" spans="1:42" x14ac:dyDescent="0.2">
      <c r="A156" s="104" t="s">
        <v>791</v>
      </c>
      <c r="B156" s="104" t="s">
        <v>793</v>
      </c>
      <c r="C156" s="105" t="s">
        <v>132</v>
      </c>
      <c r="D156" s="105" t="s">
        <v>31</v>
      </c>
      <c r="E156" s="105" t="s">
        <v>32</v>
      </c>
      <c r="F156" s="105" t="s">
        <v>132</v>
      </c>
      <c r="H156" s="105" t="s">
        <v>131</v>
      </c>
      <c r="J156" s="5">
        <v>89.8</v>
      </c>
      <c r="K156" s="107">
        <v>4.03</v>
      </c>
      <c r="R156" s="5">
        <v>1.59</v>
      </c>
      <c r="S156" s="5">
        <v>0.42</v>
      </c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</row>
    <row r="157" spans="1:42" x14ac:dyDescent="0.2">
      <c r="A157" s="104" t="s">
        <v>791</v>
      </c>
      <c r="B157" s="104" t="s">
        <v>792</v>
      </c>
      <c r="C157" s="105" t="s">
        <v>132</v>
      </c>
      <c r="D157" s="105" t="s">
        <v>31</v>
      </c>
      <c r="E157" s="105" t="s">
        <v>32</v>
      </c>
      <c r="F157" s="105" t="s">
        <v>132</v>
      </c>
      <c r="H157" s="105" t="s">
        <v>131</v>
      </c>
      <c r="J157" s="5">
        <v>89.4</v>
      </c>
      <c r="K157" s="108">
        <v>3.54</v>
      </c>
      <c r="R157" s="5">
        <v>3.2</v>
      </c>
      <c r="S157" s="5">
        <v>0.91</v>
      </c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</row>
    <row r="158" spans="1:42" x14ac:dyDescent="0.2">
      <c r="A158" s="104" t="s">
        <v>791</v>
      </c>
      <c r="B158" s="104" t="s">
        <v>796</v>
      </c>
      <c r="C158" s="105" t="s">
        <v>132</v>
      </c>
      <c r="D158" s="105" t="s">
        <v>31</v>
      </c>
      <c r="E158" s="105" t="s">
        <v>32</v>
      </c>
      <c r="F158" s="105" t="s">
        <v>132</v>
      </c>
      <c r="H158" s="105" t="s">
        <v>131</v>
      </c>
      <c r="J158" s="5">
        <v>89.3</v>
      </c>
      <c r="K158" s="108">
        <v>2.91</v>
      </c>
      <c r="R158" s="5">
        <v>1.58</v>
      </c>
      <c r="S158" s="5">
        <v>0.65</v>
      </c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</row>
    <row r="159" spans="1:42" x14ac:dyDescent="0.2">
      <c r="A159" s="104" t="s">
        <v>791</v>
      </c>
      <c r="B159" s="104" t="s">
        <v>794</v>
      </c>
      <c r="C159" s="105" t="s">
        <v>132</v>
      </c>
      <c r="D159" s="105" t="s">
        <v>31</v>
      </c>
      <c r="E159" s="105" t="s">
        <v>32</v>
      </c>
      <c r="F159" s="105" t="s">
        <v>132</v>
      </c>
      <c r="H159" s="105" t="s">
        <v>131</v>
      </c>
      <c r="J159" s="5">
        <v>90.7</v>
      </c>
      <c r="K159" s="108">
        <v>2.65</v>
      </c>
      <c r="R159" s="5">
        <v>3.28</v>
      </c>
      <c r="S159" s="5">
        <v>0.69</v>
      </c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</row>
    <row r="160" spans="1:42" x14ac:dyDescent="0.2">
      <c r="A160" s="104" t="s">
        <v>759</v>
      </c>
      <c r="B160" s="104" t="s">
        <v>900</v>
      </c>
      <c r="C160" s="105" t="s">
        <v>901</v>
      </c>
      <c r="D160" s="105" t="s">
        <v>31</v>
      </c>
      <c r="E160" s="105" t="s">
        <v>32</v>
      </c>
      <c r="F160" s="105" t="s">
        <v>781</v>
      </c>
      <c r="H160" s="105" t="s">
        <v>286</v>
      </c>
      <c r="J160" s="5">
        <v>82.7</v>
      </c>
      <c r="K160" s="5">
        <v>2.4</v>
      </c>
      <c r="L160" s="5">
        <v>108</v>
      </c>
      <c r="M160" s="107">
        <v>2.4</v>
      </c>
      <c r="P160" s="5">
        <v>6.4999999999999997E-3</v>
      </c>
      <c r="R160" s="5">
        <v>37</v>
      </c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</row>
    <row r="161" spans="1:42" x14ac:dyDescent="0.2">
      <c r="A161" s="21" t="s">
        <v>759</v>
      </c>
      <c r="B161" s="21" t="s">
        <v>720</v>
      </c>
      <c r="C161" s="110" t="s">
        <v>1002</v>
      </c>
      <c r="D161" s="22" t="s">
        <v>31</v>
      </c>
      <c r="E161" s="22" t="s">
        <v>32</v>
      </c>
      <c r="F161" s="22" t="s">
        <v>781</v>
      </c>
      <c r="G161" s="22"/>
      <c r="H161" s="22" t="s">
        <v>33</v>
      </c>
      <c r="J161" s="5">
        <v>78.099999999999994</v>
      </c>
      <c r="K161" s="108">
        <v>3</v>
      </c>
      <c r="L161" s="107">
        <v>639.1</v>
      </c>
      <c r="M161" s="107">
        <v>4.0999999999999996</v>
      </c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</row>
    <row r="162" spans="1:42" x14ac:dyDescent="0.2">
      <c r="A162" s="104" t="s">
        <v>759</v>
      </c>
      <c r="B162" s="104" t="s">
        <v>310</v>
      </c>
      <c r="C162" s="105" t="s">
        <v>760</v>
      </c>
      <c r="D162" s="105" t="s">
        <v>31</v>
      </c>
      <c r="E162" s="105" t="s">
        <v>32</v>
      </c>
      <c r="F162" s="105" t="s">
        <v>781</v>
      </c>
      <c r="H162" s="105" t="s">
        <v>37</v>
      </c>
      <c r="J162" s="5">
        <v>80</v>
      </c>
      <c r="L162" s="5">
        <v>16</v>
      </c>
      <c r="M162" s="5">
        <v>0.77</v>
      </c>
      <c r="N162" s="5">
        <v>38</v>
      </c>
      <c r="O162" s="108">
        <v>0.56000000000000005</v>
      </c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</row>
    <row r="163" spans="1:42" x14ac:dyDescent="0.2">
      <c r="A163" s="104" t="s">
        <v>338</v>
      </c>
      <c r="B163" s="104" t="s">
        <v>45</v>
      </c>
      <c r="C163" s="105" t="s">
        <v>339</v>
      </c>
      <c r="D163" s="105" t="s">
        <v>31</v>
      </c>
      <c r="E163" s="105" t="s">
        <v>32</v>
      </c>
      <c r="F163" s="105" t="s">
        <v>780</v>
      </c>
      <c r="H163" s="105" t="s">
        <v>131</v>
      </c>
      <c r="J163" s="5">
        <v>89.8</v>
      </c>
      <c r="K163" s="5">
        <v>0.8</v>
      </c>
      <c r="L163" s="5">
        <v>86</v>
      </c>
      <c r="M163" s="5">
        <v>0.7</v>
      </c>
      <c r="N163" s="5">
        <v>9</v>
      </c>
      <c r="R163" s="5">
        <v>17</v>
      </c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</row>
    <row r="164" spans="1:42" x14ac:dyDescent="0.2">
      <c r="A164" s="104" t="s">
        <v>729</v>
      </c>
      <c r="B164" s="104" t="s">
        <v>130</v>
      </c>
      <c r="C164" s="105" t="s">
        <v>730</v>
      </c>
      <c r="D164" s="105" t="s">
        <v>31</v>
      </c>
      <c r="E164" s="105" t="s">
        <v>32</v>
      </c>
      <c r="F164" s="105" t="s">
        <v>781</v>
      </c>
      <c r="H164" s="105" t="s">
        <v>33</v>
      </c>
      <c r="J164" s="5">
        <v>65</v>
      </c>
      <c r="K164" s="108">
        <v>2.7</v>
      </c>
      <c r="L164" s="5">
        <v>5</v>
      </c>
      <c r="M164" s="5">
        <v>1</v>
      </c>
      <c r="N164" s="107">
        <v>106</v>
      </c>
      <c r="O164" s="5">
        <v>0.4</v>
      </c>
      <c r="P164" s="5" t="s">
        <v>0</v>
      </c>
      <c r="R164" s="5">
        <v>60</v>
      </c>
      <c r="S164" s="108">
        <v>2</v>
      </c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</row>
    <row r="165" spans="1:42" x14ac:dyDescent="0.2">
      <c r="A165" s="104" t="s">
        <v>797</v>
      </c>
      <c r="B165" s="104" t="s">
        <v>798</v>
      </c>
      <c r="C165" s="105" t="s">
        <v>132</v>
      </c>
      <c r="D165" s="105" t="s">
        <v>31</v>
      </c>
      <c r="E165" s="105" t="s">
        <v>32</v>
      </c>
      <c r="F165" s="105" t="s">
        <v>132</v>
      </c>
      <c r="H165" s="105" t="s">
        <v>131</v>
      </c>
      <c r="J165" s="5">
        <v>89.23</v>
      </c>
      <c r="K165" s="107">
        <v>4.1500000000000004</v>
      </c>
      <c r="R165" s="5">
        <v>1</v>
      </c>
      <c r="S165" s="5">
        <v>0.6</v>
      </c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</row>
    <row r="166" spans="1:42" x14ac:dyDescent="0.2">
      <c r="A166" s="104" t="s">
        <v>350</v>
      </c>
      <c r="B166" s="104" t="s">
        <v>354</v>
      </c>
      <c r="C166" s="105" t="s">
        <v>355</v>
      </c>
      <c r="D166" s="105" t="s">
        <v>31</v>
      </c>
      <c r="E166" s="105" t="s">
        <v>32</v>
      </c>
      <c r="F166" s="105" t="s">
        <v>781</v>
      </c>
      <c r="H166" s="105" t="s">
        <v>33</v>
      </c>
      <c r="J166" s="5">
        <v>73.2</v>
      </c>
      <c r="K166" s="107">
        <v>6.3022666666666671</v>
      </c>
      <c r="L166" s="5">
        <v>150.74307500000003</v>
      </c>
      <c r="M166" s="109">
        <v>4.3560800000000004</v>
      </c>
      <c r="N166" s="108">
        <v>70</v>
      </c>
      <c r="O166" s="5">
        <v>0.4</v>
      </c>
      <c r="P166" s="108">
        <v>0.54997194444444442</v>
      </c>
      <c r="R166" s="107">
        <v>131.32926666666665</v>
      </c>
      <c r="S166" s="108">
        <v>2</v>
      </c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</row>
    <row r="167" spans="1:42" x14ac:dyDescent="0.2">
      <c r="A167" s="104" t="s">
        <v>764</v>
      </c>
      <c r="B167" s="104" t="s">
        <v>765</v>
      </c>
      <c r="C167" s="105" t="s">
        <v>766</v>
      </c>
      <c r="D167" s="105" t="s">
        <v>31</v>
      </c>
      <c r="E167" s="105" t="s">
        <v>32</v>
      </c>
      <c r="F167" s="105" t="s">
        <v>781</v>
      </c>
      <c r="H167" s="105" t="s">
        <v>28</v>
      </c>
      <c r="J167" s="5">
        <v>79.733333333333334</v>
      </c>
      <c r="L167" s="5">
        <v>34.666666666666664</v>
      </c>
      <c r="M167" s="5">
        <v>1.4333333333333333</v>
      </c>
      <c r="N167" s="5">
        <v>53.333333333333336</v>
      </c>
      <c r="O167" s="108">
        <v>0.5033333333333333</v>
      </c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</row>
    <row r="168" spans="1:42" x14ac:dyDescent="0.2">
      <c r="A168" s="104" t="s">
        <v>402</v>
      </c>
      <c r="B168" s="104" t="s">
        <v>245</v>
      </c>
      <c r="C168" s="105" t="s">
        <v>404</v>
      </c>
      <c r="D168" s="105" t="s">
        <v>31</v>
      </c>
      <c r="E168" s="105" t="s">
        <v>32</v>
      </c>
      <c r="F168" s="105" t="s">
        <v>781</v>
      </c>
      <c r="H168" s="105" t="s">
        <v>37</v>
      </c>
      <c r="I168" s="1" t="s">
        <v>0</v>
      </c>
      <c r="J168" s="5">
        <v>71.95</v>
      </c>
      <c r="K168" s="108">
        <v>2.56</v>
      </c>
      <c r="L168" s="5">
        <v>102.285</v>
      </c>
      <c r="M168" s="107">
        <v>2.3449999999999998</v>
      </c>
      <c r="N168" s="5">
        <v>54.9</v>
      </c>
      <c r="O168" s="107">
        <v>0.82</v>
      </c>
      <c r="P168" s="5">
        <v>8.0000000000000002E-3</v>
      </c>
      <c r="R168" s="5">
        <v>40</v>
      </c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</row>
    <row r="169" spans="1:42" x14ac:dyDescent="0.2">
      <c r="A169" s="104" t="s">
        <v>417</v>
      </c>
      <c r="B169" s="104" t="s">
        <v>57</v>
      </c>
      <c r="C169" s="105" t="s">
        <v>418</v>
      </c>
      <c r="D169" s="105" t="s">
        <v>31</v>
      </c>
      <c r="E169" s="105" t="s">
        <v>32</v>
      </c>
      <c r="F169" s="105" t="s">
        <v>783</v>
      </c>
      <c r="H169" s="105" t="s">
        <v>33</v>
      </c>
      <c r="J169" s="5">
        <v>89.174999999999997</v>
      </c>
      <c r="K169" s="5">
        <v>1.64</v>
      </c>
      <c r="L169" s="5">
        <v>112.09600479999999</v>
      </c>
      <c r="M169" s="107">
        <v>3.5347952</v>
      </c>
      <c r="N169" s="108">
        <v>74</v>
      </c>
      <c r="O169" s="5">
        <v>0.42</v>
      </c>
      <c r="P169" s="108">
        <v>0.38993055555555556</v>
      </c>
      <c r="Q169" s="5">
        <v>76</v>
      </c>
      <c r="R169" s="5">
        <v>20.599520000000002</v>
      </c>
      <c r="S169" s="109">
        <v>8.9450000000000003</v>
      </c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</row>
    <row r="170" spans="1:42" x14ac:dyDescent="0.2">
      <c r="A170" s="104" t="s">
        <v>419</v>
      </c>
      <c r="B170" s="104" t="s">
        <v>420</v>
      </c>
      <c r="C170" s="105" t="s">
        <v>418</v>
      </c>
      <c r="D170" s="105" t="s">
        <v>31</v>
      </c>
      <c r="E170" s="105" t="s">
        <v>32</v>
      </c>
      <c r="F170" s="105" t="s">
        <v>783</v>
      </c>
      <c r="H170" s="105" t="s">
        <v>28</v>
      </c>
      <c r="J170" s="5">
        <v>77.13333333333334</v>
      </c>
      <c r="K170" s="5">
        <v>2.2000000000000002</v>
      </c>
      <c r="L170" s="5">
        <v>26.6</v>
      </c>
      <c r="M170" s="5">
        <v>0.9</v>
      </c>
      <c r="N170" s="5">
        <v>12.7</v>
      </c>
      <c r="O170" s="108">
        <v>0.5</v>
      </c>
      <c r="P170" s="109">
        <v>4.306</v>
      </c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</row>
    <row r="171" spans="1:42" x14ac:dyDescent="0.2">
      <c r="A171" s="104" t="s">
        <v>427</v>
      </c>
      <c r="B171" s="104" t="s">
        <v>245</v>
      </c>
      <c r="C171" s="105" t="s">
        <v>428</v>
      </c>
      <c r="D171" s="105" t="s">
        <v>31</v>
      </c>
      <c r="E171" s="105" t="s">
        <v>32</v>
      </c>
      <c r="F171" s="105" t="s">
        <v>783</v>
      </c>
      <c r="H171" s="105" t="s">
        <v>33</v>
      </c>
      <c r="J171" s="5">
        <v>79.72</v>
      </c>
      <c r="K171" s="108">
        <v>2.9033333333333329</v>
      </c>
      <c r="L171" s="107">
        <v>242</v>
      </c>
      <c r="M171" s="109">
        <v>4.3366666666666669</v>
      </c>
      <c r="N171" s="5" t="s">
        <v>0</v>
      </c>
      <c r="O171" s="109">
        <v>1.79</v>
      </c>
      <c r="P171" s="107">
        <v>1.0192856550580431</v>
      </c>
      <c r="Q171" s="5">
        <v>95</v>
      </c>
      <c r="R171" s="109">
        <v>273.8</v>
      </c>
      <c r="S171" s="109">
        <v>13.06</v>
      </c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</row>
    <row r="172" spans="1:42" x14ac:dyDescent="0.2">
      <c r="A172" s="104" t="s">
        <v>435</v>
      </c>
      <c r="B172" s="104" t="s">
        <v>436</v>
      </c>
      <c r="C172" s="105" t="s">
        <v>437</v>
      </c>
      <c r="D172" s="105" t="s">
        <v>31</v>
      </c>
      <c r="E172" s="105" t="s">
        <v>32</v>
      </c>
      <c r="F172" s="105" t="s">
        <v>781</v>
      </c>
      <c r="H172" s="105" t="s">
        <v>33</v>
      </c>
      <c r="J172" s="5">
        <v>76.599999999999994</v>
      </c>
      <c r="K172" s="108">
        <v>3.4</v>
      </c>
      <c r="M172" s="107">
        <v>3.7</v>
      </c>
      <c r="P172" s="5">
        <v>0.26533996683250416</v>
      </c>
      <c r="R172" s="108">
        <v>115</v>
      </c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</row>
    <row r="173" spans="1:42" x14ac:dyDescent="0.2">
      <c r="A173" s="104" t="s">
        <v>777</v>
      </c>
      <c r="B173" s="104" t="s">
        <v>778</v>
      </c>
      <c r="C173" s="105" t="s">
        <v>132</v>
      </c>
      <c r="D173" s="105" t="s">
        <v>31</v>
      </c>
      <c r="E173" s="105" t="s">
        <v>32</v>
      </c>
      <c r="F173" s="105" t="s">
        <v>781</v>
      </c>
      <c r="H173" s="105" t="s">
        <v>131</v>
      </c>
      <c r="J173" s="5">
        <v>84</v>
      </c>
      <c r="L173" s="107">
        <v>400</v>
      </c>
      <c r="N173" s="5">
        <v>50</v>
      </c>
      <c r="R173" s="5">
        <v>12.5</v>
      </c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</row>
    <row r="174" spans="1:42" x14ac:dyDescent="0.2">
      <c r="A174" s="104" t="s">
        <v>735</v>
      </c>
      <c r="B174" s="104" t="s">
        <v>736</v>
      </c>
      <c r="C174" s="105" t="s">
        <v>737</v>
      </c>
      <c r="D174" s="105" t="s">
        <v>31</v>
      </c>
      <c r="E174" s="105" t="s">
        <v>32</v>
      </c>
      <c r="F174" s="105" t="s">
        <v>780</v>
      </c>
      <c r="H174" s="105" t="s">
        <v>131</v>
      </c>
      <c r="J174" s="5">
        <v>91</v>
      </c>
      <c r="K174" s="108">
        <v>2.6</v>
      </c>
      <c r="L174" s="5">
        <v>68</v>
      </c>
      <c r="M174" s="5">
        <v>0.2</v>
      </c>
      <c r="N174" s="5">
        <v>37</v>
      </c>
      <c r="O174" s="108">
        <v>0.5</v>
      </c>
      <c r="R174" s="5">
        <v>2</v>
      </c>
      <c r="S174" s="5">
        <v>0.2</v>
      </c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</row>
    <row r="175" spans="1:42" x14ac:dyDescent="0.2">
      <c r="A175" s="104" t="s">
        <v>451</v>
      </c>
      <c r="B175" s="104" t="s">
        <v>452</v>
      </c>
      <c r="C175" s="105" t="s">
        <v>454</v>
      </c>
      <c r="D175" s="105" t="s">
        <v>31</v>
      </c>
      <c r="E175" s="105" t="s">
        <v>32</v>
      </c>
      <c r="F175" s="105" t="s">
        <v>781</v>
      </c>
      <c r="H175" s="105" t="s">
        <v>166</v>
      </c>
      <c r="J175" s="5">
        <v>84</v>
      </c>
      <c r="K175" s="5">
        <v>1.2640000000000002</v>
      </c>
      <c r="L175" s="107">
        <v>345.65660000000003</v>
      </c>
      <c r="M175" s="109">
        <v>6.9046000000000021</v>
      </c>
      <c r="P175" s="107">
        <v>0.60132833333333324</v>
      </c>
      <c r="R175" s="108">
        <v>110.17340000000002</v>
      </c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</row>
    <row r="176" spans="1:42" x14ac:dyDescent="0.2">
      <c r="A176" s="104" t="s">
        <v>451</v>
      </c>
      <c r="B176" s="104" t="s">
        <v>453</v>
      </c>
      <c r="C176" s="105" t="s">
        <v>454</v>
      </c>
      <c r="D176" s="105" t="s">
        <v>31</v>
      </c>
      <c r="E176" s="105" t="s">
        <v>32</v>
      </c>
      <c r="F176" s="105" t="s">
        <v>781</v>
      </c>
      <c r="H176" s="105" t="s">
        <v>33</v>
      </c>
      <c r="J176" s="5">
        <v>76.331999999999994</v>
      </c>
      <c r="K176" s="5">
        <v>1.3626666666666665</v>
      </c>
      <c r="L176" s="5">
        <v>107.98155294117647</v>
      </c>
      <c r="M176" s="107">
        <v>3.4741111111111111</v>
      </c>
      <c r="N176" s="107">
        <v>112</v>
      </c>
      <c r="O176" s="107">
        <v>0.62714285714285711</v>
      </c>
      <c r="P176" s="5">
        <v>0.30090336820797969</v>
      </c>
      <c r="Q176" s="5">
        <v>73.785714285714292</v>
      </c>
      <c r="R176" s="107">
        <v>218.61717647058822</v>
      </c>
      <c r="S176" s="108">
        <v>1.6158333333333335</v>
      </c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</row>
    <row r="177" spans="1:42" x14ac:dyDescent="0.2">
      <c r="A177" s="104" t="s">
        <v>451</v>
      </c>
      <c r="B177" s="104" t="s">
        <v>453</v>
      </c>
      <c r="C177" s="105" t="s">
        <v>454</v>
      </c>
      <c r="D177" s="105" t="s">
        <v>31</v>
      </c>
      <c r="E177" s="105" t="s">
        <v>32</v>
      </c>
      <c r="F177" s="105" t="s">
        <v>781</v>
      </c>
      <c r="H177" s="105" t="s">
        <v>27</v>
      </c>
      <c r="J177" s="5">
        <v>87.36</v>
      </c>
      <c r="K177" s="108">
        <v>3.2678800000000003</v>
      </c>
      <c r="L177" s="5">
        <v>70.203400000000002</v>
      </c>
      <c r="M177" s="107">
        <v>3.5429000000000004</v>
      </c>
      <c r="N177" s="5">
        <v>34</v>
      </c>
      <c r="O177" s="108">
        <v>0.45</v>
      </c>
      <c r="P177" s="5">
        <v>0.16980333333333336</v>
      </c>
      <c r="Q177" s="5">
        <v>44</v>
      </c>
      <c r="R177" s="107">
        <v>123.62159999999999</v>
      </c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</row>
    <row r="178" spans="1:42" x14ac:dyDescent="0.2">
      <c r="A178" s="104" t="s">
        <v>455</v>
      </c>
      <c r="B178" s="104" t="s">
        <v>137</v>
      </c>
      <c r="C178" s="105" t="s">
        <v>458</v>
      </c>
      <c r="D178" s="105" t="s">
        <v>31</v>
      </c>
      <c r="E178" s="105" t="s">
        <v>32</v>
      </c>
      <c r="F178" s="105" t="s">
        <v>781</v>
      </c>
      <c r="H178" s="105" t="s">
        <v>33</v>
      </c>
      <c r="J178" s="5">
        <v>73.5</v>
      </c>
      <c r="K178" s="107">
        <v>4.08</v>
      </c>
      <c r="L178" s="107">
        <v>648.05333333333328</v>
      </c>
      <c r="M178" s="109">
        <v>14.377500000000001</v>
      </c>
      <c r="N178" s="107">
        <v>159.04</v>
      </c>
      <c r="O178" s="109">
        <v>1.1850000000000001</v>
      </c>
      <c r="P178" s="107">
        <v>0.61719999999999997</v>
      </c>
      <c r="R178" s="107">
        <v>220</v>
      </c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</row>
    <row r="179" spans="1:42" x14ac:dyDescent="0.2">
      <c r="A179" s="104" t="s">
        <v>761</v>
      </c>
      <c r="B179" s="104" t="s">
        <v>762</v>
      </c>
      <c r="C179" s="105" t="s">
        <v>763</v>
      </c>
      <c r="D179" s="105" t="s">
        <v>31</v>
      </c>
      <c r="E179" s="105" t="s">
        <v>32</v>
      </c>
      <c r="F179" s="105" t="s">
        <v>780</v>
      </c>
      <c r="H179" s="105" t="s">
        <v>28</v>
      </c>
      <c r="J179" s="5">
        <v>81.3</v>
      </c>
      <c r="L179" s="5">
        <v>30</v>
      </c>
      <c r="M179" s="5">
        <v>1.4</v>
      </c>
      <c r="N179" s="5">
        <v>12</v>
      </c>
      <c r="O179" s="5">
        <v>0.26</v>
      </c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</row>
    <row r="180" spans="1:42" x14ac:dyDescent="0.2">
      <c r="A180" s="104" t="s">
        <v>474</v>
      </c>
      <c r="B180" s="104" t="s">
        <v>475</v>
      </c>
      <c r="C180" s="105" t="s">
        <v>477</v>
      </c>
      <c r="D180" s="105" t="s">
        <v>31</v>
      </c>
      <c r="E180" s="105" t="s">
        <v>32</v>
      </c>
      <c r="F180" s="105" t="s">
        <v>781</v>
      </c>
      <c r="H180" s="105" t="s">
        <v>28</v>
      </c>
      <c r="J180" s="5">
        <v>76.75</v>
      </c>
      <c r="K180" s="5">
        <v>1.3</v>
      </c>
      <c r="L180" s="5">
        <v>56.5</v>
      </c>
      <c r="M180" s="5">
        <v>1.0449999999999999</v>
      </c>
      <c r="N180" s="5">
        <v>11</v>
      </c>
      <c r="P180" s="5">
        <v>0</v>
      </c>
      <c r="Q180" s="5">
        <v>3</v>
      </c>
      <c r="S180" s="107">
        <v>3.81</v>
      </c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</row>
    <row r="181" spans="1:42" x14ac:dyDescent="0.2">
      <c r="A181" s="104" t="s">
        <v>478</v>
      </c>
      <c r="B181" s="104" t="s">
        <v>898</v>
      </c>
      <c r="C181" s="105" t="s">
        <v>899</v>
      </c>
      <c r="D181" s="105" t="s">
        <v>31</v>
      </c>
      <c r="E181" s="105" t="s">
        <v>32</v>
      </c>
      <c r="F181" s="105" t="s">
        <v>886</v>
      </c>
      <c r="H181" s="105" t="s">
        <v>28</v>
      </c>
      <c r="J181" s="5">
        <v>88.5</v>
      </c>
      <c r="K181" s="108">
        <v>3.4</v>
      </c>
      <c r="L181" s="5">
        <v>126</v>
      </c>
      <c r="M181" s="5">
        <v>0.3</v>
      </c>
      <c r="P181" s="5">
        <v>2E-3</v>
      </c>
      <c r="R181" s="5">
        <v>22</v>
      </c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</row>
    <row r="182" spans="1:42" x14ac:dyDescent="0.2">
      <c r="A182" s="104" t="s">
        <v>478</v>
      </c>
      <c r="B182" s="104" t="s">
        <v>891</v>
      </c>
      <c r="C182" s="105" t="s">
        <v>892</v>
      </c>
      <c r="D182" s="105" t="s">
        <v>31</v>
      </c>
      <c r="E182" s="105" t="s">
        <v>32</v>
      </c>
      <c r="F182" s="105" t="s">
        <v>886</v>
      </c>
      <c r="H182" s="105" t="s">
        <v>33</v>
      </c>
      <c r="I182" s="111"/>
      <c r="J182" s="5">
        <v>89.22</v>
      </c>
      <c r="K182" s="107">
        <v>5.3</v>
      </c>
      <c r="L182" s="108">
        <v>180</v>
      </c>
      <c r="M182" s="5">
        <v>0.2</v>
      </c>
      <c r="N182" s="108">
        <v>69</v>
      </c>
      <c r="O182" s="5">
        <v>0.13800000000000001</v>
      </c>
      <c r="R182" s="5">
        <v>11.3</v>
      </c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</row>
    <row r="183" spans="1:42" x14ac:dyDescent="0.2">
      <c r="A183" s="104" t="s">
        <v>478</v>
      </c>
      <c r="B183" s="104" t="s">
        <v>479</v>
      </c>
      <c r="C183" s="105" t="s">
        <v>480</v>
      </c>
      <c r="D183" s="105" t="s">
        <v>31</v>
      </c>
      <c r="E183" s="105" t="s">
        <v>32</v>
      </c>
      <c r="F183" s="105" t="s">
        <v>886</v>
      </c>
      <c r="H183" s="105" t="s">
        <v>33</v>
      </c>
      <c r="J183" s="5">
        <v>91.555000000000007</v>
      </c>
      <c r="K183" s="5">
        <v>2.1475</v>
      </c>
      <c r="L183" s="5">
        <v>112</v>
      </c>
      <c r="M183" s="5">
        <v>0.59749999999999992</v>
      </c>
      <c r="N183" s="5">
        <v>52.666666666666664</v>
      </c>
      <c r="O183" s="5">
        <v>0.17666666666666667</v>
      </c>
      <c r="P183" s="5">
        <v>9.4283333333333344E-2</v>
      </c>
      <c r="Q183" s="5">
        <v>3</v>
      </c>
      <c r="R183" s="5">
        <v>11.574999999999999</v>
      </c>
      <c r="S183" s="5">
        <v>0</v>
      </c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</row>
    <row r="184" spans="1:42" x14ac:dyDescent="0.2">
      <c r="A184" s="104" t="s">
        <v>481</v>
      </c>
      <c r="B184" s="104" t="s">
        <v>250</v>
      </c>
      <c r="C184" s="105" t="s">
        <v>482</v>
      </c>
      <c r="D184" s="105" t="s">
        <v>31</v>
      </c>
      <c r="E184" s="105" t="s">
        <v>32</v>
      </c>
      <c r="F184" s="105" t="s">
        <v>781</v>
      </c>
      <c r="H184" s="105" t="s">
        <v>33</v>
      </c>
      <c r="K184" s="5">
        <v>1.29</v>
      </c>
      <c r="L184" s="5">
        <v>26</v>
      </c>
      <c r="M184" s="5">
        <v>1.26</v>
      </c>
      <c r="P184" s="107">
        <v>0.57711442786069644</v>
      </c>
      <c r="R184" s="108">
        <v>97</v>
      </c>
      <c r="S184" s="107">
        <v>4.16</v>
      </c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</row>
    <row r="185" spans="1:42" x14ac:dyDescent="0.2">
      <c r="A185" s="104" t="s">
        <v>490</v>
      </c>
      <c r="B185" s="104" t="s">
        <v>491</v>
      </c>
      <c r="C185" s="105" t="s">
        <v>494</v>
      </c>
      <c r="D185" s="105" t="s">
        <v>31</v>
      </c>
      <c r="E185" s="105" t="s">
        <v>32</v>
      </c>
      <c r="F185" s="105" t="s">
        <v>781</v>
      </c>
      <c r="H185" s="105" t="s">
        <v>28</v>
      </c>
      <c r="J185" s="5">
        <v>70.849999999999994</v>
      </c>
      <c r="K185" s="5">
        <v>0.93855000000000011</v>
      </c>
      <c r="L185" s="5">
        <v>59.608750000000001</v>
      </c>
      <c r="M185" s="5">
        <v>1.3169</v>
      </c>
      <c r="R185" s="5">
        <v>22.660299999999999</v>
      </c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</row>
    <row r="186" spans="1:42" x14ac:dyDescent="0.2">
      <c r="A186" s="104" t="s">
        <v>493</v>
      </c>
      <c r="B186" s="104" t="s">
        <v>491</v>
      </c>
      <c r="C186" s="105" t="s">
        <v>494</v>
      </c>
      <c r="D186" s="105" t="s">
        <v>31</v>
      </c>
      <c r="E186" s="105" t="s">
        <v>32</v>
      </c>
      <c r="F186" s="105" t="s">
        <v>781</v>
      </c>
      <c r="H186" s="105" t="s">
        <v>37</v>
      </c>
      <c r="J186" s="5">
        <v>70.45</v>
      </c>
      <c r="K186" s="108">
        <v>2.7</v>
      </c>
      <c r="L186" s="5">
        <v>86.666666666666671</v>
      </c>
      <c r="M186" s="107">
        <v>3.0333333333333332</v>
      </c>
      <c r="P186" s="5">
        <v>3.6700000000000003E-2</v>
      </c>
      <c r="R186" s="5">
        <v>17</v>
      </c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</row>
    <row r="187" spans="1:42" x14ac:dyDescent="0.2">
      <c r="A187" s="104" t="s">
        <v>495</v>
      </c>
      <c r="B187" s="104" t="s">
        <v>496</v>
      </c>
      <c r="C187" s="105" t="s">
        <v>497</v>
      </c>
      <c r="D187" s="105" t="s">
        <v>31</v>
      </c>
      <c r="E187" s="105" t="s">
        <v>32</v>
      </c>
      <c r="F187" s="105" t="s">
        <v>781</v>
      </c>
      <c r="H187" s="105" t="s">
        <v>28</v>
      </c>
      <c r="J187" s="5">
        <v>74.5</v>
      </c>
      <c r="K187" s="109">
        <v>10.595599999999999</v>
      </c>
      <c r="L187" s="5">
        <v>101.6848</v>
      </c>
      <c r="M187" s="5">
        <v>0.94079999999999997</v>
      </c>
      <c r="R187" s="5">
        <v>8.0359999999999996</v>
      </c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</row>
    <row r="188" spans="1:42" x14ac:dyDescent="0.2">
      <c r="A188" s="104" t="s">
        <v>500</v>
      </c>
      <c r="B188" s="104" t="s">
        <v>503</v>
      </c>
      <c r="C188" s="105" t="s">
        <v>504</v>
      </c>
      <c r="D188" s="105" t="s">
        <v>31</v>
      </c>
      <c r="E188" s="105" t="s">
        <v>32</v>
      </c>
      <c r="F188" s="105" t="s">
        <v>781</v>
      </c>
      <c r="H188" s="105" t="s">
        <v>28</v>
      </c>
      <c r="J188" s="5">
        <v>73.900000000000006</v>
      </c>
      <c r="K188" s="5">
        <v>2.0003000000000002</v>
      </c>
      <c r="L188" s="5">
        <v>12.501049999999999</v>
      </c>
      <c r="M188" s="5">
        <v>0.50305</v>
      </c>
      <c r="P188" s="5">
        <v>5.0000000000000001E-3</v>
      </c>
      <c r="R188" s="5">
        <v>11.5009</v>
      </c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</row>
    <row r="189" spans="1:42" x14ac:dyDescent="0.2">
      <c r="A189" s="104" t="s">
        <v>500</v>
      </c>
      <c r="B189" s="104" t="s">
        <v>88</v>
      </c>
      <c r="C189" s="105" t="s">
        <v>501</v>
      </c>
      <c r="D189" s="105" t="s">
        <v>31</v>
      </c>
      <c r="E189" s="105" t="s">
        <v>32</v>
      </c>
      <c r="F189" s="105" t="s">
        <v>781</v>
      </c>
      <c r="H189" s="105" t="s">
        <v>28</v>
      </c>
      <c r="J189" s="5">
        <v>76.412307692307692</v>
      </c>
      <c r="K189" s="108">
        <v>2.7969666666666666</v>
      </c>
      <c r="L189" s="5">
        <v>11.847207692307689</v>
      </c>
      <c r="M189" s="5">
        <v>0.69093076923076935</v>
      </c>
      <c r="N189" s="5">
        <v>26.166666666666668</v>
      </c>
      <c r="O189" s="108">
        <v>0.55999999999999994</v>
      </c>
      <c r="P189" s="5">
        <v>1.3962870370370369E-2</v>
      </c>
      <c r="Q189" s="5">
        <v>53.5</v>
      </c>
      <c r="R189" s="5">
        <v>13.305861538461537</v>
      </c>
      <c r="S189" s="108">
        <v>1.4500000000000002</v>
      </c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</row>
    <row r="190" spans="1:42" x14ac:dyDescent="0.2">
      <c r="A190" s="104" t="s">
        <v>513</v>
      </c>
      <c r="B190" s="104" t="s">
        <v>79</v>
      </c>
      <c r="C190" s="105" t="s">
        <v>514</v>
      </c>
      <c r="D190" s="105" t="s">
        <v>31</v>
      </c>
      <c r="E190" s="105" t="s">
        <v>32</v>
      </c>
      <c r="F190" s="105" t="s">
        <v>132</v>
      </c>
      <c r="H190" s="105" t="s">
        <v>131</v>
      </c>
      <c r="J190" s="5">
        <v>91</v>
      </c>
      <c r="K190" s="5">
        <v>2.2000000000000002</v>
      </c>
      <c r="L190" s="5">
        <v>13</v>
      </c>
      <c r="M190" s="5">
        <v>0.5</v>
      </c>
      <c r="N190" s="5">
        <v>3</v>
      </c>
      <c r="O190" s="107">
        <v>1.1000000000000001</v>
      </c>
      <c r="P190" s="5">
        <v>3.5000000000000001E-3</v>
      </c>
      <c r="Q190" s="5">
        <v>7</v>
      </c>
      <c r="R190" s="5">
        <v>4</v>
      </c>
      <c r="S190" s="5">
        <v>1</v>
      </c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</row>
    <row r="191" spans="1:42" x14ac:dyDescent="0.2">
      <c r="A191" s="104" t="s">
        <v>521</v>
      </c>
      <c r="B191" s="104" t="s">
        <v>738</v>
      </c>
      <c r="C191" s="105" t="s">
        <v>739</v>
      </c>
      <c r="D191" s="105" t="s">
        <v>31</v>
      </c>
      <c r="E191" s="105" t="s">
        <v>32</v>
      </c>
      <c r="F191" s="105" t="s">
        <v>783</v>
      </c>
      <c r="H191" s="105" t="s">
        <v>33</v>
      </c>
      <c r="J191" s="5">
        <v>84.533333333333346</v>
      </c>
      <c r="K191" s="5">
        <v>1.7999999999999998</v>
      </c>
      <c r="L191" s="107">
        <v>297</v>
      </c>
      <c r="M191" s="109">
        <v>5.0666666666666664</v>
      </c>
      <c r="N191" s="5" t="s">
        <v>0</v>
      </c>
      <c r="O191" s="5" t="s">
        <v>0</v>
      </c>
      <c r="P191" s="5">
        <v>0.33600000000000002</v>
      </c>
      <c r="Q191" s="5" t="s">
        <v>0</v>
      </c>
      <c r="R191" s="5">
        <v>52.666666666666664</v>
      </c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</row>
    <row r="192" spans="1:42" x14ac:dyDescent="0.2">
      <c r="A192" s="104" t="s">
        <v>740</v>
      </c>
      <c r="B192" s="104" t="s">
        <v>741</v>
      </c>
      <c r="C192" s="105" t="s">
        <v>742</v>
      </c>
      <c r="D192" s="105" t="s">
        <v>31</v>
      </c>
      <c r="E192" s="105" t="s">
        <v>32</v>
      </c>
      <c r="F192" s="105" t="s">
        <v>781</v>
      </c>
      <c r="H192" s="105" t="s">
        <v>33</v>
      </c>
      <c r="J192" s="5">
        <v>86</v>
      </c>
      <c r="K192" s="107">
        <v>5.4</v>
      </c>
      <c r="L192" s="107">
        <v>310</v>
      </c>
      <c r="M192" s="5">
        <v>1.3</v>
      </c>
      <c r="N192" s="107">
        <v>165</v>
      </c>
      <c r="O192" s="5">
        <v>0.4</v>
      </c>
      <c r="R192" s="5">
        <v>34</v>
      </c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</row>
    <row r="193" spans="1:42" x14ac:dyDescent="0.2">
      <c r="A193" s="104" t="s">
        <v>535</v>
      </c>
      <c r="B193" s="104" t="s">
        <v>536</v>
      </c>
      <c r="C193" s="105" t="s">
        <v>537</v>
      </c>
      <c r="D193" s="105" t="s">
        <v>31</v>
      </c>
      <c r="E193" s="105" t="s">
        <v>32</v>
      </c>
      <c r="F193" s="105" t="s">
        <v>783</v>
      </c>
      <c r="H193" s="105" t="s">
        <v>33</v>
      </c>
      <c r="J193" s="5">
        <v>82</v>
      </c>
      <c r="L193" s="107">
        <v>474</v>
      </c>
      <c r="M193" s="109">
        <v>6.2</v>
      </c>
      <c r="P193" s="5">
        <v>0.20874999999999999</v>
      </c>
      <c r="R193" s="5">
        <v>29</v>
      </c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</row>
    <row r="194" spans="1:42" x14ac:dyDescent="0.2">
      <c r="A194" s="104" t="s">
        <v>546</v>
      </c>
      <c r="B194" s="104" t="s">
        <v>547</v>
      </c>
      <c r="C194" s="105" t="s">
        <v>548</v>
      </c>
      <c r="D194" s="105" t="s">
        <v>31</v>
      </c>
      <c r="E194" s="105" t="s">
        <v>32</v>
      </c>
      <c r="F194" s="105" t="s">
        <v>781</v>
      </c>
      <c r="H194" s="105" t="s">
        <v>33</v>
      </c>
      <c r="J194" s="5">
        <v>85</v>
      </c>
      <c r="K194" s="5">
        <v>1.115</v>
      </c>
      <c r="L194" s="5">
        <v>72</v>
      </c>
      <c r="M194" s="109">
        <v>4.8</v>
      </c>
      <c r="N194" s="5">
        <v>40</v>
      </c>
      <c r="O194" s="109">
        <v>5</v>
      </c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</row>
    <row r="195" spans="1:42" x14ac:dyDescent="0.2">
      <c r="A195" s="104" t="s">
        <v>744</v>
      </c>
      <c r="B195" s="104" t="s">
        <v>746</v>
      </c>
      <c r="C195" s="105" t="s">
        <v>881</v>
      </c>
      <c r="D195" s="105" t="s">
        <v>31</v>
      </c>
      <c r="E195" s="105" t="s">
        <v>32</v>
      </c>
      <c r="F195" s="105" t="s">
        <v>783</v>
      </c>
      <c r="H195" s="105" t="s">
        <v>131</v>
      </c>
      <c r="J195" s="5">
        <v>67</v>
      </c>
      <c r="L195" s="107">
        <v>267</v>
      </c>
      <c r="M195" s="109">
        <v>5.7</v>
      </c>
      <c r="N195" s="107">
        <v>167</v>
      </c>
      <c r="O195" s="109">
        <v>3.5</v>
      </c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</row>
    <row r="196" spans="1:42" x14ac:dyDescent="0.2">
      <c r="A196" s="104" t="s">
        <v>744</v>
      </c>
      <c r="B196" s="104" t="s">
        <v>745</v>
      </c>
      <c r="C196" s="105" t="s">
        <v>880</v>
      </c>
      <c r="D196" s="105" t="s">
        <v>31</v>
      </c>
      <c r="E196" s="105" t="s">
        <v>32</v>
      </c>
      <c r="F196" s="105" t="s">
        <v>783</v>
      </c>
      <c r="H196" s="105" t="s">
        <v>131</v>
      </c>
      <c r="J196" s="5">
        <v>69</v>
      </c>
      <c r="L196" s="108">
        <v>188</v>
      </c>
      <c r="M196" s="107">
        <v>2.9</v>
      </c>
      <c r="N196" s="5">
        <v>8</v>
      </c>
      <c r="O196" s="109">
        <v>4.0999999999999996</v>
      </c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</row>
    <row r="197" spans="1:42" x14ac:dyDescent="0.2">
      <c r="A197" s="104" t="s">
        <v>574</v>
      </c>
      <c r="B197" s="104" t="s">
        <v>889</v>
      </c>
      <c r="C197" s="105" t="s">
        <v>575</v>
      </c>
      <c r="D197" s="105" t="s">
        <v>31</v>
      </c>
      <c r="E197" s="105" t="s">
        <v>32</v>
      </c>
      <c r="F197" s="105" t="s">
        <v>783</v>
      </c>
      <c r="H197" s="105" t="s">
        <v>33</v>
      </c>
      <c r="J197" s="5">
        <v>68.7</v>
      </c>
      <c r="L197" s="5">
        <v>130</v>
      </c>
      <c r="M197" s="107">
        <v>2.6</v>
      </c>
      <c r="P197" s="107">
        <v>0.93500000000000005</v>
      </c>
      <c r="R197" s="107">
        <v>190</v>
      </c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</row>
    <row r="198" spans="1:42" x14ac:dyDescent="0.2">
      <c r="A198" s="104" t="s">
        <v>578</v>
      </c>
      <c r="B198" s="104" t="s">
        <v>577</v>
      </c>
      <c r="C198" s="105" t="s">
        <v>579</v>
      </c>
      <c r="D198" s="105" t="s">
        <v>31</v>
      </c>
      <c r="E198" s="105" t="s">
        <v>32</v>
      </c>
      <c r="F198" s="105" t="s">
        <v>783</v>
      </c>
      <c r="H198" s="105" t="s">
        <v>33</v>
      </c>
      <c r="J198" s="5">
        <v>80.2</v>
      </c>
      <c r="K198" s="5">
        <v>1.7260000000000002</v>
      </c>
      <c r="L198" s="5">
        <v>161.57085714285716</v>
      </c>
      <c r="M198" s="107">
        <v>3.1568571428571426</v>
      </c>
      <c r="P198" s="107">
        <v>0.87658927584300717</v>
      </c>
      <c r="Q198" s="5">
        <v>110</v>
      </c>
      <c r="R198" s="107">
        <v>123.85599999999999</v>
      </c>
      <c r="S198" s="109">
        <v>6.25</v>
      </c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</row>
    <row r="199" spans="1:42" x14ac:dyDescent="0.2">
      <c r="A199" s="104" t="s">
        <v>586</v>
      </c>
      <c r="B199" s="104" t="s">
        <v>587</v>
      </c>
      <c r="C199" s="105" t="s">
        <v>588</v>
      </c>
      <c r="D199" s="105" t="s">
        <v>31</v>
      </c>
      <c r="E199" s="105" t="s">
        <v>32</v>
      </c>
      <c r="F199" s="105" t="s">
        <v>783</v>
      </c>
      <c r="H199" s="105" t="s">
        <v>33</v>
      </c>
      <c r="J199" s="5">
        <v>78.300000000000011</v>
      </c>
      <c r="K199" s="5">
        <v>2.4500000000000002</v>
      </c>
      <c r="L199" s="107">
        <v>349.5</v>
      </c>
      <c r="M199" s="109">
        <v>6.15</v>
      </c>
      <c r="N199" s="5">
        <v>40</v>
      </c>
      <c r="P199" s="109">
        <v>1.3101160862354893</v>
      </c>
      <c r="Q199" s="5" t="s">
        <v>0</v>
      </c>
      <c r="R199" s="107">
        <v>120.5</v>
      </c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</row>
    <row r="200" spans="1:42" x14ac:dyDescent="0.2">
      <c r="A200" s="104" t="s">
        <v>586</v>
      </c>
      <c r="B200" s="104" t="s">
        <v>1081</v>
      </c>
      <c r="C200" s="105" t="s">
        <v>591</v>
      </c>
      <c r="D200" s="105" t="s">
        <v>31</v>
      </c>
      <c r="E200" s="105" t="s">
        <v>32</v>
      </c>
      <c r="F200" s="105" t="s">
        <v>783</v>
      </c>
      <c r="H200" s="105" t="s">
        <v>33</v>
      </c>
      <c r="K200" s="5">
        <v>1.51</v>
      </c>
      <c r="L200" s="108">
        <v>202</v>
      </c>
      <c r="M200" s="107">
        <v>2.29</v>
      </c>
      <c r="O200" s="107">
        <v>0.88</v>
      </c>
      <c r="P200" s="107">
        <v>1.0149253731343284</v>
      </c>
      <c r="Q200" s="108">
        <v>135</v>
      </c>
      <c r="R200" s="107">
        <v>176</v>
      </c>
      <c r="S200" s="107">
        <v>4.7699999999999996</v>
      </c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</row>
    <row r="201" spans="1:42" x14ac:dyDescent="0.2">
      <c r="A201" s="104" t="s">
        <v>586</v>
      </c>
      <c r="B201" s="104" t="s">
        <v>589</v>
      </c>
      <c r="C201" s="105" t="s">
        <v>882</v>
      </c>
      <c r="D201" s="105" t="s">
        <v>31</v>
      </c>
      <c r="E201" s="105" t="s">
        <v>32</v>
      </c>
      <c r="F201" s="105" t="s">
        <v>781</v>
      </c>
      <c r="H201" s="105" t="s">
        <v>33</v>
      </c>
      <c r="J201" s="5">
        <v>73.366666666666674</v>
      </c>
      <c r="K201" s="107">
        <v>3.8450666666666664</v>
      </c>
      <c r="L201" s="5">
        <v>83.000199999999992</v>
      </c>
      <c r="M201" s="107">
        <v>2.4443999999999999</v>
      </c>
      <c r="P201" s="108">
        <v>0.49640132669983417</v>
      </c>
      <c r="R201" s="5">
        <v>55.500799999999998</v>
      </c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</row>
    <row r="202" spans="1:42" x14ac:dyDescent="0.2">
      <c r="A202" s="104" t="s">
        <v>592</v>
      </c>
      <c r="B202" s="104" t="s">
        <v>593</v>
      </c>
      <c r="C202" s="105" t="s">
        <v>594</v>
      </c>
      <c r="D202" s="105" t="s">
        <v>31</v>
      </c>
      <c r="E202" s="105" t="s">
        <v>32</v>
      </c>
      <c r="F202" s="105" t="s">
        <v>781</v>
      </c>
      <c r="H202" s="105" t="s">
        <v>286</v>
      </c>
      <c r="J202" s="5">
        <v>90.289999999999992</v>
      </c>
      <c r="K202" s="5">
        <v>1.02</v>
      </c>
      <c r="L202" s="5">
        <v>16.8</v>
      </c>
      <c r="M202" s="5">
        <v>0.81</v>
      </c>
      <c r="N202" s="5">
        <v>12</v>
      </c>
      <c r="O202" s="5">
        <v>0.33</v>
      </c>
      <c r="P202" s="5">
        <v>8.291873963515755E-3</v>
      </c>
      <c r="Q202" s="5">
        <v>57.333333333333336</v>
      </c>
      <c r="R202" s="5">
        <v>55.5</v>
      </c>
      <c r="S202" s="5">
        <v>0.47500000000000003</v>
      </c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</row>
    <row r="203" spans="1:42" x14ac:dyDescent="0.2">
      <c r="A203" s="104" t="s">
        <v>592</v>
      </c>
      <c r="B203" s="104" t="s">
        <v>593</v>
      </c>
      <c r="C203" s="105" t="s">
        <v>594</v>
      </c>
      <c r="D203" s="105" t="s">
        <v>31</v>
      </c>
      <c r="E203" s="105" t="s">
        <v>32</v>
      </c>
      <c r="F203" s="105" t="s">
        <v>781</v>
      </c>
      <c r="H203" s="105" t="s">
        <v>33</v>
      </c>
      <c r="J203" s="5">
        <v>78.233333333333334</v>
      </c>
      <c r="K203" s="109">
        <v>7.8</v>
      </c>
      <c r="L203" s="107">
        <v>577.5</v>
      </c>
      <c r="M203" s="107">
        <v>3.5866666666666664</v>
      </c>
      <c r="N203" s="107">
        <v>96.94</v>
      </c>
      <c r="O203" s="108">
        <v>0.53</v>
      </c>
      <c r="Q203" s="5">
        <v>120</v>
      </c>
      <c r="R203" s="108">
        <v>91.666666666666671</v>
      </c>
      <c r="S203" s="108">
        <v>1.77</v>
      </c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</row>
    <row r="204" spans="1:42" x14ac:dyDescent="0.2">
      <c r="A204" s="104" t="s">
        <v>601</v>
      </c>
      <c r="B204" s="104" t="s">
        <v>623</v>
      </c>
      <c r="C204" s="105" t="s">
        <v>624</v>
      </c>
      <c r="D204" s="105" t="s">
        <v>31</v>
      </c>
      <c r="E204" s="105" t="s">
        <v>32</v>
      </c>
      <c r="F204" s="105" t="s">
        <v>783</v>
      </c>
      <c r="H204" s="105" t="s">
        <v>28</v>
      </c>
      <c r="J204" s="5">
        <v>84.142857142857139</v>
      </c>
      <c r="K204" s="109">
        <v>9.0621333333333336</v>
      </c>
      <c r="L204" s="5">
        <v>91.024474999999995</v>
      </c>
      <c r="M204" s="107">
        <v>2.1248750000000003</v>
      </c>
      <c r="N204" s="5">
        <v>36.200000000000003</v>
      </c>
      <c r="O204" s="108">
        <v>0.45499999999999996</v>
      </c>
      <c r="P204" s="5">
        <v>2.6806799336650082E-2</v>
      </c>
      <c r="Q204" s="107">
        <v>327</v>
      </c>
      <c r="R204" s="5">
        <v>26.3688</v>
      </c>
      <c r="S204" s="5">
        <v>0.73499999999999999</v>
      </c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</row>
    <row r="205" spans="1:42" x14ac:dyDescent="0.2">
      <c r="A205" s="104" t="s">
        <v>630</v>
      </c>
      <c r="B205" s="104" t="s">
        <v>631</v>
      </c>
      <c r="C205" s="105" t="s">
        <v>632</v>
      </c>
      <c r="D205" s="105" t="s">
        <v>31</v>
      </c>
      <c r="E205" s="105" t="s">
        <v>32</v>
      </c>
      <c r="F205" s="105" t="s">
        <v>887</v>
      </c>
      <c r="G205" s="105" t="s">
        <v>71</v>
      </c>
      <c r="H205" s="105" t="s">
        <v>28</v>
      </c>
      <c r="J205" s="5">
        <v>80</v>
      </c>
      <c r="K205" s="107">
        <v>5.7</v>
      </c>
      <c r="L205" s="5">
        <v>40</v>
      </c>
      <c r="M205" s="5">
        <v>0.9</v>
      </c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</row>
    <row r="206" spans="1:42" x14ac:dyDescent="0.2">
      <c r="A206" s="104" t="s">
        <v>697</v>
      </c>
      <c r="B206" s="104" t="s">
        <v>94</v>
      </c>
      <c r="C206" s="105" t="s">
        <v>698</v>
      </c>
      <c r="D206" s="105" t="s">
        <v>31</v>
      </c>
      <c r="E206" s="105" t="s">
        <v>32</v>
      </c>
      <c r="F206" s="105" t="s">
        <v>781</v>
      </c>
      <c r="H206" s="105" t="s">
        <v>33</v>
      </c>
      <c r="J206" s="5">
        <v>65</v>
      </c>
      <c r="K206" s="5">
        <v>0.17</v>
      </c>
      <c r="L206" s="5">
        <v>158.9</v>
      </c>
      <c r="M206" s="108">
        <v>1.7</v>
      </c>
      <c r="N206" s="5">
        <v>12.2</v>
      </c>
      <c r="O206" s="5">
        <v>0.23</v>
      </c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</row>
    <row r="207" spans="1:42" x14ac:dyDescent="0.2">
      <c r="A207" s="104" t="s">
        <v>653</v>
      </c>
      <c r="B207" s="104" t="s">
        <v>652</v>
      </c>
      <c r="C207" s="105" t="s">
        <v>654</v>
      </c>
      <c r="D207" s="105" t="s">
        <v>31</v>
      </c>
      <c r="E207" s="105" t="s">
        <v>32</v>
      </c>
      <c r="F207" s="105" t="s">
        <v>781</v>
      </c>
      <c r="H207" s="105" t="s">
        <v>33</v>
      </c>
      <c r="J207" s="5">
        <v>84.6</v>
      </c>
      <c r="K207" s="5">
        <v>1.9618666666666666</v>
      </c>
      <c r="L207" s="107">
        <v>434.49889999999999</v>
      </c>
      <c r="M207" s="109">
        <v>6.8436000000000003</v>
      </c>
      <c r="O207" s="109">
        <v>2.25</v>
      </c>
      <c r="P207" s="109">
        <v>1.9357070895522388</v>
      </c>
      <c r="Q207" s="5">
        <v>28</v>
      </c>
      <c r="R207" s="107">
        <v>123.33333333333333</v>
      </c>
      <c r="S207" s="109">
        <v>19.876666666666669</v>
      </c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</row>
    <row r="208" spans="1:42" x14ac:dyDescent="0.2">
      <c r="A208" s="104" t="s">
        <v>767</v>
      </c>
      <c r="B208" s="104" t="s">
        <v>750</v>
      </c>
      <c r="C208" s="105" t="s">
        <v>768</v>
      </c>
      <c r="D208" s="105" t="s">
        <v>31</v>
      </c>
      <c r="E208" s="105" t="s">
        <v>32</v>
      </c>
      <c r="F208" s="105" t="s">
        <v>783</v>
      </c>
      <c r="H208" s="105" t="s">
        <v>33</v>
      </c>
      <c r="J208" s="5">
        <v>83.2</v>
      </c>
      <c r="L208" s="109">
        <v>1107.5</v>
      </c>
      <c r="M208" s="109">
        <v>5.4275000000000002</v>
      </c>
      <c r="N208" s="109">
        <v>174.75</v>
      </c>
      <c r="O208" s="107">
        <v>0.70500000000000007</v>
      </c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</row>
    <row r="209" spans="1:42" x14ac:dyDescent="0.2">
      <c r="A209" s="104" t="s">
        <v>903</v>
      </c>
      <c r="B209" s="104" t="s">
        <v>1000</v>
      </c>
      <c r="C209" s="105" t="s">
        <v>905</v>
      </c>
      <c r="D209" s="105" t="s">
        <v>31</v>
      </c>
      <c r="E209" s="105" t="s">
        <v>32</v>
      </c>
      <c r="F209" s="105" t="s">
        <v>781</v>
      </c>
      <c r="H209" s="105" t="s">
        <v>28</v>
      </c>
      <c r="J209" s="5">
        <v>85.2</v>
      </c>
      <c r="K209" s="107">
        <v>4.3</v>
      </c>
      <c r="L209" s="5">
        <v>62</v>
      </c>
      <c r="M209" s="109">
        <v>7.9</v>
      </c>
      <c r="O209" s="109">
        <v>3.27</v>
      </c>
      <c r="P209" s="5">
        <v>0.06</v>
      </c>
      <c r="R209" s="5">
        <v>11</v>
      </c>
      <c r="S209" s="5">
        <v>0.54</v>
      </c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</row>
    <row r="210" spans="1:42" x14ac:dyDescent="0.2">
      <c r="A210" s="104" t="s">
        <v>664</v>
      </c>
      <c r="C210" s="105" t="s">
        <v>665</v>
      </c>
      <c r="D210" s="105" t="s">
        <v>31</v>
      </c>
      <c r="E210" s="105" t="s">
        <v>32</v>
      </c>
      <c r="F210" s="105" t="s">
        <v>780</v>
      </c>
      <c r="H210" s="105" t="s">
        <v>131</v>
      </c>
      <c r="J210" s="5">
        <v>69.5</v>
      </c>
      <c r="K210" s="5">
        <v>1.5</v>
      </c>
      <c r="L210" s="5">
        <v>18</v>
      </c>
      <c r="M210" s="108">
        <v>1.69</v>
      </c>
      <c r="N210" s="5">
        <v>10</v>
      </c>
      <c r="O210" s="109">
        <v>3.73</v>
      </c>
      <c r="P210" s="5">
        <v>3.4000000000000002E-3</v>
      </c>
      <c r="Q210" s="5">
        <v>24</v>
      </c>
      <c r="R210" s="5">
        <v>8</v>
      </c>
      <c r="S210" s="5">
        <v>0.5</v>
      </c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</row>
    <row r="211" spans="1:42" x14ac:dyDescent="0.2">
      <c r="A211" s="104" t="s">
        <v>671</v>
      </c>
      <c r="B211" s="104" t="s">
        <v>672</v>
      </c>
      <c r="C211" s="105" t="s">
        <v>673</v>
      </c>
      <c r="D211" s="105" t="s">
        <v>31</v>
      </c>
      <c r="E211" s="105" t="s">
        <v>32</v>
      </c>
      <c r="F211" s="105" t="s">
        <v>783</v>
      </c>
      <c r="H211" s="105" t="s">
        <v>33</v>
      </c>
      <c r="J211" s="5">
        <v>82.6</v>
      </c>
      <c r="K211" s="5">
        <v>1.46</v>
      </c>
      <c r="L211" s="108">
        <v>163.66666666666666</v>
      </c>
      <c r="M211" s="108">
        <v>1.8</v>
      </c>
      <c r="O211" s="107">
        <v>0.63</v>
      </c>
      <c r="P211" s="5">
        <v>0.24046434494195687</v>
      </c>
      <c r="Q211" s="5">
        <v>96</v>
      </c>
      <c r="R211" s="5">
        <v>49.666666666666664</v>
      </c>
      <c r="S211" s="5">
        <v>0.86499999999999999</v>
      </c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</row>
    <row r="212" spans="1:42" x14ac:dyDescent="0.2">
      <c r="A212" s="104" t="s">
        <v>671</v>
      </c>
      <c r="B212" s="104" t="s">
        <v>747</v>
      </c>
      <c r="C212" s="105" t="s">
        <v>748</v>
      </c>
      <c r="D212" s="105" t="s">
        <v>31</v>
      </c>
      <c r="E212" s="105" t="s">
        <v>32</v>
      </c>
      <c r="F212" s="105" t="s">
        <v>783</v>
      </c>
      <c r="H212" s="105" t="s">
        <v>33</v>
      </c>
      <c r="J212" s="5">
        <v>82.8</v>
      </c>
      <c r="K212" s="107">
        <v>5.0999999999999996</v>
      </c>
      <c r="L212" s="108">
        <v>162</v>
      </c>
      <c r="M212" s="107">
        <v>2.8</v>
      </c>
      <c r="N212" s="5">
        <v>58</v>
      </c>
      <c r="O212" s="107">
        <v>1.01</v>
      </c>
      <c r="Q212" s="5">
        <v>62</v>
      </c>
      <c r="R212" s="5">
        <v>11</v>
      </c>
      <c r="S212" s="108">
        <v>1.64</v>
      </c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</row>
    <row r="213" spans="1:42" x14ac:dyDescent="0.2">
      <c r="A213" s="104" t="s">
        <v>749</v>
      </c>
      <c r="B213" s="104" t="s">
        <v>750</v>
      </c>
      <c r="C213" s="105" t="s">
        <v>752</v>
      </c>
      <c r="D213" s="105" t="s">
        <v>31</v>
      </c>
      <c r="E213" s="105" t="s">
        <v>32</v>
      </c>
      <c r="F213" s="105" t="s">
        <v>888</v>
      </c>
      <c r="H213" s="105" t="s">
        <v>751</v>
      </c>
      <c r="J213" s="5">
        <v>83.2</v>
      </c>
      <c r="L213" s="5">
        <v>34</v>
      </c>
      <c r="M213" s="5">
        <v>1.4</v>
      </c>
      <c r="R213" s="109">
        <v>393</v>
      </c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</row>
    <row r="214" spans="1:42" x14ac:dyDescent="0.2">
      <c r="A214" s="104" t="s">
        <v>749</v>
      </c>
      <c r="B214" s="104" t="s">
        <v>893</v>
      </c>
      <c r="C214" s="105" t="s">
        <v>752</v>
      </c>
      <c r="D214" s="105" t="s">
        <v>31</v>
      </c>
      <c r="E214" s="105" t="s">
        <v>32</v>
      </c>
      <c r="F214" s="105" t="s">
        <v>888</v>
      </c>
      <c r="H214" s="105" t="s">
        <v>751</v>
      </c>
      <c r="J214" s="5">
        <v>73.45</v>
      </c>
      <c r="K214" s="5">
        <v>1.135</v>
      </c>
      <c r="L214" s="5">
        <v>31.265000000000001</v>
      </c>
      <c r="M214" s="5">
        <v>0.38500000000000001</v>
      </c>
      <c r="N214" s="5">
        <v>22.675000000000001</v>
      </c>
      <c r="O214" s="5">
        <v>0.33500000000000002</v>
      </c>
      <c r="P214" s="5">
        <v>1.9484999999999999E-2</v>
      </c>
      <c r="Q214" s="5">
        <v>14.354999999999999</v>
      </c>
      <c r="R214" s="5">
        <v>17.695</v>
      </c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</row>
    <row r="215" spans="1:42" x14ac:dyDescent="0.2">
      <c r="A215" s="104" t="s">
        <v>44</v>
      </c>
      <c r="B215" s="104" t="s">
        <v>45</v>
      </c>
      <c r="C215" s="105" t="s">
        <v>47</v>
      </c>
      <c r="D215" s="105" t="s">
        <v>31</v>
      </c>
      <c r="E215" s="105" t="s">
        <v>46</v>
      </c>
      <c r="F215" s="105" t="s">
        <v>782</v>
      </c>
      <c r="H215" s="105" t="s">
        <v>33</v>
      </c>
      <c r="J215" s="5">
        <v>90.333333333333329</v>
      </c>
      <c r="L215" s="108">
        <v>162</v>
      </c>
      <c r="M215" s="107">
        <v>4</v>
      </c>
      <c r="P215" s="5">
        <v>0.19500000000000001</v>
      </c>
      <c r="R215" s="5">
        <v>20</v>
      </c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</row>
    <row r="216" spans="1:42" x14ac:dyDescent="0.2">
      <c r="A216" s="104" t="s">
        <v>756</v>
      </c>
      <c r="B216" s="104" t="s">
        <v>757</v>
      </c>
      <c r="C216" s="105" t="s">
        <v>758</v>
      </c>
      <c r="D216" s="105" t="s">
        <v>31</v>
      </c>
      <c r="E216" s="105" t="s">
        <v>46</v>
      </c>
      <c r="F216" s="105" t="s">
        <v>782</v>
      </c>
      <c r="H216" s="105" t="s">
        <v>33</v>
      </c>
      <c r="J216" s="5">
        <v>82.2</v>
      </c>
      <c r="L216" s="5">
        <v>132</v>
      </c>
      <c r="M216" s="107">
        <v>2.9</v>
      </c>
      <c r="N216" s="5">
        <v>35</v>
      </c>
      <c r="O216" s="107">
        <v>1</v>
      </c>
      <c r="P216" s="5" t="s">
        <v>0</v>
      </c>
      <c r="R216" s="107">
        <v>142</v>
      </c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</row>
    <row r="217" spans="1:42" x14ac:dyDescent="0.2">
      <c r="A217" s="104" t="s">
        <v>51</v>
      </c>
      <c r="B217" s="104" t="s">
        <v>62</v>
      </c>
      <c r="C217" s="105" t="s">
        <v>63</v>
      </c>
      <c r="D217" s="105" t="s">
        <v>31</v>
      </c>
      <c r="E217" s="105" t="s">
        <v>46</v>
      </c>
      <c r="F217" s="105" t="s">
        <v>782</v>
      </c>
      <c r="H217" s="105" t="s">
        <v>66</v>
      </c>
      <c r="J217" s="5">
        <v>91.4</v>
      </c>
      <c r="K217" s="5">
        <v>2</v>
      </c>
      <c r="L217" s="5">
        <v>23.5</v>
      </c>
      <c r="M217" s="5">
        <v>1.1000000000000001</v>
      </c>
      <c r="N217" s="5">
        <v>13.5</v>
      </c>
      <c r="O217" s="5">
        <v>0.315</v>
      </c>
      <c r="P217" s="5">
        <v>4.2999999999999997E-2</v>
      </c>
      <c r="Q217" s="5">
        <v>120</v>
      </c>
      <c r="R217" s="5">
        <v>19</v>
      </c>
      <c r="S217" s="5">
        <v>0.22000000000000003</v>
      </c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</row>
    <row r="218" spans="1:42" x14ac:dyDescent="0.2">
      <c r="A218" s="104" t="s">
        <v>51</v>
      </c>
      <c r="B218" s="104" t="s">
        <v>62</v>
      </c>
      <c r="C218" s="105" t="s">
        <v>63</v>
      </c>
      <c r="D218" s="105" t="s">
        <v>31</v>
      </c>
      <c r="E218" s="105" t="s">
        <v>46</v>
      </c>
      <c r="F218" s="105" t="s">
        <v>782</v>
      </c>
      <c r="H218" s="105" t="s">
        <v>33</v>
      </c>
      <c r="J218" s="5">
        <v>92.240000000000009</v>
      </c>
      <c r="K218" s="5">
        <v>1.3149999999999999</v>
      </c>
      <c r="L218" s="5">
        <v>56.944444444444443</v>
      </c>
      <c r="M218" s="5">
        <v>1.3355555555555556</v>
      </c>
      <c r="N218" s="5">
        <v>36.93333333333333</v>
      </c>
      <c r="O218" s="5">
        <v>0.29749999999999999</v>
      </c>
      <c r="P218" s="5">
        <v>0.09</v>
      </c>
      <c r="Q218" s="5">
        <v>108.1</v>
      </c>
      <c r="R218" s="5">
        <v>22.905000000000001</v>
      </c>
      <c r="S218" s="108">
        <v>1.4933333333333334</v>
      </c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</row>
    <row r="219" spans="1:42" x14ac:dyDescent="0.2">
      <c r="A219" s="104" t="s">
        <v>51</v>
      </c>
      <c r="B219" s="104" t="s">
        <v>925</v>
      </c>
      <c r="C219" s="105" t="s">
        <v>926</v>
      </c>
      <c r="D219" s="105" t="s">
        <v>31</v>
      </c>
      <c r="E219" s="105" t="s">
        <v>46</v>
      </c>
      <c r="F219" s="105" t="s">
        <v>782</v>
      </c>
      <c r="H219" s="105" t="s">
        <v>33</v>
      </c>
      <c r="J219" s="5">
        <v>39.9</v>
      </c>
      <c r="K219" s="5">
        <v>0.96</v>
      </c>
      <c r="L219" s="5">
        <v>41.7</v>
      </c>
      <c r="M219" s="108">
        <v>2.08</v>
      </c>
      <c r="N219" s="5">
        <v>50.8</v>
      </c>
      <c r="O219" s="108">
        <v>0.49</v>
      </c>
      <c r="P219" s="5">
        <v>0</v>
      </c>
      <c r="Q219" s="108">
        <v>177</v>
      </c>
      <c r="R219" s="5">
        <v>0.71</v>
      </c>
      <c r="S219" s="5">
        <v>0.37</v>
      </c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</row>
    <row r="220" spans="1:42" x14ac:dyDescent="0.2">
      <c r="A220" s="104" t="s">
        <v>51</v>
      </c>
      <c r="B220" s="104" t="s">
        <v>62</v>
      </c>
      <c r="C220" s="105" t="s">
        <v>63</v>
      </c>
      <c r="D220" s="105" t="s">
        <v>31</v>
      </c>
      <c r="E220" s="105" t="s">
        <v>46</v>
      </c>
      <c r="F220" s="105" t="s">
        <v>782</v>
      </c>
      <c r="H220" s="105" t="s">
        <v>930</v>
      </c>
      <c r="J220" s="5">
        <v>94</v>
      </c>
      <c r="K220" s="5">
        <v>1.95</v>
      </c>
      <c r="L220" s="5">
        <v>13</v>
      </c>
      <c r="M220" s="107">
        <v>2.4500000000000002</v>
      </c>
      <c r="N220" s="5">
        <v>16.5</v>
      </c>
      <c r="O220" s="107">
        <v>0.77</v>
      </c>
      <c r="P220" s="5">
        <v>0.08</v>
      </c>
      <c r="Q220" s="5">
        <v>76</v>
      </c>
      <c r="R220" s="5">
        <v>8</v>
      </c>
      <c r="S220" s="5">
        <v>0.63</v>
      </c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</row>
    <row r="221" spans="1:42" x14ac:dyDescent="0.2">
      <c r="A221" s="104" t="s">
        <v>59</v>
      </c>
      <c r="B221" s="104" t="s">
        <v>52</v>
      </c>
      <c r="C221" s="105" t="s">
        <v>718</v>
      </c>
      <c r="D221" s="105" t="s">
        <v>31</v>
      </c>
      <c r="E221" s="105" t="s">
        <v>46</v>
      </c>
      <c r="F221" s="105" t="s">
        <v>782</v>
      </c>
      <c r="H221" s="105" t="s">
        <v>33</v>
      </c>
      <c r="J221" s="5">
        <v>82.6</v>
      </c>
      <c r="K221" s="5">
        <v>1.4</v>
      </c>
      <c r="L221" s="5">
        <v>117</v>
      </c>
      <c r="N221" s="5">
        <v>36</v>
      </c>
      <c r="R221" s="5">
        <v>18</v>
      </c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</row>
    <row r="222" spans="1:42" x14ac:dyDescent="0.2">
      <c r="A222" s="104" t="s">
        <v>59</v>
      </c>
      <c r="B222" s="104" t="s">
        <v>754</v>
      </c>
      <c r="C222" s="105" t="s">
        <v>755</v>
      </c>
      <c r="D222" s="105" t="s">
        <v>31</v>
      </c>
      <c r="E222" s="105" t="s">
        <v>46</v>
      </c>
      <c r="F222" s="105" t="s">
        <v>782</v>
      </c>
      <c r="H222" s="105" t="s">
        <v>33</v>
      </c>
      <c r="J222" s="5">
        <v>89.4</v>
      </c>
      <c r="K222" s="5">
        <v>2.1800000000000002</v>
      </c>
      <c r="L222" s="5">
        <v>76</v>
      </c>
      <c r="M222" s="107">
        <v>2.9</v>
      </c>
      <c r="N222" s="5">
        <v>22</v>
      </c>
      <c r="O222" s="5">
        <v>0.27</v>
      </c>
      <c r="R222" s="107">
        <v>150</v>
      </c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</row>
    <row r="223" spans="1:42" x14ac:dyDescent="0.2">
      <c r="A223" s="104" t="s">
        <v>59</v>
      </c>
      <c r="B223" s="104" t="s">
        <v>64</v>
      </c>
      <c r="C223" s="105" t="s">
        <v>65</v>
      </c>
      <c r="D223" s="105" t="s">
        <v>31</v>
      </c>
      <c r="E223" s="105" t="s">
        <v>46</v>
      </c>
      <c r="F223" s="105" t="s">
        <v>782</v>
      </c>
      <c r="H223" s="105" t="s">
        <v>33</v>
      </c>
      <c r="R223" s="5">
        <v>16.7</v>
      </c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</row>
    <row r="224" spans="1:42" x14ac:dyDescent="0.2">
      <c r="A224" s="104" t="s">
        <v>72</v>
      </c>
      <c r="B224" s="104" t="s">
        <v>70</v>
      </c>
      <c r="C224" s="105" t="s">
        <v>863</v>
      </c>
      <c r="D224" s="105" t="s">
        <v>31</v>
      </c>
      <c r="E224" s="105" t="s">
        <v>46</v>
      </c>
      <c r="F224" s="105" t="s">
        <v>782</v>
      </c>
      <c r="H224" s="105" t="s">
        <v>33</v>
      </c>
      <c r="J224" s="5">
        <v>79.25333333333333</v>
      </c>
      <c r="K224" s="107">
        <v>3.646266666666667</v>
      </c>
      <c r="L224" s="108">
        <v>226.66839999999999</v>
      </c>
      <c r="M224" s="107">
        <v>2.2399999999999998</v>
      </c>
      <c r="N224" s="108">
        <v>80.900000000000006</v>
      </c>
      <c r="O224" s="107">
        <v>0.99</v>
      </c>
      <c r="Q224" s="5">
        <v>48.42</v>
      </c>
      <c r="R224" s="108">
        <v>103</v>
      </c>
      <c r="S224" s="5">
        <v>0.54</v>
      </c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</row>
    <row r="225" spans="1:42" x14ac:dyDescent="0.2">
      <c r="A225" s="104" t="s">
        <v>93</v>
      </c>
      <c r="B225" s="104" t="s">
        <v>94</v>
      </c>
      <c r="C225" s="105" t="s">
        <v>95</v>
      </c>
      <c r="D225" s="105" t="s">
        <v>31</v>
      </c>
      <c r="E225" s="105" t="s">
        <v>46</v>
      </c>
      <c r="F225" s="105" t="s">
        <v>782</v>
      </c>
      <c r="H225" s="105" t="s">
        <v>33</v>
      </c>
      <c r="J225" s="5">
        <v>94.899999999999991</v>
      </c>
      <c r="K225" s="5">
        <v>0.7994</v>
      </c>
      <c r="L225" s="5">
        <v>11.000066666666671</v>
      </c>
      <c r="M225" s="5">
        <v>0.26693333333333347</v>
      </c>
      <c r="N225" s="5">
        <v>9</v>
      </c>
      <c r="O225" s="5">
        <v>0.1</v>
      </c>
      <c r="Q225" s="5">
        <v>19</v>
      </c>
      <c r="R225" s="5">
        <v>4.6669333333333354</v>
      </c>
      <c r="S225" s="5">
        <v>0.2</v>
      </c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</row>
    <row r="226" spans="1:42" x14ac:dyDescent="0.2">
      <c r="A226" s="104" t="s">
        <v>98</v>
      </c>
      <c r="B226" s="104" t="s">
        <v>101</v>
      </c>
      <c r="C226" s="105" t="s">
        <v>102</v>
      </c>
      <c r="D226" s="105" t="s">
        <v>31</v>
      </c>
      <c r="E226" s="105" t="s">
        <v>46</v>
      </c>
      <c r="F226" s="105" t="s">
        <v>782</v>
      </c>
      <c r="H226" s="105" t="s">
        <v>33</v>
      </c>
      <c r="K226" s="108">
        <v>3</v>
      </c>
      <c r="L226" s="108">
        <v>230</v>
      </c>
      <c r="M226" s="107">
        <v>3.2</v>
      </c>
      <c r="O226" s="5">
        <v>0.3</v>
      </c>
      <c r="R226" s="5">
        <v>44</v>
      </c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</row>
    <row r="227" spans="1:42" x14ac:dyDescent="0.2">
      <c r="A227" s="104" t="s">
        <v>98</v>
      </c>
      <c r="B227" s="104" t="s">
        <v>99</v>
      </c>
      <c r="C227" s="105" t="s">
        <v>100</v>
      </c>
      <c r="D227" s="105" t="s">
        <v>31</v>
      </c>
      <c r="E227" s="105" t="s">
        <v>46</v>
      </c>
      <c r="F227" s="105" t="s">
        <v>782</v>
      </c>
      <c r="H227" s="105" t="s">
        <v>33</v>
      </c>
      <c r="J227" s="5">
        <v>88</v>
      </c>
      <c r="K227" s="5">
        <v>1.2280666666666666</v>
      </c>
      <c r="L227" s="5">
        <v>104.00193333333334</v>
      </c>
      <c r="M227" s="108">
        <v>2.0371666666666663</v>
      </c>
      <c r="O227" s="5">
        <v>0.24</v>
      </c>
      <c r="P227" s="5">
        <v>0.22500000000000001</v>
      </c>
      <c r="R227" s="5">
        <v>27.998749999999998</v>
      </c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</row>
    <row r="228" spans="1:42" x14ac:dyDescent="0.2">
      <c r="A228" s="104" t="s">
        <v>103</v>
      </c>
      <c r="B228" s="104" t="s">
        <v>104</v>
      </c>
      <c r="C228" s="105" t="s">
        <v>106</v>
      </c>
      <c r="D228" s="105" t="s">
        <v>31</v>
      </c>
      <c r="E228" s="105" t="s">
        <v>46</v>
      </c>
      <c r="F228" s="105" t="s">
        <v>782</v>
      </c>
      <c r="H228" s="105" t="s">
        <v>33</v>
      </c>
      <c r="J228" s="5">
        <v>80</v>
      </c>
      <c r="L228" s="107">
        <v>437</v>
      </c>
      <c r="M228" s="109">
        <v>6.3</v>
      </c>
      <c r="P228" s="107">
        <v>0.60499999999999998</v>
      </c>
      <c r="R228" s="109">
        <v>391</v>
      </c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</row>
    <row r="229" spans="1:42" x14ac:dyDescent="0.2">
      <c r="A229" s="104" t="s">
        <v>107</v>
      </c>
      <c r="B229" s="104" t="s">
        <v>108</v>
      </c>
      <c r="C229" s="105" t="s">
        <v>109</v>
      </c>
      <c r="D229" s="105" t="s">
        <v>31</v>
      </c>
      <c r="E229" s="105" t="s">
        <v>46</v>
      </c>
      <c r="F229" s="105" t="s">
        <v>782</v>
      </c>
      <c r="H229" s="105" t="s">
        <v>131</v>
      </c>
      <c r="J229" s="5">
        <v>92.42</v>
      </c>
      <c r="K229" s="5">
        <v>0.95985555555555535</v>
      </c>
      <c r="L229" s="5">
        <v>22.800369999999994</v>
      </c>
      <c r="M229" s="5">
        <v>1.1175599999999997</v>
      </c>
      <c r="N229" s="5">
        <v>16.333333333333332</v>
      </c>
      <c r="O229" s="108">
        <v>0.46800000000000003</v>
      </c>
      <c r="P229" s="5">
        <v>4.1058333333333329E-2</v>
      </c>
      <c r="Q229" s="5">
        <v>80</v>
      </c>
      <c r="R229" s="5">
        <v>24.844977777777771</v>
      </c>
      <c r="S229" s="108">
        <v>1.5649999999999999</v>
      </c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</row>
    <row r="230" spans="1:42" x14ac:dyDescent="0.2">
      <c r="A230" s="104" t="s">
        <v>110</v>
      </c>
      <c r="B230" s="104" t="s">
        <v>111</v>
      </c>
      <c r="C230" s="105" t="s">
        <v>112</v>
      </c>
      <c r="D230" s="105" t="s">
        <v>31</v>
      </c>
      <c r="E230" s="105" t="s">
        <v>46</v>
      </c>
      <c r="F230" s="105" t="s">
        <v>785</v>
      </c>
      <c r="H230" s="105" t="s">
        <v>131</v>
      </c>
      <c r="K230" s="5">
        <v>0.94</v>
      </c>
      <c r="L230" s="5">
        <v>45</v>
      </c>
      <c r="M230" s="5">
        <v>0.68</v>
      </c>
      <c r="O230" s="5">
        <v>0.39</v>
      </c>
      <c r="P230" s="5">
        <v>4.5249999999999999E-2</v>
      </c>
      <c r="R230" s="5">
        <v>67</v>
      </c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</row>
    <row r="231" spans="1:42" x14ac:dyDescent="0.2">
      <c r="A231" s="104" t="s">
        <v>113</v>
      </c>
      <c r="B231" s="104" t="s">
        <v>114</v>
      </c>
      <c r="C231" s="105" t="s">
        <v>115</v>
      </c>
      <c r="D231" s="105" t="s">
        <v>31</v>
      </c>
      <c r="E231" s="105" t="s">
        <v>46</v>
      </c>
      <c r="F231" s="105" t="s">
        <v>782</v>
      </c>
      <c r="H231" s="105" t="s">
        <v>33</v>
      </c>
      <c r="K231" s="5">
        <v>1.3966666666666667</v>
      </c>
      <c r="L231" s="5">
        <v>151.66666666666666</v>
      </c>
      <c r="M231" s="107">
        <v>2.1266666666666665</v>
      </c>
      <c r="O231" s="5">
        <v>0.28999999999999998</v>
      </c>
      <c r="P231" s="107">
        <v>0.84632393587617472</v>
      </c>
      <c r="Q231" s="5">
        <v>27</v>
      </c>
      <c r="R231" s="5">
        <v>37.666666666666664</v>
      </c>
      <c r="S231" s="107">
        <v>2.98</v>
      </c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</row>
    <row r="232" spans="1:42" x14ac:dyDescent="0.2">
      <c r="A232" s="104" t="s">
        <v>921</v>
      </c>
      <c r="B232" s="104" t="s">
        <v>922</v>
      </c>
      <c r="C232" s="105" t="s">
        <v>923</v>
      </c>
      <c r="D232" s="105" t="s">
        <v>31</v>
      </c>
      <c r="E232" s="105" t="s">
        <v>46</v>
      </c>
      <c r="F232" s="105" t="s">
        <v>782</v>
      </c>
      <c r="H232" s="105" t="s">
        <v>33</v>
      </c>
      <c r="L232" s="108">
        <v>190</v>
      </c>
      <c r="M232" s="107">
        <v>2.7</v>
      </c>
      <c r="N232" s="5">
        <v>33</v>
      </c>
      <c r="P232" s="5">
        <v>1.3333333333333334E-2</v>
      </c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</row>
    <row r="233" spans="1:42" x14ac:dyDescent="0.2">
      <c r="A233" s="104" t="s">
        <v>145</v>
      </c>
      <c r="B233" s="104" t="s">
        <v>1084</v>
      </c>
      <c r="C233" s="105" t="s">
        <v>150</v>
      </c>
      <c r="D233" s="105" t="s">
        <v>31</v>
      </c>
      <c r="E233" s="105" t="s">
        <v>46</v>
      </c>
      <c r="F233" s="105" t="s">
        <v>782</v>
      </c>
      <c r="H233" s="105" t="s">
        <v>33</v>
      </c>
      <c r="I233" s="1" t="s">
        <v>0</v>
      </c>
      <c r="J233" s="5">
        <v>88.15</v>
      </c>
      <c r="K233" s="107">
        <v>3.99</v>
      </c>
      <c r="L233" s="5">
        <v>128.55000000000001</v>
      </c>
      <c r="M233" s="107">
        <v>3.44</v>
      </c>
      <c r="N233" s="5">
        <v>61.95</v>
      </c>
      <c r="O233" s="108">
        <v>0.53749999999999998</v>
      </c>
      <c r="Q233" s="107">
        <v>302</v>
      </c>
      <c r="R233" s="5">
        <v>36.4</v>
      </c>
      <c r="S233" s="5">
        <v>0.67</v>
      </c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</row>
    <row r="234" spans="1:42" x14ac:dyDescent="0.2">
      <c r="A234" s="104" t="s">
        <v>158</v>
      </c>
      <c r="B234" s="104" t="s">
        <v>159</v>
      </c>
      <c r="C234" s="105" t="s">
        <v>160</v>
      </c>
      <c r="D234" s="105" t="s">
        <v>31</v>
      </c>
      <c r="E234" s="105" t="s">
        <v>46</v>
      </c>
      <c r="F234" s="105" t="s">
        <v>782</v>
      </c>
      <c r="G234" s="105" t="s">
        <v>71</v>
      </c>
      <c r="H234" s="105" t="s">
        <v>33</v>
      </c>
      <c r="J234" s="5">
        <v>98.6</v>
      </c>
      <c r="K234" s="5">
        <v>1</v>
      </c>
      <c r="L234" s="5">
        <v>4</v>
      </c>
      <c r="M234" s="5">
        <v>0</v>
      </c>
      <c r="N234" s="5">
        <v>2</v>
      </c>
      <c r="O234" s="5">
        <v>0.2</v>
      </c>
      <c r="Q234" s="5">
        <v>3</v>
      </c>
      <c r="R234" s="5">
        <v>0</v>
      </c>
      <c r="S234" s="5">
        <v>0.1</v>
      </c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</row>
    <row r="235" spans="1:42" x14ac:dyDescent="0.2">
      <c r="A235" s="104" t="s">
        <v>218</v>
      </c>
      <c r="B235" s="104" t="s">
        <v>219</v>
      </c>
      <c r="C235" s="105" t="s">
        <v>220</v>
      </c>
      <c r="D235" s="105" t="s">
        <v>31</v>
      </c>
      <c r="E235" s="105" t="s">
        <v>46</v>
      </c>
      <c r="F235" s="105" t="s">
        <v>782</v>
      </c>
      <c r="H235" s="105" t="s">
        <v>33</v>
      </c>
      <c r="J235" s="5">
        <v>88.166666666666671</v>
      </c>
      <c r="K235" s="108">
        <v>2.7002999999999999</v>
      </c>
      <c r="L235" s="5">
        <v>139.50039999999998</v>
      </c>
      <c r="M235" s="109">
        <v>5.1007499999999997</v>
      </c>
      <c r="P235" s="108">
        <v>0.39161111111111113</v>
      </c>
      <c r="R235" s="5">
        <v>15.000450000000001</v>
      </c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</row>
    <row r="236" spans="1:42" x14ac:dyDescent="0.2">
      <c r="A236" s="104" t="s">
        <v>221</v>
      </c>
      <c r="B236" s="104" t="s">
        <v>222</v>
      </c>
      <c r="C236" s="105" t="s">
        <v>223</v>
      </c>
      <c r="D236" s="105" t="s">
        <v>31</v>
      </c>
      <c r="E236" s="105" t="s">
        <v>46</v>
      </c>
      <c r="F236" s="105" t="s">
        <v>782</v>
      </c>
      <c r="H236" s="105" t="s">
        <v>33</v>
      </c>
      <c r="J236" s="5">
        <v>82.3</v>
      </c>
      <c r="L236" s="5">
        <v>120</v>
      </c>
      <c r="M236" s="107">
        <v>3.2</v>
      </c>
      <c r="N236" s="5">
        <v>58.5</v>
      </c>
      <c r="O236" s="107">
        <v>0.9</v>
      </c>
      <c r="R236" s="107">
        <v>201.5</v>
      </c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</row>
    <row r="237" spans="1:42" x14ac:dyDescent="0.2">
      <c r="A237" s="25" t="s">
        <v>914</v>
      </c>
      <c r="B237" s="25" t="s">
        <v>250</v>
      </c>
      <c r="C237" s="110" t="s">
        <v>1001</v>
      </c>
      <c r="D237" s="26" t="s">
        <v>31</v>
      </c>
      <c r="E237" s="26" t="s">
        <v>46</v>
      </c>
      <c r="F237" s="110" t="s">
        <v>782</v>
      </c>
      <c r="G237" s="26"/>
      <c r="H237" s="26" t="s">
        <v>33</v>
      </c>
      <c r="J237" s="23"/>
      <c r="K237" s="23"/>
      <c r="L237" s="23">
        <v>14.14</v>
      </c>
      <c r="M237" s="23">
        <v>1.51</v>
      </c>
      <c r="N237" s="23">
        <v>2.7</v>
      </c>
      <c r="O237" s="109">
        <v>7.8</v>
      </c>
      <c r="P237" s="23"/>
      <c r="Q237" s="23"/>
      <c r="R237" s="23"/>
      <c r="S237" s="23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</row>
    <row r="238" spans="1:42" x14ac:dyDescent="0.2">
      <c r="A238" s="104" t="s">
        <v>242</v>
      </c>
      <c r="B238" s="104" t="s">
        <v>245</v>
      </c>
      <c r="C238" s="105" t="s">
        <v>246</v>
      </c>
      <c r="D238" s="105" t="s">
        <v>31</v>
      </c>
      <c r="E238" s="105" t="s">
        <v>46</v>
      </c>
      <c r="F238" s="105" t="s">
        <v>782</v>
      </c>
      <c r="H238" s="105" t="s">
        <v>91</v>
      </c>
      <c r="J238" s="5">
        <v>93.666666666666671</v>
      </c>
      <c r="K238" s="5">
        <v>1.0536999999999999</v>
      </c>
      <c r="L238" s="5">
        <v>52.999639999999985</v>
      </c>
      <c r="M238" s="5">
        <v>0.6518999999999997</v>
      </c>
      <c r="N238" s="5">
        <v>28</v>
      </c>
      <c r="O238" s="108">
        <v>0.47</v>
      </c>
      <c r="P238" s="5">
        <v>1.8266998341625207E-2</v>
      </c>
      <c r="R238" s="5">
        <v>5.333333333333333</v>
      </c>
      <c r="S238" s="5">
        <v>0.1</v>
      </c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</row>
    <row r="239" spans="1:42" x14ac:dyDescent="0.2">
      <c r="A239" s="104" t="s">
        <v>242</v>
      </c>
      <c r="B239" s="104" t="s">
        <v>243</v>
      </c>
      <c r="C239" s="105" t="s">
        <v>244</v>
      </c>
      <c r="D239" s="105" t="s">
        <v>31</v>
      </c>
      <c r="E239" s="105" t="s">
        <v>46</v>
      </c>
      <c r="F239" s="105" t="s">
        <v>782</v>
      </c>
      <c r="H239" s="105" t="s">
        <v>91</v>
      </c>
      <c r="J239" s="5" t="s">
        <v>0</v>
      </c>
      <c r="K239" s="5">
        <v>0.66</v>
      </c>
      <c r="L239" s="5">
        <v>16</v>
      </c>
      <c r="M239" s="5">
        <v>0.42</v>
      </c>
      <c r="P239" s="5">
        <v>6.1359867330016582E-2</v>
      </c>
      <c r="R239" s="5">
        <v>3</v>
      </c>
      <c r="S239" s="5">
        <v>0.06</v>
      </c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</row>
    <row r="240" spans="1:42" x14ac:dyDescent="0.2">
      <c r="A240" s="104" t="s">
        <v>242</v>
      </c>
      <c r="B240" s="104" t="s">
        <v>245</v>
      </c>
      <c r="C240" s="105" t="s">
        <v>246</v>
      </c>
      <c r="D240" s="105" t="s">
        <v>31</v>
      </c>
      <c r="E240" s="105" t="s">
        <v>46</v>
      </c>
      <c r="F240" s="105" t="s">
        <v>782</v>
      </c>
      <c r="H240" s="105" t="s">
        <v>131</v>
      </c>
      <c r="J240" s="5">
        <v>94.9</v>
      </c>
      <c r="K240" s="5">
        <v>0.5</v>
      </c>
      <c r="L240" s="5">
        <v>31</v>
      </c>
      <c r="M240" s="5">
        <v>0.85000000000000009</v>
      </c>
      <c r="N240" s="5">
        <v>8</v>
      </c>
      <c r="O240" s="108">
        <v>0.51</v>
      </c>
      <c r="P240" s="5">
        <v>0.20375000000000001</v>
      </c>
      <c r="Q240" s="5">
        <v>3</v>
      </c>
      <c r="R240" s="5">
        <v>15.5</v>
      </c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</row>
    <row r="241" spans="1:42" x14ac:dyDescent="0.2">
      <c r="A241" s="104" t="s">
        <v>247</v>
      </c>
      <c r="B241" s="104" t="s">
        <v>248</v>
      </c>
      <c r="C241" s="105" t="s">
        <v>246</v>
      </c>
      <c r="D241" s="105" t="s">
        <v>31</v>
      </c>
      <c r="E241" s="105" t="s">
        <v>46</v>
      </c>
      <c r="F241" s="105" t="s">
        <v>782</v>
      </c>
      <c r="H241" s="105" t="s">
        <v>33</v>
      </c>
      <c r="J241" s="5">
        <v>86.037500000000009</v>
      </c>
      <c r="K241" s="108">
        <v>2.684275</v>
      </c>
      <c r="L241" s="5">
        <v>140.71605714285715</v>
      </c>
      <c r="M241" s="107">
        <v>2.5065999999999997</v>
      </c>
      <c r="N241" s="5">
        <v>45.4</v>
      </c>
      <c r="O241" s="108">
        <v>0.47000000000000003</v>
      </c>
      <c r="P241" s="5">
        <v>0.24850291666666666</v>
      </c>
      <c r="Q241" s="5">
        <v>104.25</v>
      </c>
      <c r="R241" s="5">
        <v>56.4</v>
      </c>
      <c r="S241" s="108">
        <v>1.5074999999999998</v>
      </c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</row>
    <row r="242" spans="1:42" x14ac:dyDescent="0.2">
      <c r="A242" s="104" t="s">
        <v>252</v>
      </c>
      <c r="B242" s="104" t="s">
        <v>253</v>
      </c>
      <c r="C242" s="105" t="s">
        <v>255</v>
      </c>
      <c r="D242" s="105" t="s">
        <v>31</v>
      </c>
      <c r="E242" s="105" t="s">
        <v>46</v>
      </c>
      <c r="F242" s="105" t="s">
        <v>782</v>
      </c>
      <c r="H242" s="105" t="s">
        <v>33</v>
      </c>
      <c r="J242" s="5">
        <v>89.15</v>
      </c>
      <c r="K242" s="5">
        <v>1.9005999999999998</v>
      </c>
      <c r="L242" s="5">
        <v>161.4973</v>
      </c>
      <c r="M242" s="109">
        <v>7.1</v>
      </c>
      <c r="N242" s="108">
        <v>77</v>
      </c>
      <c r="O242" s="107">
        <v>0.63</v>
      </c>
      <c r="R242" s="5">
        <v>20</v>
      </c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</row>
    <row r="243" spans="1:42" x14ac:dyDescent="0.2">
      <c r="A243" s="104" t="s">
        <v>263</v>
      </c>
      <c r="B243" s="104" t="s">
        <v>264</v>
      </c>
      <c r="C243" s="105" t="s">
        <v>265</v>
      </c>
      <c r="D243" s="105" t="s">
        <v>31</v>
      </c>
      <c r="E243" s="105" t="s">
        <v>46</v>
      </c>
      <c r="F243" s="105" t="s">
        <v>782</v>
      </c>
      <c r="H243" s="105" t="s">
        <v>33</v>
      </c>
      <c r="J243" s="5">
        <v>94</v>
      </c>
      <c r="L243" s="5">
        <v>35</v>
      </c>
      <c r="M243" s="5">
        <v>0.5</v>
      </c>
      <c r="P243" s="5">
        <v>5.0000000000000001E-3</v>
      </c>
      <c r="R243" s="5">
        <v>26</v>
      </c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</row>
    <row r="244" spans="1:42" x14ac:dyDescent="0.2">
      <c r="A244" s="104" t="s">
        <v>702</v>
      </c>
      <c r="B244" s="104" t="s">
        <v>699</v>
      </c>
      <c r="C244" s="105" t="s">
        <v>700</v>
      </c>
      <c r="D244" s="105" t="s">
        <v>31</v>
      </c>
      <c r="E244" s="105" t="s">
        <v>46</v>
      </c>
      <c r="F244" s="105" t="s">
        <v>782</v>
      </c>
      <c r="H244" s="105" t="s">
        <v>33</v>
      </c>
      <c r="J244" s="5">
        <v>86.9</v>
      </c>
      <c r="K244" s="107">
        <v>5.14</v>
      </c>
      <c r="L244" s="108">
        <v>164</v>
      </c>
      <c r="M244" s="107">
        <v>2.9950000000000001</v>
      </c>
      <c r="N244" s="107">
        <v>86.8</v>
      </c>
      <c r="O244" s="107">
        <v>0.58250000000000002</v>
      </c>
      <c r="R244" s="5">
        <v>53.5</v>
      </c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</row>
    <row r="245" spans="1:42" x14ac:dyDescent="0.2">
      <c r="A245" s="104" t="s">
        <v>298</v>
      </c>
      <c r="B245" s="104" t="s">
        <v>302</v>
      </c>
      <c r="C245" s="105" t="s">
        <v>303</v>
      </c>
      <c r="D245" s="105" t="s">
        <v>31</v>
      </c>
      <c r="E245" s="105" t="s">
        <v>46</v>
      </c>
      <c r="F245" s="105" t="s">
        <v>782</v>
      </c>
      <c r="H245" s="105" t="s">
        <v>166</v>
      </c>
      <c r="J245" s="5">
        <v>83.637500000000003</v>
      </c>
      <c r="K245" s="108">
        <v>3.5757250000000003</v>
      </c>
      <c r="L245" s="5">
        <v>63.249325000000013</v>
      </c>
      <c r="M245" s="5">
        <v>1.3334374999999998</v>
      </c>
      <c r="N245" s="5">
        <v>42.333333333333336</v>
      </c>
      <c r="O245" s="108">
        <v>0.49</v>
      </c>
      <c r="P245" s="108">
        <v>0.55353333333333343</v>
      </c>
      <c r="Q245" s="5">
        <v>68</v>
      </c>
      <c r="R245" s="5">
        <v>7.7173333333333325</v>
      </c>
      <c r="S245" s="5">
        <v>0.19</v>
      </c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</row>
    <row r="246" spans="1:42" x14ac:dyDescent="0.2">
      <c r="A246" s="104" t="s">
        <v>307</v>
      </c>
      <c r="B246" s="104" t="s">
        <v>308</v>
      </c>
      <c r="C246" s="105" t="s">
        <v>68</v>
      </c>
      <c r="D246" s="105" t="s">
        <v>31</v>
      </c>
      <c r="E246" s="105" t="s">
        <v>46</v>
      </c>
      <c r="F246" s="105" t="s">
        <v>782</v>
      </c>
      <c r="H246" s="105" t="s">
        <v>33</v>
      </c>
      <c r="J246" s="5">
        <v>86</v>
      </c>
      <c r="K246" s="5">
        <v>1.5</v>
      </c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</row>
    <row r="247" spans="1:42" x14ac:dyDescent="0.2">
      <c r="A247" s="104" t="s">
        <v>312</v>
      </c>
      <c r="B247" s="104" t="s">
        <v>313</v>
      </c>
      <c r="C247" s="105" t="s">
        <v>314</v>
      </c>
      <c r="D247" s="105" t="s">
        <v>31</v>
      </c>
      <c r="E247" s="105" t="s">
        <v>46</v>
      </c>
      <c r="F247" s="105" t="s">
        <v>782</v>
      </c>
      <c r="H247" s="105" t="s">
        <v>33</v>
      </c>
      <c r="K247" s="5">
        <v>1.7</v>
      </c>
      <c r="L247" s="107">
        <v>464</v>
      </c>
      <c r="M247" s="107">
        <v>2.13</v>
      </c>
      <c r="P247" s="107">
        <v>0.73134328358208955</v>
      </c>
      <c r="Q247" s="5">
        <v>34</v>
      </c>
      <c r="R247" s="5">
        <v>42</v>
      </c>
      <c r="S247" s="109">
        <v>5.0999999999999996</v>
      </c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</row>
    <row r="248" spans="1:42" x14ac:dyDescent="0.2">
      <c r="A248" s="104" t="s">
        <v>315</v>
      </c>
      <c r="B248" s="104" t="s">
        <v>316</v>
      </c>
      <c r="C248" s="105" t="s">
        <v>318</v>
      </c>
      <c r="D248" s="105" t="s">
        <v>31</v>
      </c>
      <c r="E248" s="105" t="s">
        <v>46</v>
      </c>
      <c r="F248" s="105" t="s">
        <v>785</v>
      </c>
      <c r="H248" s="105" t="s">
        <v>131</v>
      </c>
      <c r="J248" s="5">
        <v>91.8</v>
      </c>
      <c r="K248" s="5">
        <v>1.1100000000000001</v>
      </c>
      <c r="L248" s="5">
        <v>23</v>
      </c>
      <c r="M248" s="107">
        <v>3.2466666666666666</v>
      </c>
      <c r="O248" s="5">
        <v>0.36</v>
      </c>
      <c r="P248" s="5">
        <v>8.6235489220563843E-2</v>
      </c>
      <c r="R248" s="5">
        <v>17.666666666666668</v>
      </c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</row>
    <row r="249" spans="1:42" x14ac:dyDescent="0.2">
      <c r="A249" s="104" t="s">
        <v>775</v>
      </c>
      <c r="B249" s="104" t="s">
        <v>776</v>
      </c>
      <c r="C249" s="105" t="s">
        <v>871</v>
      </c>
      <c r="D249" s="105" t="s">
        <v>31</v>
      </c>
      <c r="E249" s="105" t="s">
        <v>46</v>
      </c>
      <c r="F249" s="105" t="s">
        <v>782</v>
      </c>
      <c r="H249" s="105" t="s">
        <v>33</v>
      </c>
      <c r="P249" s="5">
        <v>0.2456268656716418</v>
      </c>
      <c r="R249" s="107">
        <v>144</v>
      </c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</row>
    <row r="250" spans="1:42" x14ac:dyDescent="0.2">
      <c r="A250" s="104" t="s">
        <v>319</v>
      </c>
      <c r="B250" s="104" t="s">
        <v>320</v>
      </c>
      <c r="C250" s="105" t="s">
        <v>322</v>
      </c>
      <c r="D250" s="105" t="s">
        <v>31</v>
      </c>
      <c r="E250" s="105" t="s">
        <v>46</v>
      </c>
      <c r="F250" s="105" t="s">
        <v>782</v>
      </c>
      <c r="H250" s="105" t="s">
        <v>33</v>
      </c>
      <c r="J250" s="5">
        <v>73</v>
      </c>
      <c r="K250" s="107">
        <v>5.85</v>
      </c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</row>
    <row r="251" spans="1:42" x14ac:dyDescent="0.2">
      <c r="A251" s="104" t="s">
        <v>325</v>
      </c>
      <c r="B251" s="104" t="s">
        <v>326</v>
      </c>
      <c r="C251" s="105" t="s">
        <v>873</v>
      </c>
      <c r="D251" s="105" t="s">
        <v>31</v>
      </c>
      <c r="E251" s="105" t="s">
        <v>46</v>
      </c>
      <c r="F251" s="105" t="s">
        <v>782</v>
      </c>
      <c r="G251" s="105" t="s">
        <v>71</v>
      </c>
      <c r="H251" s="105" t="s">
        <v>33</v>
      </c>
      <c r="J251" s="5">
        <v>92.2</v>
      </c>
      <c r="K251" s="5">
        <v>1.3</v>
      </c>
      <c r="M251" s="109">
        <v>5.6</v>
      </c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</row>
    <row r="252" spans="1:42" x14ac:dyDescent="0.2">
      <c r="A252" s="104" t="s">
        <v>327</v>
      </c>
      <c r="B252" s="104" t="s">
        <v>328</v>
      </c>
      <c r="C252" s="105" t="s">
        <v>329</v>
      </c>
      <c r="D252" s="105" t="s">
        <v>31</v>
      </c>
      <c r="E252" s="105" t="s">
        <v>46</v>
      </c>
      <c r="F252" s="105" t="s">
        <v>782</v>
      </c>
      <c r="H252" s="105" t="s">
        <v>33</v>
      </c>
      <c r="J252" s="5">
        <v>82.7</v>
      </c>
      <c r="K252" s="108">
        <v>3.5250000000000004</v>
      </c>
      <c r="L252" s="108">
        <v>163.6</v>
      </c>
      <c r="M252" s="108">
        <v>1.6800000000000002</v>
      </c>
      <c r="N252" s="107">
        <v>85.666666666666671</v>
      </c>
      <c r="O252" s="109">
        <v>1.6800000000000002</v>
      </c>
      <c r="P252" s="5">
        <v>6.430000000000001E-2</v>
      </c>
      <c r="Q252" s="5">
        <v>112</v>
      </c>
      <c r="R252" s="107">
        <v>147.06666666666666</v>
      </c>
      <c r="S252" s="5">
        <v>0</v>
      </c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</row>
    <row r="253" spans="1:42" x14ac:dyDescent="0.2">
      <c r="A253" s="104" t="s">
        <v>335</v>
      </c>
      <c r="B253" s="104" t="s">
        <v>336</v>
      </c>
      <c r="C253" s="105" t="s">
        <v>337</v>
      </c>
      <c r="D253" s="105" t="s">
        <v>31</v>
      </c>
      <c r="E253" s="105" t="s">
        <v>46</v>
      </c>
      <c r="F253" s="105" t="s">
        <v>782</v>
      </c>
      <c r="G253" s="105" t="s">
        <v>71</v>
      </c>
      <c r="H253" s="105" t="s">
        <v>33</v>
      </c>
      <c r="J253" s="5">
        <v>86</v>
      </c>
      <c r="K253" s="5">
        <v>2.0020000000000002</v>
      </c>
      <c r="L253" s="107">
        <v>294.99470000000002</v>
      </c>
      <c r="M253" s="109">
        <v>5.7057000000000002</v>
      </c>
      <c r="P253" s="5">
        <v>0.27666666666666667</v>
      </c>
      <c r="R253" s="5">
        <v>27.999400000000005</v>
      </c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</row>
    <row r="254" spans="1:42" x14ac:dyDescent="0.2">
      <c r="A254" s="104" t="s">
        <v>335</v>
      </c>
      <c r="B254" s="104" t="s">
        <v>725</v>
      </c>
      <c r="C254" s="105" t="s">
        <v>875</v>
      </c>
      <c r="D254" s="105" t="s">
        <v>31</v>
      </c>
      <c r="E254" s="105" t="s">
        <v>46</v>
      </c>
      <c r="F254" s="105" t="s">
        <v>782</v>
      </c>
      <c r="H254" s="105" t="s">
        <v>33</v>
      </c>
      <c r="J254" s="5">
        <v>88.7</v>
      </c>
      <c r="K254" s="5">
        <v>2.1</v>
      </c>
      <c r="L254" s="5">
        <v>37</v>
      </c>
      <c r="M254" s="5">
        <v>0.6</v>
      </c>
      <c r="N254" s="5">
        <v>22</v>
      </c>
      <c r="R254" s="5">
        <v>2</v>
      </c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</row>
    <row r="255" spans="1:42" x14ac:dyDescent="0.2">
      <c r="A255" s="104" t="s">
        <v>710</v>
      </c>
      <c r="B255" s="104" t="s">
        <v>711</v>
      </c>
      <c r="C255" s="105" t="s">
        <v>876</v>
      </c>
      <c r="D255" s="105" t="s">
        <v>31</v>
      </c>
      <c r="E255" s="105" t="s">
        <v>46</v>
      </c>
      <c r="F255" s="105" t="s">
        <v>782</v>
      </c>
      <c r="H255" s="105" t="s">
        <v>66</v>
      </c>
      <c r="J255" s="5">
        <v>82.5</v>
      </c>
      <c r="K255" s="107">
        <v>6.37</v>
      </c>
      <c r="L255" s="5">
        <v>0.01</v>
      </c>
      <c r="M255" s="5">
        <v>0.71</v>
      </c>
      <c r="N255" s="5">
        <v>0.01</v>
      </c>
      <c r="O255" s="109">
        <v>3.5</v>
      </c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</row>
    <row r="256" spans="1:42" x14ac:dyDescent="0.2">
      <c r="A256" s="104" t="s">
        <v>710</v>
      </c>
      <c r="B256" s="104" t="s">
        <v>711</v>
      </c>
      <c r="C256" s="105" t="s">
        <v>876</v>
      </c>
      <c r="D256" s="105" t="s">
        <v>31</v>
      </c>
      <c r="E256" s="105" t="s">
        <v>46</v>
      </c>
      <c r="F256" s="105" t="s">
        <v>782</v>
      </c>
      <c r="H256" s="105" t="s">
        <v>33</v>
      </c>
      <c r="J256" s="5">
        <v>95.3</v>
      </c>
      <c r="K256" s="5">
        <v>0.5</v>
      </c>
      <c r="L256" s="5">
        <v>63</v>
      </c>
      <c r="M256" s="5">
        <v>0.8</v>
      </c>
      <c r="R256" s="5">
        <v>3</v>
      </c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</row>
    <row r="257" spans="1:42" x14ac:dyDescent="0.2">
      <c r="A257" s="104" t="s">
        <v>356</v>
      </c>
      <c r="B257" s="104" t="s">
        <v>357</v>
      </c>
      <c r="C257" s="105" t="s">
        <v>360</v>
      </c>
      <c r="D257" s="105" t="s">
        <v>31</v>
      </c>
      <c r="E257" s="105" t="s">
        <v>46</v>
      </c>
      <c r="F257" s="105" t="s">
        <v>782</v>
      </c>
      <c r="H257" s="105" t="s">
        <v>33</v>
      </c>
      <c r="K257" s="5">
        <v>0.78333333333333333</v>
      </c>
      <c r="L257" s="5">
        <v>128.66666666666666</v>
      </c>
      <c r="M257" s="109">
        <v>4.2333333333333334</v>
      </c>
      <c r="O257" s="5">
        <v>0.06</v>
      </c>
      <c r="P257" s="5">
        <v>0.31509121061359863</v>
      </c>
      <c r="R257" s="5">
        <v>13.666666666666666</v>
      </c>
      <c r="S257" s="5">
        <v>0.52</v>
      </c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</row>
    <row r="258" spans="1:42" x14ac:dyDescent="0.2">
      <c r="A258" s="104" t="s">
        <v>361</v>
      </c>
      <c r="B258" s="104" t="s">
        <v>364</v>
      </c>
      <c r="C258" s="105" t="s">
        <v>363</v>
      </c>
      <c r="D258" s="105" t="s">
        <v>31</v>
      </c>
      <c r="E258" s="105" t="s">
        <v>46</v>
      </c>
      <c r="F258" s="105" t="s">
        <v>782</v>
      </c>
      <c r="H258" s="105" t="s">
        <v>286</v>
      </c>
      <c r="L258" s="5">
        <v>87</v>
      </c>
      <c r="M258" s="5">
        <v>1.2</v>
      </c>
      <c r="P258" s="5">
        <v>0.15</v>
      </c>
      <c r="R258" s="108">
        <v>83</v>
      </c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</row>
    <row r="259" spans="1:42" x14ac:dyDescent="0.2">
      <c r="A259" s="104" t="s">
        <v>361</v>
      </c>
      <c r="B259" s="104" t="s">
        <v>364</v>
      </c>
      <c r="C259" s="105" t="s">
        <v>363</v>
      </c>
      <c r="D259" s="105" t="s">
        <v>31</v>
      </c>
      <c r="E259" s="105" t="s">
        <v>46</v>
      </c>
      <c r="F259" s="105" t="s">
        <v>782</v>
      </c>
      <c r="H259" s="105" t="s">
        <v>166</v>
      </c>
      <c r="J259" s="5">
        <v>86.5</v>
      </c>
      <c r="K259" s="5">
        <v>1.2033500000000001</v>
      </c>
      <c r="L259" s="5">
        <v>87.00160000000001</v>
      </c>
      <c r="M259" s="5">
        <v>1.2032</v>
      </c>
      <c r="P259" s="5">
        <v>0.25374999999999998</v>
      </c>
      <c r="R259" s="108">
        <v>88</v>
      </c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</row>
    <row r="260" spans="1:42" x14ac:dyDescent="0.2">
      <c r="A260" s="104" t="s">
        <v>361</v>
      </c>
      <c r="B260" s="104" t="s">
        <v>130</v>
      </c>
      <c r="C260" s="105" t="s">
        <v>363</v>
      </c>
      <c r="D260" s="105" t="s">
        <v>31</v>
      </c>
      <c r="E260" s="105" t="s">
        <v>46</v>
      </c>
      <c r="F260" s="105" t="s">
        <v>782</v>
      </c>
      <c r="H260" s="105" t="s">
        <v>166</v>
      </c>
      <c r="J260" s="5">
        <v>87</v>
      </c>
      <c r="K260" s="5">
        <v>1.2</v>
      </c>
      <c r="L260" s="5">
        <v>87</v>
      </c>
      <c r="M260" s="5">
        <v>1.2</v>
      </c>
      <c r="R260" s="108">
        <v>88</v>
      </c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</row>
    <row r="261" spans="1:42" x14ac:dyDescent="0.2">
      <c r="A261" s="104" t="s">
        <v>361</v>
      </c>
      <c r="B261" s="104" t="s">
        <v>362</v>
      </c>
      <c r="C261" s="105" t="s">
        <v>363</v>
      </c>
      <c r="D261" s="105" t="s">
        <v>31</v>
      </c>
      <c r="E261" s="105" t="s">
        <v>46</v>
      </c>
      <c r="F261" s="105" t="s">
        <v>782</v>
      </c>
      <c r="H261" s="105" t="s">
        <v>166</v>
      </c>
      <c r="K261" s="5">
        <v>0.97</v>
      </c>
      <c r="L261" s="5">
        <v>18</v>
      </c>
      <c r="M261" s="5">
        <v>0.64</v>
      </c>
      <c r="P261" s="5">
        <v>9.6185737976782745E-2</v>
      </c>
      <c r="R261" s="5">
        <v>39</v>
      </c>
      <c r="S261" s="108">
        <v>2.0699999999999998</v>
      </c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</row>
    <row r="262" spans="1:42" x14ac:dyDescent="0.2">
      <c r="A262" s="104" t="s">
        <v>731</v>
      </c>
      <c r="B262" s="104" t="s">
        <v>732</v>
      </c>
      <c r="C262" s="105" t="s">
        <v>734</v>
      </c>
      <c r="D262" s="105" t="s">
        <v>31</v>
      </c>
      <c r="E262" s="105" t="s">
        <v>46</v>
      </c>
      <c r="F262" s="105" t="s">
        <v>782</v>
      </c>
      <c r="H262" s="105" t="s">
        <v>733</v>
      </c>
      <c r="J262" s="5">
        <v>95</v>
      </c>
      <c r="K262" s="5">
        <v>1.1499999999999999</v>
      </c>
      <c r="L262" s="5">
        <v>26.5</v>
      </c>
      <c r="M262" s="5">
        <v>0.2</v>
      </c>
      <c r="N262" s="5">
        <v>11</v>
      </c>
      <c r="O262" s="5">
        <v>0.4</v>
      </c>
      <c r="Q262" s="5">
        <v>16.100000000000001</v>
      </c>
      <c r="R262" s="5">
        <v>3.5</v>
      </c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</row>
    <row r="263" spans="1:42" x14ac:dyDescent="0.2">
      <c r="A263" s="104" t="s">
        <v>713</v>
      </c>
      <c r="B263" s="104" t="s">
        <v>717</v>
      </c>
      <c r="C263" s="105" t="s">
        <v>877</v>
      </c>
      <c r="D263" s="105" t="s">
        <v>31</v>
      </c>
      <c r="E263" s="105" t="s">
        <v>46</v>
      </c>
      <c r="F263" s="105" t="s">
        <v>782</v>
      </c>
      <c r="H263" s="105" t="s">
        <v>33</v>
      </c>
      <c r="J263" s="5">
        <v>84.4</v>
      </c>
      <c r="L263" s="107">
        <v>342.5</v>
      </c>
      <c r="M263" s="107">
        <v>2.27</v>
      </c>
      <c r="N263" s="5">
        <v>9.43</v>
      </c>
      <c r="O263" s="109">
        <v>4.2050000000000001</v>
      </c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</row>
    <row r="264" spans="1:42" x14ac:dyDescent="0.2">
      <c r="A264" s="104" t="s">
        <v>713</v>
      </c>
      <c r="B264" s="104" t="s">
        <v>716</v>
      </c>
      <c r="C264" s="105" t="s">
        <v>877</v>
      </c>
      <c r="D264" s="105" t="s">
        <v>31</v>
      </c>
      <c r="E264" s="105" t="s">
        <v>46</v>
      </c>
      <c r="F264" s="105" t="s">
        <v>782</v>
      </c>
      <c r="H264" s="105" t="s">
        <v>33</v>
      </c>
      <c r="J264" s="5">
        <v>84.4</v>
      </c>
      <c r="L264" s="107">
        <v>312.00000000000006</v>
      </c>
      <c r="M264" s="5">
        <v>0.78000000000000014</v>
      </c>
      <c r="N264" s="5">
        <v>8.8296000000000028</v>
      </c>
      <c r="O264" s="109">
        <v>3.5880000000000005</v>
      </c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</row>
    <row r="265" spans="1:42" x14ac:dyDescent="0.2">
      <c r="A265" s="104" t="s">
        <v>713</v>
      </c>
      <c r="B265" s="104" t="s">
        <v>714</v>
      </c>
      <c r="C265" s="105" t="s">
        <v>877</v>
      </c>
      <c r="D265" s="105" t="s">
        <v>31</v>
      </c>
      <c r="E265" s="105" t="s">
        <v>46</v>
      </c>
      <c r="F265" s="105" t="s">
        <v>782</v>
      </c>
      <c r="H265" s="105" t="s">
        <v>33</v>
      </c>
      <c r="J265" s="5">
        <v>84.4</v>
      </c>
      <c r="L265" s="107">
        <v>304.20000000000005</v>
      </c>
      <c r="M265" s="5">
        <v>0.55380000000000007</v>
      </c>
      <c r="N265" s="5">
        <v>8.9388000000000005</v>
      </c>
      <c r="O265" s="109">
        <v>3.7440000000000007</v>
      </c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</row>
    <row r="266" spans="1:42" x14ac:dyDescent="0.2">
      <c r="A266" s="104" t="s">
        <v>368</v>
      </c>
      <c r="B266" s="104" t="s">
        <v>94</v>
      </c>
      <c r="C266" s="105" t="s">
        <v>369</v>
      </c>
      <c r="D266" s="105" t="s">
        <v>31</v>
      </c>
      <c r="E266" s="105" t="s">
        <v>46</v>
      </c>
      <c r="F266" s="105" t="s">
        <v>782</v>
      </c>
      <c r="H266" s="105" t="s">
        <v>33</v>
      </c>
      <c r="J266" s="5" t="s">
        <v>0</v>
      </c>
      <c r="K266" s="5">
        <v>2.0299999999999998</v>
      </c>
      <c r="L266" s="108">
        <v>184.33333333333334</v>
      </c>
      <c r="M266" s="107">
        <v>3.9633333333333334</v>
      </c>
      <c r="O266" s="5">
        <v>0.39</v>
      </c>
      <c r="P266" s="107">
        <v>0.65892758430071863</v>
      </c>
      <c r="Q266" s="5">
        <v>22</v>
      </c>
      <c r="R266" s="5">
        <v>71.333333333333329</v>
      </c>
      <c r="S266" s="107">
        <v>3.21</v>
      </c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</row>
    <row r="267" spans="1:42" x14ac:dyDescent="0.2">
      <c r="A267" s="104" t="s">
        <v>379</v>
      </c>
      <c r="B267" s="104" t="s">
        <v>380</v>
      </c>
      <c r="C267" s="105" t="s">
        <v>381</v>
      </c>
      <c r="D267" s="105" t="s">
        <v>31</v>
      </c>
      <c r="E267" s="105" t="s">
        <v>46</v>
      </c>
      <c r="F267" s="105" t="s">
        <v>782</v>
      </c>
      <c r="H267" s="105" t="s">
        <v>33</v>
      </c>
      <c r="J267" s="5">
        <v>91.1</v>
      </c>
      <c r="R267" s="5">
        <v>11</v>
      </c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</row>
    <row r="268" spans="1:42" x14ac:dyDescent="0.2">
      <c r="A268" s="104" t="s">
        <v>708</v>
      </c>
      <c r="B268" s="104" t="s">
        <v>203</v>
      </c>
      <c r="C268" s="105" t="s">
        <v>709</v>
      </c>
      <c r="D268" s="105" t="s">
        <v>31</v>
      </c>
      <c r="E268" s="105" t="s">
        <v>46</v>
      </c>
      <c r="F268" s="105" t="s">
        <v>782</v>
      </c>
      <c r="H268" s="105" t="s">
        <v>33</v>
      </c>
      <c r="J268" s="5">
        <v>88</v>
      </c>
      <c r="K268" s="107">
        <v>4.7</v>
      </c>
      <c r="L268" s="5">
        <v>88.5</v>
      </c>
      <c r="M268" s="107">
        <v>3.05</v>
      </c>
      <c r="N268" s="5">
        <v>28</v>
      </c>
      <c r="O268" s="107">
        <v>0.78499999999999992</v>
      </c>
      <c r="P268" s="5">
        <v>0.17</v>
      </c>
      <c r="Q268" s="108">
        <v>170</v>
      </c>
      <c r="R268" s="5">
        <v>34</v>
      </c>
      <c r="S268" s="108">
        <v>2.46</v>
      </c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</row>
    <row r="269" spans="1:42" x14ac:dyDescent="0.2">
      <c r="A269" s="104" t="s">
        <v>394</v>
      </c>
      <c r="B269" s="104" t="s">
        <v>395</v>
      </c>
      <c r="C269" s="105" t="s">
        <v>396</v>
      </c>
      <c r="D269" s="105" t="s">
        <v>31</v>
      </c>
      <c r="E269" s="105" t="s">
        <v>46</v>
      </c>
      <c r="F269" s="105" t="s">
        <v>782</v>
      </c>
      <c r="H269" s="105" t="s">
        <v>33</v>
      </c>
      <c r="J269" s="5">
        <v>93</v>
      </c>
      <c r="L269" s="5">
        <v>141.99759999999989</v>
      </c>
      <c r="P269" s="5">
        <v>9.3333333333333324E-2</v>
      </c>
      <c r="R269" s="5">
        <v>4.9979999999999967</v>
      </c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</row>
    <row r="270" spans="1:42" x14ac:dyDescent="0.2">
      <c r="A270" s="104" t="s">
        <v>394</v>
      </c>
      <c r="B270" s="104" t="s">
        <v>79</v>
      </c>
      <c r="C270" s="105" t="s">
        <v>396</v>
      </c>
      <c r="D270" s="105" t="s">
        <v>31</v>
      </c>
      <c r="E270" s="105" t="s">
        <v>46</v>
      </c>
      <c r="F270" s="105" t="s">
        <v>782</v>
      </c>
      <c r="G270" s="105" t="s">
        <v>71</v>
      </c>
      <c r="H270" s="105" t="s">
        <v>33</v>
      </c>
      <c r="J270" s="5">
        <v>94.4</v>
      </c>
      <c r="K270" s="5">
        <v>0.73</v>
      </c>
      <c r="L270" s="5">
        <v>113.68</v>
      </c>
      <c r="M270" s="109">
        <v>30.27</v>
      </c>
      <c r="O270" s="107">
        <v>0.94</v>
      </c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</row>
    <row r="271" spans="1:42" x14ac:dyDescent="0.2">
      <c r="A271" s="104" t="s">
        <v>405</v>
      </c>
      <c r="B271" s="104" t="s">
        <v>406</v>
      </c>
      <c r="C271" s="105" t="s">
        <v>407</v>
      </c>
      <c r="D271" s="105" t="s">
        <v>31</v>
      </c>
      <c r="E271" s="105" t="s">
        <v>46</v>
      </c>
      <c r="F271" s="105" t="s">
        <v>782</v>
      </c>
      <c r="G271" s="105" t="s">
        <v>71</v>
      </c>
      <c r="H271" s="105" t="s">
        <v>183</v>
      </c>
      <c r="K271" s="5">
        <v>2.0699999999999998</v>
      </c>
      <c r="L271" s="107">
        <v>273</v>
      </c>
      <c r="M271" s="5">
        <v>0.88</v>
      </c>
      <c r="O271" s="5">
        <v>0.33</v>
      </c>
      <c r="P271" s="108">
        <v>0.40132669983416247</v>
      </c>
      <c r="Q271" s="5">
        <v>14</v>
      </c>
      <c r="R271" s="5">
        <v>60</v>
      </c>
      <c r="S271" s="5">
        <v>0.89</v>
      </c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</row>
    <row r="272" spans="1:42" x14ac:dyDescent="0.2">
      <c r="A272" s="104" t="s">
        <v>408</v>
      </c>
      <c r="B272" s="104" t="s">
        <v>406</v>
      </c>
      <c r="C272" s="105" t="s">
        <v>407</v>
      </c>
      <c r="D272" s="105" t="s">
        <v>31</v>
      </c>
      <c r="E272" s="105" t="s">
        <v>46</v>
      </c>
      <c r="F272" s="105" t="s">
        <v>782</v>
      </c>
      <c r="G272" s="105" t="s">
        <v>71</v>
      </c>
      <c r="H272" s="105" t="s">
        <v>166</v>
      </c>
      <c r="J272" s="5">
        <v>79.34</v>
      </c>
      <c r="K272" s="107">
        <v>3.81</v>
      </c>
      <c r="L272" s="109">
        <v>770.87</v>
      </c>
      <c r="N272" s="109">
        <v>228.1</v>
      </c>
      <c r="O272" s="107">
        <v>0.66</v>
      </c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</row>
    <row r="273" spans="1:42" x14ac:dyDescent="0.2">
      <c r="A273" s="104" t="s">
        <v>408</v>
      </c>
      <c r="B273" s="104" t="s">
        <v>406</v>
      </c>
      <c r="C273" s="105" t="s">
        <v>407</v>
      </c>
      <c r="D273" s="105" t="s">
        <v>31</v>
      </c>
      <c r="E273" s="105" t="s">
        <v>46</v>
      </c>
      <c r="F273" s="105" t="s">
        <v>782</v>
      </c>
      <c r="G273" s="105" t="s">
        <v>71</v>
      </c>
      <c r="H273" s="105" t="s">
        <v>33</v>
      </c>
      <c r="J273" s="5">
        <v>90</v>
      </c>
      <c r="L273" s="5">
        <v>47.499999999999993</v>
      </c>
      <c r="M273" s="107">
        <v>3.1</v>
      </c>
      <c r="P273" s="5">
        <v>0.22999999999999998</v>
      </c>
      <c r="R273" s="5">
        <v>53.999999999999993</v>
      </c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</row>
    <row r="274" spans="1:42" x14ac:dyDescent="0.2">
      <c r="A274" s="104" t="s">
        <v>409</v>
      </c>
      <c r="B274" s="104" t="s">
        <v>410</v>
      </c>
      <c r="C274" s="105" t="s">
        <v>411</v>
      </c>
      <c r="D274" s="105" t="s">
        <v>31</v>
      </c>
      <c r="E274" s="105" t="s">
        <v>46</v>
      </c>
      <c r="F274" s="105" t="s">
        <v>782</v>
      </c>
      <c r="G274" s="105" t="s">
        <v>71</v>
      </c>
      <c r="H274" s="105" t="s">
        <v>33</v>
      </c>
      <c r="J274" s="5" t="s">
        <v>0</v>
      </c>
      <c r="K274" s="5">
        <v>1.8049999999999999</v>
      </c>
      <c r="L274" s="108">
        <v>224</v>
      </c>
      <c r="M274" s="109">
        <v>8.24</v>
      </c>
      <c r="O274" s="107">
        <v>0.76</v>
      </c>
      <c r="P274" s="5">
        <v>0.20149253731343281</v>
      </c>
      <c r="Q274" s="5">
        <v>11</v>
      </c>
      <c r="R274" s="5">
        <v>29</v>
      </c>
      <c r="S274" s="107">
        <v>3.74</v>
      </c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</row>
    <row r="275" spans="1:42" x14ac:dyDescent="0.2">
      <c r="A275" s="104" t="s">
        <v>422</v>
      </c>
      <c r="B275" s="104" t="s">
        <v>288</v>
      </c>
      <c r="C275" s="105" t="s">
        <v>423</v>
      </c>
      <c r="D275" s="105" t="s">
        <v>31</v>
      </c>
      <c r="E275" s="105" t="s">
        <v>46</v>
      </c>
      <c r="F275" s="105" t="s">
        <v>782</v>
      </c>
      <c r="H275" s="105" t="s">
        <v>33</v>
      </c>
      <c r="J275" s="4" t="str">
        <f>J274</f>
        <v xml:space="preserve"> </v>
      </c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</row>
    <row r="276" spans="1:42" x14ac:dyDescent="0.2">
      <c r="A276" s="104" t="s">
        <v>432</v>
      </c>
      <c r="B276" s="104" t="s">
        <v>433</v>
      </c>
      <c r="C276" s="105" t="s">
        <v>434</v>
      </c>
      <c r="D276" s="105" t="s">
        <v>31</v>
      </c>
      <c r="E276" s="105" t="s">
        <v>46</v>
      </c>
      <c r="F276" s="105" t="s">
        <v>782</v>
      </c>
      <c r="H276" s="105" t="s">
        <v>131</v>
      </c>
      <c r="J276" s="5">
        <v>88.68</v>
      </c>
      <c r="K276" s="5" t="s">
        <v>0</v>
      </c>
      <c r="L276" s="5">
        <v>32</v>
      </c>
      <c r="M276" s="5">
        <v>1.31</v>
      </c>
      <c r="N276" s="5">
        <v>34</v>
      </c>
      <c r="O276" s="107">
        <v>0.83</v>
      </c>
      <c r="P276" s="5">
        <v>0.18085000000000001</v>
      </c>
      <c r="R276" s="5">
        <v>2.2599999999999998</v>
      </c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</row>
    <row r="277" spans="1:42" x14ac:dyDescent="0.2">
      <c r="A277" s="104" t="s">
        <v>438</v>
      </c>
      <c r="B277" s="104" t="s">
        <v>439</v>
      </c>
      <c r="C277" s="105" t="s">
        <v>440</v>
      </c>
      <c r="D277" s="105" t="s">
        <v>31</v>
      </c>
      <c r="E277" s="105" t="s">
        <v>46</v>
      </c>
      <c r="F277" s="105" t="s">
        <v>782</v>
      </c>
      <c r="H277" s="105" t="s">
        <v>33</v>
      </c>
      <c r="J277" s="5">
        <v>94</v>
      </c>
      <c r="L277" s="5">
        <v>90</v>
      </c>
      <c r="M277" s="5">
        <v>0.6</v>
      </c>
      <c r="P277" s="5">
        <v>0.1</v>
      </c>
      <c r="R277" s="5">
        <v>23</v>
      </c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</row>
    <row r="278" spans="1:42" x14ac:dyDescent="0.2">
      <c r="A278" s="104" t="s">
        <v>448</v>
      </c>
      <c r="B278" s="104" t="s">
        <v>449</v>
      </c>
      <c r="C278" s="105" t="s">
        <v>450</v>
      </c>
      <c r="D278" s="105" t="s">
        <v>31</v>
      </c>
      <c r="E278" s="105" t="s">
        <v>46</v>
      </c>
      <c r="F278" s="105" t="s">
        <v>782</v>
      </c>
      <c r="G278" s="105" t="s">
        <v>71</v>
      </c>
      <c r="H278" s="105" t="s">
        <v>33</v>
      </c>
      <c r="J278" s="5">
        <v>90.533333333333346</v>
      </c>
      <c r="K278" s="5">
        <v>1.8733333333333333</v>
      </c>
      <c r="L278" s="5">
        <v>79.5</v>
      </c>
      <c r="M278" s="107">
        <v>3.1100000000000008</v>
      </c>
      <c r="O278" s="107">
        <v>0.60000000000000009</v>
      </c>
      <c r="P278" s="107">
        <v>0.65926616915422886</v>
      </c>
      <c r="Q278" s="5">
        <v>36</v>
      </c>
      <c r="R278" s="5">
        <v>46.333333333333336</v>
      </c>
      <c r="S278" s="107">
        <v>3.7366666666666664</v>
      </c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</row>
    <row r="279" spans="1:42" x14ac:dyDescent="0.2">
      <c r="A279" s="104" t="s">
        <v>459</v>
      </c>
      <c r="B279" s="104" t="s">
        <v>460</v>
      </c>
      <c r="C279" s="105" t="s">
        <v>461</v>
      </c>
      <c r="D279" s="105" t="s">
        <v>31</v>
      </c>
      <c r="E279" s="105" t="s">
        <v>46</v>
      </c>
      <c r="F279" s="105" t="s">
        <v>782</v>
      </c>
      <c r="H279" s="105" t="s">
        <v>166</v>
      </c>
      <c r="L279" s="5">
        <v>50</v>
      </c>
      <c r="M279" s="5">
        <v>0.1</v>
      </c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</row>
    <row r="280" spans="1:42" x14ac:dyDescent="0.2">
      <c r="A280" s="104" t="s">
        <v>459</v>
      </c>
      <c r="B280" s="104" t="s">
        <v>462</v>
      </c>
      <c r="C280" s="105" t="s">
        <v>463</v>
      </c>
      <c r="D280" s="105" t="s">
        <v>31</v>
      </c>
      <c r="E280" s="105" t="s">
        <v>46</v>
      </c>
      <c r="F280" s="105" t="s">
        <v>782</v>
      </c>
      <c r="H280" s="105" t="s">
        <v>166</v>
      </c>
      <c r="J280" s="5">
        <v>90.2</v>
      </c>
      <c r="K280" s="108">
        <v>3.2</v>
      </c>
      <c r="L280" s="5">
        <v>40</v>
      </c>
      <c r="M280" s="5">
        <v>1.1000000000000001</v>
      </c>
      <c r="O280" s="5">
        <v>0.3</v>
      </c>
      <c r="R280" s="5">
        <v>10</v>
      </c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</row>
    <row r="281" spans="1:42" x14ac:dyDescent="0.2">
      <c r="A281" s="104" t="s">
        <v>468</v>
      </c>
      <c r="B281" s="104" t="s">
        <v>45</v>
      </c>
      <c r="C281" s="105" t="s">
        <v>469</v>
      </c>
      <c r="D281" s="105" t="s">
        <v>31</v>
      </c>
      <c r="E281" s="105" t="s">
        <v>46</v>
      </c>
      <c r="F281" s="105" t="s">
        <v>782</v>
      </c>
      <c r="G281" s="105" t="s">
        <v>71</v>
      </c>
      <c r="H281" s="105" t="s">
        <v>33</v>
      </c>
      <c r="J281" s="5">
        <v>87.75</v>
      </c>
      <c r="K281" s="107">
        <v>3.9300000000000006</v>
      </c>
      <c r="L281" s="108">
        <v>162.001</v>
      </c>
      <c r="M281" s="107">
        <v>3.6150000000000002</v>
      </c>
      <c r="N281" s="5">
        <v>53.4</v>
      </c>
      <c r="O281" s="107">
        <v>0.67500000000000004</v>
      </c>
      <c r="P281" s="5">
        <v>0.27700000000000002</v>
      </c>
      <c r="Q281" s="5">
        <v>119</v>
      </c>
      <c r="R281" s="5">
        <v>13.030249999999999</v>
      </c>
      <c r="S281" s="5">
        <v>1.33</v>
      </c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</row>
    <row r="282" spans="1:42" x14ac:dyDescent="0.2">
      <c r="A282" s="104" t="s">
        <v>472</v>
      </c>
      <c r="B282" s="104" t="s">
        <v>471</v>
      </c>
      <c r="C282" s="105" t="s">
        <v>473</v>
      </c>
      <c r="D282" s="105" t="s">
        <v>31</v>
      </c>
      <c r="E282" s="105" t="s">
        <v>46</v>
      </c>
      <c r="F282" s="105" t="s">
        <v>782</v>
      </c>
      <c r="G282" s="105" t="s">
        <v>71</v>
      </c>
      <c r="H282" s="105" t="s">
        <v>33</v>
      </c>
      <c r="J282" s="5">
        <v>90.88</v>
      </c>
      <c r="K282" s="5">
        <v>1.2676000000000001</v>
      </c>
      <c r="L282" s="5">
        <v>144.99962857142856</v>
      </c>
      <c r="M282" s="107">
        <v>3.4097666666666666</v>
      </c>
      <c r="N282" s="5">
        <v>55.1</v>
      </c>
      <c r="O282" s="108">
        <v>0.53333333333333333</v>
      </c>
      <c r="P282" s="108">
        <v>0.48011919568822553</v>
      </c>
      <c r="Q282" s="5">
        <v>118</v>
      </c>
      <c r="R282" s="5">
        <v>29.652371428571428</v>
      </c>
      <c r="S282" s="5">
        <v>0.99</v>
      </c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</row>
    <row r="283" spans="1:42" x14ac:dyDescent="0.2">
      <c r="A283" s="104" t="s">
        <v>483</v>
      </c>
      <c r="B283" s="104" t="s">
        <v>484</v>
      </c>
      <c r="C283" s="105" t="s">
        <v>486</v>
      </c>
      <c r="D283" s="105" t="s">
        <v>31</v>
      </c>
      <c r="E283" s="105" t="s">
        <v>46</v>
      </c>
      <c r="F283" s="105" t="s">
        <v>782</v>
      </c>
      <c r="H283" s="105" t="s">
        <v>131</v>
      </c>
      <c r="J283" s="5">
        <v>89.6</v>
      </c>
      <c r="K283" s="107">
        <v>3.7666666666666671</v>
      </c>
      <c r="L283" s="5">
        <v>9.5</v>
      </c>
      <c r="M283" s="5">
        <v>0.7</v>
      </c>
      <c r="N283" s="5">
        <v>17</v>
      </c>
      <c r="O283" s="108">
        <v>0.5</v>
      </c>
      <c r="P283" s="5">
        <v>8.0000000000000004E-4</v>
      </c>
      <c r="Q283" s="107">
        <v>210</v>
      </c>
      <c r="R283" s="5">
        <v>19.5</v>
      </c>
      <c r="S283" s="5">
        <v>0.7</v>
      </c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</row>
    <row r="284" spans="1:42" x14ac:dyDescent="0.2">
      <c r="A284" s="104" t="s">
        <v>487</v>
      </c>
      <c r="B284" s="104" t="s">
        <v>488</v>
      </c>
      <c r="C284" s="105" t="s">
        <v>489</v>
      </c>
      <c r="D284" s="105" t="s">
        <v>31</v>
      </c>
      <c r="E284" s="105" t="s">
        <v>46</v>
      </c>
      <c r="F284" s="105" t="s">
        <v>782</v>
      </c>
      <c r="H284" s="105" t="s">
        <v>33</v>
      </c>
      <c r="J284" s="5">
        <v>87</v>
      </c>
      <c r="L284" s="5">
        <v>116</v>
      </c>
      <c r="M284" s="107">
        <v>3.2</v>
      </c>
      <c r="N284" s="108">
        <v>75</v>
      </c>
      <c r="O284" s="107">
        <v>0.6</v>
      </c>
      <c r="P284" s="108">
        <v>0.44500000000000001</v>
      </c>
      <c r="R284" s="5">
        <v>40.784999999999997</v>
      </c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</row>
    <row r="285" spans="1:42" x14ac:dyDescent="0.2">
      <c r="A285" s="21" t="s">
        <v>927</v>
      </c>
      <c r="B285" s="21" t="s">
        <v>928</v>
      </c>
      <c r="C285" s="22" t="s">
        <v>1003</v>
      </c>
      <c r="D285" s="22" t="s">
        <v>31</v>
      </c>
      <c r="E285" s="22" t="s">
        <v>46</v>
      </c>
      <c r="F285" s="110" t="s">
        <v>782</v>
      </c>
      <c r="G285" s="22"/>
      <c r="H285" s="22" t="s">
        <v>33</v>
      </c>
      <c r="J285" s="5">
        <v>84.5</v>
      </c>
      <c r="K285" s="107">
        <v>4.37</v>
      </c>
      <c r="L285" s="5">
        <v>130</v>
      </c>
      <c r="M285" s="109">
        <v>7.23</v>
      </c>
      <c r="N285" s="107">
        <v>160</v>
      </c>
      <c r="O285" s="107">
        <v>0.96</v>
      </c>
      <c r="Q285" s="107">
        <v>287</v>
      </c>
      <c r="R285" s="5">
        <v>22.4</v>
      </c>
      <c r="S285" s="5">
        <v>0.89</v>
      </c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</row>
    <row r="286" spans="1:42" x14ac:dyDescent="0.2">
      <c r="A286" s="104" t="s">
        <v>511</v>
      </c>
      <c r="B286" s="104" t="s">
        <v>430</v>
      </c>
      <c r="C286" s="105" t="s">
        <v>512</v>
      </c>
      <c r="D286" s="105" t="s">
        <v>31</v>
      </c>
      <c r="E286" s="105" t="s">
        <v>46</v>
      </c>
      <c r="F286" s="105" t="s">
        <v>885</v>
      </c>
      <c r="H286" s="105" t="s">
        <v>131</v>
      </c>
      <c r="J286" s="5">
        <v>95</v>
      </c>
      <c r="K286" s="5">
        <v>1.3</v>
      </c>
      <c r="L286" s="5">
        <v>103</v>
      </c>
      <c r="M286" s="5">
        <v>0.1</v>
      </c>
      <c r="R286" s="5">
        <v>32</v>
      </c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</row>
    <row r="287" spans="1:42" x14ac:dyDescent="0.2">
      <c r="A287" s="104" t="s">
        <v>515</v>
      </c>
      <c r="B287" s="104" t="s">
        <v>897</v>
      </c>
      <c r="C287" s="105" t="s">
        <v>897</v>
      </c>
      <c r="D287" s="105" t="s">
        <v>31</v>
      </c>
      <c r="E287" s="105" t="s">
        <v>46</v>
      </c>
      <c r="F287" s="105" t="s">
        <v>782</v>
      </c>
      <c r="H287" s="105" t="s">
        <v>28</v>
      </c>
      <c r="J287" s="5">
        <v>90.7</v>
      </c>
      <c r="K287" s="5">
        <v>1.32</v>
      </c>
      <c r="L287" s="5">
        <v>18</v>
      </c>
      <c r="M287" s="5">
        <v>0.51</v>
      </c>
      <c r="N287" s="5">
        <v>10</v>
      </c>
      <c r="O287" s="5">
        <v>7.0000000000000007E-2</v>
      </c>
      <c r="P287" s="5">
        <v>3.2000000000000001E-2</v>
      </c>
      <c r="Q287" s="5">
        <v>7.35</v>
      </c>
      <c r="R287" s="5">
        <v>23.4</v>
      </c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</row>
    <row r="288" spans="1:42" x14ac:dyDescent="0.2">
      <c r="A288" s="104" t="s">
        <v>515</v>
      </c>
      <c r="B288" s="104" t="s">
        <v>518</v>
      </c>
      <c r="C288" s="105" t="s">
        <v>519</v>
      </c>
      <c r="D288" s="105" t="s">
        <v>31</v>
      </c>
      <c r="E288" s="105" t="s">
        <v>46</v>
      </c>
      <c r="F288" s="105" t="s">
        <v>782</v>
      </c>
      <c r="H288" s="105" t="s">
        <v>28</v>
      </c>
      <c r="J288" s="5">
        <v>82.9</v>
      </c>
      <c r="K288" s="108">
        <v>3.3317333333333328</v>
      </c>
      <c r="L288" s="5">
        <v>13.60008</v>
      </c>
      <c r="M288" s="5">
        <v>1.1186799999999999</v>
      </c>
      <c r="N288" s="5">
        <v>19</v>
      </c>
      <c r="O288" s="5">
        <v>0.28000000000000003</v>
      </c>
      <c r="P288" s="5">
        <v>0.12029166666666666</v>
      </c>
      <c r="R288" s="5">
        <v>32.248325000000001</v>
      </c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</row>
    <row r="289" spans="1:42" x14ac:dyDescent="0.2">
      <c r="A289" s="104" t="s">
        <v>515</v>
      </c>
      <c r="B289" s="104" t="s">
        <v>79</v>
      </c>
      <c r="C289" s="105" t="s">
        <v>520</v>
      </c>
      <c r="D289" s="105" t="s">
        <v>31</v>
      </c>
      <c r="E289" s="105" t="s">
        <v>46</v>
      </c>
      <c r="F289" s="105" t="s">
        <v>782</v>
      </c>
      <c r="H289" s="105" t="s">
        <v>28</v>
      </c>
      <c r="K289" s="108">
        <v>2.8</v>
      </c>
      <c r="L289" s="5">
        <v>10</v>
      </c>
      <c r="M289" s="5">
        <v>0.9</v>
      </c>
      <c r="P289" s="5">
        <v>3.5999999999999997E-2</v>
      </c>
      <c r="R289" s="5">
        <v>11</v>
      </c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</row>
    <row r="290" spans="1:42" x14ac:dyDescent="0.2">
      <c r="A290" s="104" t="s">
        <v>521</v>
      </c>
      <c r="B290" s="104" t="s">
        <v>522</v>
      </c>
      <c r="C290" s="105" t="s">
        <v>523</v>
      </c>
      <c r="D290" s="105" t="s">
        <v>31</v>
      </c>
      <c r="E290" s="105" t="s">
        <v>46</v>
      </c>
      <c r="F290" s="105" t="s">
        <v>782</v>
      </c>
      <c r="H290" s="105" t="s">
        <v>33</v>
      </c>
      <c r="J290" s="5">
        <v>70</v>
      </c>
      <c r="K290" s="107">
        <v>4.6055000000000001</v>
      </c>
      <c r="L290" s="107">
        <v>601.00250000000005</v>
      </c>
      <c r="M290" s="109">
        <v>7.5945000000000009</v>
      </c>
      <c r="P290" s="108">
        <v>0.4408333333333333</v>
      </c>
      <c r="R290" s="5">
        <v>10.004000000000001</v>
      </c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</row>
    <row r="291" spans="1:42" x14ac:dyDescent="0.2">
      <c r="A291" s="104" t="s">
        <v>527</v>
      </c>
      <c r="B291" s="104" t="s">
        <v>528</v>
      </c>
      <c r="C291" s="105" t="s">
        <v>529</v>
      </c>
      <c r="D291" s="105" t="s">
        <v>31</v>
      </c>
      <c r="E291" s="105" t="s">
        <v>46</v>
      </c>
      <c r="F291" s="105" t="s">
        <v>782</v>
      </c>
      <c r="H291" s="105" t="s">
        <v>33</v>
      </c>
      <c r="J291" s="5">
        <v>82.100000000000009</v>
      </c>
      <c r="L291" s="107">
        <v>259.99706666666668</v>
      </c>
      <c r="M291" s="107">
        <v>2.2363333333333335</v>
      </c>
      <c r="P291" s="5">
        <v>0.21</v>
      </c>
      <c r="R291" s="5">
        <v>34.666000000000004</v>
      </c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</row>
    <row r="292" spans="1:42" x14ac:dyDescent="0.2">
      <c r="A292" s="104" t="s">
        <v>530</v>
      </c>
      <c r="B292" s="104" t="s">
        <v>203</v>
      </c>
      <c r="C292" s="105" t="s">
        <v>531</v>
      </c>
      <c r="D292" s="105" t="s">
        <v>31</v>
      </c>
      <c r="E292" s="105" t="s">
        <v>46</v>
      </c>
      <c r="F292" s="105" t="s">
        <v>782</v>
      </c>
      <c r="H292" s="105" t="s">
        <v>33</v>
      </c>
      <c r="J292" s="5">
        <v>86</v>
      </c>
      <c r="L292" s="5">
        <v>152.5</v>
      </c>
      <c r="M292" s="109">
        <v>5.8</v>
      </c>
      <c r="P292" s="5">
        <v>0.19900000000000001</v>
      </c>
      <c r="R292" s="5">
        <v>19</v>
      </c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</row>
    <row r="293" spans="1:42" x14ac:dyDescent="0.2">
      <c r="A293" s="104" t="s">
        <v>532</v>
      </c>
      <c r="B293" s="104" t="s">
        <v>533</v>
      </c>
      <c r="C293" s="105" t="s">
        <v>534</v>
      </c>
      <c r="D293" s="105" t="s">
        <v>31</v>
      </c>
      <c r="E293" s="105" t="s">
        <v>46</v>
      </c>
      <c r="F293" s="105" t="s">
        <v>782</v>
      </c>
      <c r="H293" s="105" t="s">
        <v>33</v>
      </c>
      <c r="J293" s="5">
        <v>85</v>
      </c>
      <c r="K293" s="5" t="s">
        <v>0</v>
      </c>
      <c r="L293" s="5">
        <v>111</v>
      </c>
      <c r="M293" s="107">
        <v>3.15</v>
      </c>
      <c r="N293" s="5">
        <v>61.5</v>
      </c>
      <c r="O293" s="109">
        <v>1.2</v>
      </c>
      <c r="P293" s="5">
        <v>0</v>
      </c>
      <c r="R293" s="107">
        <v>167.5</v>
      </c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</row>
    <row r="294" spans="1:42" x14ac:dyDescent="0.2">
      <c r="A294" s="104" t="s">
        <v>551</v>
      </c>
      <c r="B294" s="104" t="s">
        <v>1087</v>
      </c>
      <c r="C294" s="105" t="s">
        <v>552</v>
      </c>
      <c r="D294" s="105" t="s">
        <v>31</v>
      </c>
      <c r="E294" s="105" t="s">
        <v>46</v>
      </c>
      <c r="F294" s="105" t="s">
        <v>782</v>
      </c>
      <c r="H294" s="105" t="s">
        <v>91</v>
      </c>
      <c r="J294" s="5">
        <v>93.666666666666671</v>
      </c>
      <c r="K294" s="5">
        <v>1.141966666666667</v>
      </c>
      <c r="L294" s="5">
        <v>89.599960000000038</v>
      </c>
      <c r="M294" s="5">
        <v>0.67120000000000013</v>
      </c>
      <c r="N294" s="5">
        <v>16</v>
      </c>
      <c r="P294" s="5">
        <v>4.1666666666666666E-3</v>
      </c>
      <c r="Q294" s="5">
        <v>2.5000000000000001E-3</v>
      </c>
      <c r="R294" s="5">
        <v>11.000850000000007</v>
      </c>
      <c r="S294" s="5">
        <v>0.25</v>
      </c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</row>
    <row r="295" spans="1:42" x14ac:dyDescent="0.2">
      <c r="A295" s="104" t="s">
        <v>551</v>
      </c>
      <c r="B295" s="104" t="s">
        <v>465</v>
      </c>
      <c r="C295" s="105" t="s">
        <v>552</v>
      </c>
      <c r="D295" s="105" t="s">
        <v>31</v>
      </c>
      <c r="E295" s="105" t="s">
        <v>46</v>
      </c>
      <c r="F295" s="105" t="s">
        <v>782</v>
      </c>
      <c r="H295" s="105" t="s">
        <v>91</v>
      </c>
      <c r="J295" s="5">
        <v>95</v>
      </c>
      <c r="K295" s="5">
        <v>0.69870000000000076</v>
      </c>
      <c r="L295" s="5">
        <v>51.000000000000043</v>
      </c>
      <c r="M295" s="5">
        <v>0.49980000000000047</v>
      </c>
      <c r="R295" s="5">
        <v>10.001100000000008</v>
      </c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</row>
    <row r="296" spans="1:42" x14ac:dyDescent="0.2">
      <c r="A296" s="104" t="s">
        <v>553</v>
      </c>
      <c r="B296" s="104" t="s">
        <v>556</v>
      </c>
      <c r="C296" s="105" t="s">
        <v>557</v>
      </c>
      <c r="D296" s="105" t="s">
        <v>31</v>
      </c>
      <c r="E296" s="105" t="s">
        <v>46</v>
      </c>
      <c r="F296" s="105" t="s">
        <v>782</v>
      </c>
      <c r="H296" s="105" t="s">
        <v>33</v>
      </c>
      <c r="J296" s="5">
        <v>88</v>
      </c>
      <c r="K296" s="5">
        <v>1.1000000000000001</v>
      </c>
      <c r="L296" s="5">
        <v>57</v>
      </c>
      <c r="M296" s="107">
        <v>2.2999999999999998</v>
      </c>
      <c r="N296" s="5">
        <v>31</v>
      </c>
      <c r="O296" s="109">
        <v>1.2</v>
      </c>
      <c r="P296" s="5">
        <v>0.28000000000000003</v>
      </c>
      <c r="R296" s="5">
        <v>33.5</v>
      </c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</row>
    <row r="297" spans="1:42" x14ac:dyDescent="0.2">
      <c r="A297" s="104" t="s">
        <v>553</v>
      </c>
      <c r="B297" s="104" t="s">
        <v>554</v>
      </c>
      <c r="C297" s="105" t="s">
        <v>555</v>
      </c>
      <c r="D297" s="105" t="s">
        <v>31</v>
      </c>
      <c r="E297" s="105" t="s">
        <v>46</v>
      </c>
      <c r="F297" s="105" t="s">
        <v>782</v>
      </c>
      <c r="H297" s="105" t="s">
        <v>33</v>
      </c>
      <c r="J297" s="5">
        <v>91</v>
      </c>
      <c r="K297" s="5">
        <v>1.0925</v>
      </c>
      <c r="L297" s="5">
        <v>53.75</v>
      </c>
      <c r="M297" s="5">
        <v>1.3149999999999999</v>
      </c>
      <c r="N297" s="108">
        <v>68</v>
      </c>
      <c r="O297" s="5">
        <v>0.41333333333333333</v>
      </c>
      <c r="P297" s="5">
        <v>0.13443891652846876</v>
      </c>
      <c r="Q297" s="5">
        <v>16</v>
      </c>
      <c r="R297" s="5">
        <v>53.75</v>
      </c>
      <c r="S297" s="5">
        <v>0.8</v>
      </c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</row>
    <row r="298" spans="1:42" x14ac:dyDescent="0.2">
      <c r="A298" s="104" t="s">
        <v>553</v>
      </c>
      <c r="B298" s="104" t="s">
        <v>562</v>
      </c>
      <c r="C298" s="105" t="s">
        <v>563</v>
      </c>
      <c r="D298" s="105" t="s">
        <v>31</v>
      </c>
      <c r="E298" s="105" t="s">
        <v>46</v>
      </c>
      <c r="F298" s="105" t="s">
        <v>782</v>
      </c>
      <c r="H298" s="105" t="s">
        <v>33</v>
      </c>
      <c r="R298" s="5">
        <v>25.4</v>
      </c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</row>
    <row r="299" spans="1:42" x14ac:dyDescent="0.2">
      <c r="A299" s="104" t="s">
        <v>559</v>
      </c>
      <c r="B299" s="104" t="s">
        <v>558</v>
      </c>
      <c r="C299" s="105" t="s">
        <v>560</v>
      </c>
      <c r="D299" s="105" t="s">
        <v>31</v>
      </c>
      <c r="E299" s="105" t="s">
        <v>46</v>
      </c>
      <c r="F299" s="105" t="s">
        <v>782</v>
      </c>
      <c r="H299" s="105" t="s">
        <v>561</v>
      </c>
      <c r="J299" s="5">
        <v>89.85</v>
      </c>
      <c r="K299" s="5">
        <v>1.1000000000000001</v>
      </c>
      <c r="L299" s="5">
        <v>2</v>
      </c>
      <c r="M299" s="5">
        <v>0.8</v>
      </c>
      <c r="P299" s="107">
        <v>0.59499999999999997</v>
      </c>
      <c r="R299" s="5">
        <v>68</v>
      </c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</row>
    <row r="300" spans="1:42" x14ac:dyDescent="0.2">
      <c r="A300" s="104" t="s">
        <v>564</v>
      </c>
      <c r="B300" s="104" t="s">
        <v>565</v>
      </c>
      <c r="C300" s="105" t="s">
        <v>566</v>
      </c>
      <c r="D300" s="105" t="s">
        <v>31</v>
      </c>
      <c r="E300" s="105" t="s">
        <v>46</v>
      </c>
      <c r="F300" s="105" t="s">
        <v>782</v>
      </c>
      <c r="H300" s="105" t="s">
        <v>33</v>
      </c>
      <c r="J300" s="5">
        <v>87.9</v>
      </c>
      <c r="L300" s="107">
        <v>272</v>
      </c>
      <c r="M300" s="5">
        <v>0.4</v>
      </c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</row>
    <row r="301" spans="1:42" x14ac:dyDescent="0.2">
      <c r="A301" s="104" t="s">
        <v>569</v>
      </c>
      <c r="B301" s="104" t="s">
        <v>568</v>
      </c>
      <c r="C301" s="105" t="s">
        <v>570</v>
      </c>
      <c r="D301" s="105" t="s">
        <v>31</v>
      </c>
      <c r="E301" s="105" t="s">
        <v>46</v>
      </c>
      <c r="F301" s="105" t="s">
        <v>885</v>
      </c>
      <c r="H301" s="105" t="s">
        <v>166</v>
      </c>
      <c r="J301" s="5">
        <v>89</v>
      </c>
      <c r="K301" s="5">
        <v>1.6666666666666667</v>
      </c>
      <c r="L301" s="5">
        <v>7</v>
      </c>
      <c r="M301" s="109">
        <v>9.32</v>
      </c>
      <c r="N301" s="5">
        <v>48</v>
      </c>
      <c r="O301" s="107">
        <v>1.1000000000000001</v>
      </c>
      <c r="R301" s="5">
        <v>18.666666666666668</v>
      </c>
      <c r="S301" s="108">
        <v>1.8</v>
      </c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</row>
    <row r="302" spans="1:42" x14ac:dyDescent="0.2">
      <c r="A302" s="104" t="s">
        <v>571</v>
      </c>
      <c r="B302" s="104" t="s">
        <v>572</v>
      </c>
      <c r="C302" s="105" t="s">
        <v>573</v>
      </c>
      <c r="D302" s="105" t="s">
        <v>31</v>
      </c>
      <c r="E302" s="105" t="s">
        <v>46</v>
      </c>
      <c r="F302" s="105" t="s">
        <v>782</v>
      </c>
      <c r="G302" s="105" t="s">
        <v>71</v>
      </c>
      <c r="H302" s="105" t="s">
        <v>33</v>
      </c>
      <c r="L302" s="5">
        <v>6.5</v>
      </c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</row>
    <row r="303" spans="1:42" x14ac:dyDescent="0.2">
      <c r="A303" s="104" t="s">
        <v>583</v>
      </c>
      <c r="B303" s="104" t="s">
        <v>584</v>
      </c>
      <c r="C303" s="105" t="s">
        <v>585</v>
      </c>
      <c r="D303" s="105" t="s">
        <v>31</v>
      </c>
      <c r="E303" s="105" t="s">
        <v>46</v>
      </c>
      <c r="F303" s="105" t="s">
        <v>782</v>
      </c>
      <c r="H303" s="105" t="s">
        <v>33</v>
      </c>
      <c r="J303" s="5">
        <v>89</v>
      </c>
      <c r="K303" s="5">
        <v>0.7</v>
      </c>
      <c r="L303" s="5">
        <v>132</v>
      </c>
      <c r="M303" s="5">
        <v>0.6</v>
      </c>
      <c r="P303" s="5">
        <v>0.25900000000000001</v>
      </c>
      <c r="R303" s="5">
        <v>64</v>
      </c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</row>
    <row r="304" spans="1:42" x14ac:dyDescent="0.2">
      <c r="A304" s="104" t="s">
        <v>595</v>
      </c>
      <c r="B304" s="104" t="s">
        <v>596</v>
      </c>
      <c r="C304" s="105" t="s">
        <v>597</v>
      </c>
      <c r="D304" s="105" t="s">
        <v>31</v>
      </c>
      <c r="E304" s="105" t="s">
        <v>46</v>
      </c>
      <c r="F304" s="105" t="s">
        <v>782</v>
      </c>
      <c r="H304" s="105" t="s">
        <v>33</v>
      </c>
      <c r="K304" s="5">
        <v>0.80299999999999994</v>
      </c>
      <c r="L304" s="5">
        <v>68.001999999999995</v>
      </c>
      <c r="M304" s="109">
        <v>6.302999999999999</v>
      </c>
      <c r="P304" s="5">
        <v>0.15416666666666665</v>
      </c>
      <c r="R304" s="5">
        <v>27.004999999999995</v>
      </c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</row>
    <row r="305" spans="1:42" x14ac:dyDescent="0.2">
      <c r="A305" s="104" t="s">
        <v>706</v>
      </c>
      <c r="B305" s="104" t="s">
        <v>146</v>
      </c>
      <c r="C305" s="105" t="s">
        <v>707</v>
      </c>
      <c r="D305" s="105" t="s">
        <v>31</v>
      </c>
      <c r="E305" s="105" t="s">
        <v>46</v>
      </c>
      <c r="F305" s="105" t="s">
        <v>782</v>
      </c>
      <c r="H305" s="105" t="s">
        <v>33</v>
      </c>
      <c r="J305" s="5">
        <v>85.9</v>
      </c>
      <c r="K305" s="107">
        <v>4.3600000000000003</v>
      </c>
      <c r="L305" s="5">
        <v>160</v>
      </c>
      <c r="M305" s="108">
        <v>1.93</v>
      </c>
      <c r="N305" s="5">
        <v>50.4</v>
      </c>
      <c r="O305" s="5">
        <v>0.40800000000000003</v>
      </c>
      <c r="P305" s="107">
        <v>0.81</v>
      </c>
      <c r="Q305" s="107">
        <v>267</v>
      </c>
      <c r="R305" s="5">
        <v>25.5</v>
      </c>
      <c r="S305" s="109">
        <v>11.32</v>
      </c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</row>
    <row r="306" spans="1:42" x14ac:dyDescent="0.2">
      <c r="A306" s="104" t="s">
        <v>601</v>
      </c>
      <c r="B306" s="104" t="s">
        <v>612</v>
      </c>
      <c r="C306" s="105" t="s">
        <v>613</v>
      </c>
      <c r="D306" s="105" t="s">
        <v>31</v>
      </c>
      <c r="E306" s="105" t="s">
        <v>46</v>
      </c>
      <c r="F306" s="105" t="s">
        <v>782</v>
      </c>
      <c r="H306" s="105" t="s">
        <v>28</v>
      </c>
      <c r="K306" s="108">
        <v>2.9</v>
      </c>
      <c r="L306" s="5">
        <v>28</v>
      </c>
      <c r="M306" s="5">
        <v>0.92</v>
      </c>
      <c r="P306" s="5">
        <v>3.150912106135987E-2</v>
      </c>
      <c r="R306" s="5">
        <v>11</v>
      </c>
      <c r="S306" s="5">
        <v>0.41</v>
      </c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</row>
    <row r="307" spans="1:42" x14ac:dyDescent="0.2">
      <c r="A307" s="104" t="s">
        <v>606</v>
      </c>
      <c r="B307" s="104" t="s">
        <v>609</v>
      </c>
      <c r="C307" s="105" t="s">
        <v>610</v>
      </c>
      <c r="D307" s="105" t="s">
        <v>31</v>
      </c>
      <c r="E307" s="105" t="s">
        <v>46</v>
      </c>
      <c r="F307" s="105" t="s">
        <v>782</v>
      </c>
      <c r="H307" s="105" t="s">
        <v>28</v>
      </c>
      <c r="J307" s="5">
        <v>76.283333333333317</v>
      </c>
      <c r="K307" s="5">
        <v>0.66666666666666663</v>
      </c>
      <c r="L307" s="5">
        <v>94</v>
      </c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</row>
    <row r="308" spans="1:42" x14ac:dyDescent="0.2">
      <c r="A308" s="104" t="s">
        <v>606</v>
      </c>
      <c r="B308" s="104" t="s">
        <v>611</v>
      </c>
      <c r="C308" s="105" t="s">
        <v>608</v>
      </c>
      <c r="D308" s="105" t="s">
        <v>31</v>
      </c>
      <c r="E308" s="105" t="s">
        <v>46</v>
      </c>
      <c r="F308" s="105" t="s">
        <v>782</v>
      </c>
      <c r="H308" s="105" t="s">
        <v>28</v>
      </c>
      <c r="J308" s="5">
        <v>86</v>
      </c>
      <c r="K308" s="5">
        <v>1.8</v>
      </c>
      <c r="L308" s="5">
        <v>35</v>
      </c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</row>
    <row r="309" spans="1:42" x14ac:dyDescent="0.2">
      <c r="A309" s="104" t="s">
        <v>606</v>
      </c>
      <c r="B309" s="104" t="s">
        <v>607</v>
      </c>
      <c r="C309" s="105" t="s">
        <v>608</v>
      </c>
      <c r="D309" s="105" t="s">
        <v>31</v>
      </c>
      <c r="E309" s="105" t="s">
        <v>46</v>
      </c>
      <c r="F309" s="105" t="s">
        <v>782</v>
      </c>
      <c r="H309" s="105" t="s">
        <v>28</v>
      </c>
      <c r="J309" s="5">
        <v>61.2</v>
      </c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</row>
    <row r="310" spans="1:42" x14ac:dyDescent="0.2">
      <c r="A310" s="104" t="s">
        <v>895</v>
      </c>
      <c r="B310" s="104" t="s">
        <v>894</v>
      </c>
      <c r="C310" s="105" t="s">
        <v>896</v>
      </c>
      <c r="D310" s="105" t="s">
        <v>31</v>
      </c>
      <c r="E310" s="105" t="s">
        <v>46</v>
      </c>
      <c r="F310" s="105" t="s">
        <v>782</v>
      </c>
      <c r="H310" s="105" t="s">
        <v>33</v>
      </c>
      <c r="J310" s="5">
        <v>90.7</v>
      </c>
      <c r="K310" s="5">
        <v>1.32</v>
      </c>
      <c r="L310" s="5">
        <v>18</v>
      </c>
      <c r="M310" s="5">
        <v>0.51</v>
      </c>
      <c r="N310" s="5">
        <v>10</v>
      </c>
      <c r="O310" s="5">
        <v>7.0000000000000007E-2</v>
      </c>
      <c r="P310" s="5">
        <v>3.2000000000000001E-2</v>
      </c>
      <c r="Q310" s="5">
        <v>7.35</v>
      </c>
      <c r="R310" s="5">
        <v>23.4</v>
      </c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</row>
    <row r="311" spans="1:42" x14ac:dyDescent="0.2">
      <c r="A311" s="104" t="s">
        <v>635</v>
      </c>
      <c r="B311" s="104" t="s">
        <v>638</v>
      </c>
      <c r="C311" s="105" t="s">
        <v>639</v>
      </c>
      <c r="D311" s="105" t="s">
        <v>31</v>
      </c>
      <c r="E311" s="105" t="s">
        <v>46</v>
      </c>
      <c r="F311" s="105" t="s">
        <v>782</v>
      </c>
      <c r="H311" s="105" t="s">
        <v>33</v>
      </c>
      <c r="J311" s="5">
        <v>90.86</v>
      </c>
      <c r="K311" s="5">
        <v>0.80013333333333314</v>
      </c>
      <c r="L311" s="5">
        <v>99.714799999999983</v>
      </c>
      <c r="M311" s="107">
        <v>3.2777199999999995</v>
      </c>
      <c r="P311" s="108">
        <v>0.54560530679933661</v>
      </c>
      <c r="R311" s="5">
        <v>39.540316666666662</v>
      </c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</row>
    <row r="312" spans="1:42" x14ac:dyDescent="0.2">
      <c r="A312" s="104" t="s">
        <v>635</v>
      </c>
      <c r="B312" s="104" t="s">
        <v>636</v>
      </c>
      <c r="C312" s="105" t="s">
        <v>637</v>
      </c>
      <c r="D312" s="105" t="s">
        <v>31</v>
      </c>
      <c r="E312" s="105" t="s">
        <v>46</v>
      </c>
      <c r="F312" s="105" t="s">
        <v>782</v>
      </c>
      <c r="H312" s="105" t="s">
        <v>33</v>
      </c>
      <c r="K312" s="5">
        <v>0.76</v>
      </c>
      <c r="L312" s="5">
        <v>72</v>
      </c>
      <c r="M312" s="5">
        <v>0.94</v>
      </c>
      <c r="O312" s="5">
        <v>0.14000000000000001</v>
      </c>
      <c r="P312" s="5">
        <v>0.12437810945273631</v>
      </c>
      <c r="R312" s="5">
        <v>26</v>
      </c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</row>
    <row r="313" spans="1:42" x14ac:dyDescent="0.2">
      <c r="A313" s="104" t="s">
        <v>640</v>
      </c>
      <c r="B313" s="104" t="s">
        <v>641</v>
      </c>
      <c r="C313" s="105" t="s">
        <v>642</v>
      </c>
      <c r="D313" s="105" t="s">
        <v>31</v>
      </c>
      <c r="E313" s="105" t="s">
        <v>46</v>
      </c>
      <c r="F313" s="105" t="s">
        <v>782</v>
      </c>
      <c r="H313" s="105" t="s">
        <v>166</v>
      </c>
      <c r="J313" s="5">
        <v>85</v>
      </c>
      <c r="K313" s="5">
        <v>1.6</v>
      </c>
      <c r="L313" s="5">
        <v>2.9</v>
      </c>
      <c r="M313" s="107">
        <v>4.0999999999999996</v>
      </c>
      <c r="O313" s="5" t="s">
        <v>0</v>
      </c>
      <c r="P313" s="107">
        <v>0.7</v>
      </c>
      <c r="R313" s="5">
        <v>35</v>
      </c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</row>
    <row r="314" spans="1:42" x14ac:dyDescent="0.2">
      <c r="A314" s="104" t="s">
        <v>640</v>
      </c>
      <c r="B314" s="104" t="s">
        <v>641</v>
      </c>
      <c r="C314" s="105" t="s">
        <v>642</v>
      </c>
      <c r="D314" s="105" t="s">
        <v>31</v>
      </c>
      <c r="E314" s="105" t="s">
        <v>46</v>
      </c>
      <c r="F314" s="105" t="s">
        <v>782</v>
      </c>
      <c r="H314" s="105" t="s">
        <v>33</v>
      </c>
      <c r="J314" s="5">
        <v>87.45714285714287</v>
      </c>
      <c r="K314" s="5">
        <v>1.8804571428571428</v>
      </c>
      <c r="L314" s="108">
        <v>201.21449999999999</v>
      </c>
      <c r="M314" s="107">
        <v>3.1471666666666667</v>
      </c>
      <c r="N314" s="5">
        <v>32.25</v>
      </c>
      <c r="O314" s="108">
        <v>0.42879999999999996</v>
      </c>
      <c r="P314" s="107">
        <v>0.60051122512437805</v>
      </c>
      <c r="Q314" s="5">
        <v>20.5</v>
      </c>
      <c r="R314" s="5">
        <v>46.024924999999996</v>
      </c>
      <c r="S314" s="107">
        <v>3.085</v>
      </c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</row>
    <row r="315" spans="1:42" x14ac:dyDescent="0.2">
      <c r="A315" s="104" t="s">
        <v>655</v>
      </c>
      <c r="B315" s="104" t="s">
        <v>656</v>
      </c>
      <c r="C315" s="105" t="s">
        <v>883</v>
      </c>
      <c r="D315" s="105" t="s">
        <v>31</v>
      </c>
      <c r="E315" s="105" t="s">
        <v>46</v>
      </c>
      <c r="F315" s="105" t="s">
        <v>782</v>
      </c>
      <c r="H315" s="105" t="s">
        <v>33</v>
      </c>
      <c r="J315" s="5">
        <v>84.9</v>
      </c>
      <c r="K315" s="5">
        <v>0.5</v>
      </c>
      <c r="L315" s="108">
        <v>165</v>
      </c>
      <c r="M315" s="107">
        <v>4.2</v>
      </c>
      <c r="N315" s="5">
        <v>56.7</v>
      </c>
      <c r="R315" s="108">
        <v>96.2</v>
      </c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</row>
    <row r="316" spans="1:42" x14ac:dyDescent="0.2">
      <c r="A316" s="104" t="s">
        <v>661</v>
      </c>
      <c r="B316" s="104" t="s">
        <v>572</v>
      </c>
      <c r="C316" s="105" t="s">
        <v>663</v>
      </c>
      <c r="D316" s="105" t="s">
        <v>31</v>
      </c>
      <c r="E316" s="105" t="s">
        <v>46</v>
      </c>
      <c r="F316" s="105" t="s">
        <v>782</v>
      </c>
      <c r="G316" s="105" t="s">
        <v>71</v>
      </c>
      <c r="H316" s="105" t="s">
        <v>131</v>
      </c>
      <c r="J316" s="5">
        <v>88.55</v>
      </c>
      <c r="K316" s="107">
        <v>5.0999999999999996</v>
      </c>
      <c r="L316" s="5">
        <v>79.333333333333329</v>
      </c>
      <c r="M316" s="5">
        <v>0.80499999999999994</v>
      </c>
      <c r="N316" s="108">
        <v>63</v>
      </c>
      <c r="O316" s="5">
        <v>0.245</v>
      </c>
      <c r="Q316" s="5">
        <v>10.8</v>
      </c>
      <c r="R316" s="5">
        <v>1</v>
      </c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</row>
    <row r="317" spans="1:42" x14ac:dyDescent="0.2">
      <c r="A317" s="104" t="s">
        <v>661</v>
      </c>
      <c r="B317" s="104" t="s">
        <v>662</v>
      </c>
      <c r="C317" s="105" t="s">
        <v>663</v>
      </c>
      <c r="D317" s="105" t="s">
        <v>31</v>
      </c>
      <c r="E317" s="105" t="s">
        <v>46</v>
      </c>
      <c r="F317" s="105" t="s">
        <v>782</v>
      </c>
      <c r="G317" s="105" t="s">
        <v>71</v>
      </c>
      <c r="H317" s="105" t="s">
        <v>131</v>
      </c>
      <c r="J317" s="5">
        <v>92.65</v>
      </c>
      <c r="K317" s="107">
        <v>4.5</v>
      </c>
      <c r="L317" s="5">
        <v>54</v>
      </c>
      <c r="M317" s="5">
        <v>0.91</v>
      </c>
      <c r="N317" s="108">
        <v>63</v>
      </c>
      <c r="O317" s="5">
        <v>0.24</v>
      </c>
      <c r="P317" s="5">
        <v>5.5000000000000003E-4</v>
      </c>
      <c r="R317" s="5">
        <v>0.7</v>
      </c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</row>
    <row r="318" spans="1:42" x14ac:dyDescent="0.2">
      <c r="A318" s="104" t="s">
        <v>661</v>
      </c>
      <c r="B318" s="104" t="s">
        <v>130</v>
      </c>
      <c r="C318" s="105" t="s">
        <v>663</v>
      </c>
      <c r="D318" s="105" t="s">
        <v>31</v>
      </c>
      <c r="E318" s="105" t="s">
        <v>46</v>
      </c>
      <c r="F318" s="105" t="s">
        <v>782</v>
      </c>
      <c r="G318" s="105" t="s">
        <v>71</v>
      </c>
      <c r="H318" s="105" t="s">
        <v>131</v>
      </c>
      <c r="J318" s="5">
        <v>95</v>
      </c>
      <c r="K318" s="5">
        <v>0.9</v>
      </c>
      <c r="L318" s="5">
        <v>53</v>
      </c>
      <c r="M318" s="5">
        <v>0.2</v>
      </c>
      <c r="P318" s="5">
        <v>0</v>
      </c>
      <c r="R318" s="5">
        <v>6</v>
      </c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</row>
    <row r="319" spans="1:42" x14ac:dyDescent="0.2">
      <c r="A319" s="104" t="s">
        <v>666</v>
      </c>
      <c r="B319" s="104" t="s">
        <v>446</v>
      </c>
      <c r="C319" s="105" t="s">
        <v>667</v>
      </c>
      <c r="D319" s="105" t="s">
        <v>31</v>
      </c>
      <c r="E319" s="105" t="s">
        <v>46</v>
      </c>
      <c r="F319" s="105" t="s">
        <v>782</v>
      </c>
      <c r="H319" s="105" t="s">
        <v>33</v>
      </c>
      <c r="J319" s="5">
        <v>86.373999999999995</v>
      </c>
      <c r="K319" s="108">
        <v>2.8616666666666664</v>
      </c>
      <c r="L319" s="107">
        <v>454.85714285714283</v>
      </c>
      <c r="M319" s="107">
        <v>3.9859999999999998</v>
      </c>
      <c r="N319" s="108">
        <v>75.585714285714289</v>
      </c>
      <c r="O319" s="109">
        <v>1.4964999999999999</v>
      </c>
      <c r="P319" s="5">
        <v>0.18280555555555555</v>
      </c>
      <c r="Q319" s="5">
        <v>14</v>
      </c>
      <c r="R319" s="107">
        <v>208.45999999999998</v>
      </c>
      <c r="S319" s="109">
        <v>14.4</v>
      </c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</row>
    <row r="320" spans="1:42" x14ac:dyDescent="0.2">
      <c r="A320" s="21" t="s">
        <v>918</v>
      </c>
      <c r="B320" s="21" t="s">
        <v>919</v>
      </c>
      <c r="C320" s="110" t="s">
        <v>920</v>
      </c>
      <c r="D320" s="22" t="s">
        <v>31</v>
      </c>
      <c r="E320" s="22" t="s">
        <v>46</v>
      </c>
      <c r="F320" s="22" t="s">
        <v>782</v>
      </c>
      <c r="G320" s="22"/>
      <c r="H320" s="22" t="s">
        <v>187</v>
      </c>
      <c r="L320" s="5">
        <v>15</v>
      </c>
      <c r="M320" s="109">
        <v>39</v>
      </c>
      <c r="N320" s="5">
        <v>9</v>
      </c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</row>
    <row r="321" spans="1:42" x14ac:dyDescent="0.2">
      <c r="A321" s="104" t="s">
        <v>684</v>
      </c>
      <c r="B321" s="104" t="s">
        <v>686</v>
      </c>
      <c r="C321" s="105" t="s">
        <v>687</v>
      </c>
      <c r="D321" s="105" t="s">
        <v>31</v>
      </c>
      <c r="E321" s="105" t="s">
        <v>46</v>
      </c>
      <c r="F321" s="105" t="s">
        <v>782</v>
      </c>
      <c r="H321" s="105" t="s">
        <v>33</v>
      </c>
      <c r="J321" s="5">
        <v>88.86666666666666</v>
      </c>
      <c r="K321" s="108">
        <v>2.5438999999999998</v>
      </c>
      <c r="L321" s="108">
        <v>216.83333333333334</v>
      </c>
      <c r="M321" s="107">
        <v>2.46</v>
      </c>
      <c r="N321" s="108">
        <v>70.666666666666671</v>
      </c>
      <c r="O321" s="5">
        <v>0.41</v>
      </c>
      <c r="R321" s="5">
        <v>30.633333333333336</v>
      </c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</row>
    <row r="322" spans="1:42" x14ac:dyDescent="0.2">
      <c r="A322" s="104" t="s">
        <v>684</v>
      </c>
      <c r="B322" s="104" t="s">
        <v>686</v>
      </c>
      <c r="C322" s="105" t="s">
        <v>687</v>
      </c>
      <c r="D322" s="105" t="s">
        <v>31</v>
      </c>
      <c r="E322" s="105" t="s">
        <v>46</v>
      </c>
      <c r="F322" s="105" t="s">
        <v>782</v>
      </c>
      <c r="H322" s="105" t="s">
        <v>131</v>
      </c>
      <c r="J322" s="5">
        <v>89.75</v>
      </c>
      <c r="K322" s="5">
        <v>1.7470000000000001</v>
      </c>
      <c r="L322" s="5">
        <v>26.857250000000001</v>
      </c>
      <c r="M322" s="5">
        <v>0.28125</v>
      </c>
      <c r="P322" s="5">
        <v>0.14291666666666666</v>
      </c>
      <c r="R322" s="5">
        <v>25.681249999999999</v>
      </c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</row>
    <row r="323" spans="1:42" x14ac:dyDescent="0.2">
      <c r="A323" s="104" t="s">
        <v>692</v>
      </c>
      <c r="B323" s="104" t="s">
        <v>693</v>
      </c>
      <c r="C323" s="105" t="s">
        <v>694</v>
      </c>
      <c r="D323" s="105" t="s">
        <v>31</v>
      </c>
      <c r="E323" s="105" t="s">
        <v>46</v>
      </c>
      <c r="F323" s="105" t="s">
        <v>782</v>
      </c>
      <c r="H323" s="105" t="s">
        <v>166</v>
      </c>
      <c r="J323" s="5">
        <v>94.8</v>
      </c>
      <c r="K323" s="5">
        <v>1.8997000000000006</v>
      </c>
      <c r="L323" s="5">
        <v>29.001000000000015</v>
      </c>
      <c r="M323" s="5">
        <v>0.5487000000000003</v>
      </c>
      <c r="N323" s="5">
        <v>30</v>
      </c>
      <c r="O323" s="5">
        <v>0.4</v>
      </c>
      <c r="P323" s="5">
        <v>1.25E-3</v>
      </c>
      <c r="Q323" s="5">
        <v>25</v>
      </c>
      <c r="R323" s="5">
        <v>3.4998000000000022</v>
      </c>
      <c r="S323" s="5">
        <v>1.4</v>
      </c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</row>
    <row r="324" spans="1:42" x14ac:dyDescent="0.2">
      <c r="A324" s="104" t="s">
        <v>692</v>
      </c>
      <c r="B324" s="104" t="s">
        <v>693</v>
      </c>
      <c r="C324" s="105" t="s">
        <v>694</v>
      </c>
      <c r="D324" s="105" t="s">
        <v>31</v>
      </c>
      <c r="E324" s="105" t="s">
        <v>46</v>
      </c>
      <c r="F324" s="105" t="s">
        <v>782</v>
      </c>
      <c r="H324" s="105" t="s">
        <v>131</v>
      </c>
      <c r="J324" s="5">
        <v>97.1</v>
      </c>
      <c r="K324" s="5">
        <v>1.1000000000000001</v>
      </c>
      <c r="L324" s="5">
        <v>11</v>
      </c>
      <c r="M324" s="5">
        <v>0.3</v>
      </c>
      <c r="N324" s="5">
        <v>7</v>
      </c>
      <c r="O324" s="5">
        <v>0.3</v>
      </c>
      <c r="Q324" s="5">
        <v>13</v>
      </c>
      <c r="R324" s="5">
        <v>1</v>
      </c>
      <c r="S324" s="5">
        <v>0.4</v>
      </c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</row>
    <row r="325" spans="1:42" x14ac:dyDescent="0.2">
      <c r="A325" s="104" t="s">
        <v>695</v>
      </c>
      <c r="B325" s="104" t="s">
        <v>572</v>
      </c>
      <c r="C325" s="105" t="s">
        <v>696</v>
      </c>
      <c r="D325" s="105" t="s">
        <v>31</v>
      </c>
      <c r="E325" s="105" t="s">
        <v>46</v>
      </c>
      <c r="F325" s="105" t="s">
        <v>885</v>
      </c>
      <c r="H325" s="105" t="s">
        <v>131</v>
      </c>
      <c r="J325" s="5">
        <v>88.2</v>
      </c>
      <c r="K325" s="5">
        <v>1.65</v>
      </c>
      <c r="L325" s="5">
        <v>9.3333333333333339</v>
      </c>
      <c r="M325" s="5">
        <v>0.4</v>
      </c>
      <c r="N325" s="5">
        <v>8</v>
      </c>
      <c r="O325" s="5">
        <v>0.2</v>
      </c>
      <c r="Q325" s="5">
        <v>43</v>
      </c>
      <c r="R325" s="5">
        <v>3.3333333333333335</v>
      </c>
      <c r="S325" s="5">
        <v>0</v>
      </c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</row>
    <row r="326" spans="1:42" x14ac:dyDescent="0.2">
      <c r="A326" s="104" t="s">
        <v>40</v>
      </c>
      <c r="B326" s="104" t="s">
        <v>41</v>
      </c>
      <c r="C326" s="105" t="s">
        <v>43</v>
      </c>
      <c r="D326" s="105" t="s">
        <v>31</v>
      </c>
      <c r="E326" s="105" t="s">
        <v>42</v>
      </c>
      <c r="F326" s="105" t="s">
        <v>784</v>
      </c>
      <c r="H326" s="105" t="s">
        <v>28</v>
      </c>
      <c r="M326" s="107">
        <v>4</v>
      </c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</row>
    <row r="327" spans="1:42" x14ac:dyDescent="0.2">
      <c r="A327" s="104" t="s">
        <v>85</v>
      </c>
      <c r="B327" s="104" t="s">
        <v>86</v>
      </c>
      <c r="C327" s="105" t="s">
        <v>87</v>
      </c>
      <c r="D327" s="105" t="s">
        <v>31</v>
      </c>
      <c r="E327" s="105" t="s">
        <v>42</v>
      </c>
      <c r="F327" s="105" t="s">
        <v>784</v>
      </c>
      <c r="H327" s="105" t="s">
        <v>33</v>
      </c>
      <c r="K327" s="5">
        <v>0.46</v>
      </c>
      <c r="L327" s="5">
        <v>153</v>
      </c>
      <c r="M327" s="5">
        <v>1.26</v>
      </c>
      <c r="Q327" s="5">
        <v>14</v>
      </c>
      <c r="R327" s="5">
        <v>36</v>
      </c>
      <c r="S327" s="109">
        <v>6.09</v>
      </c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</row>
    <row r="328" spans="1:42" x14ac:dyDescent="0.2">
      <c r="A328" s="104" t="s">
        <v>136</v>
      </c>
      <c r="B328" s="104" t="s">
        <v>137</v>
      </c>
      <c r="C328" s="105" t="s">
        <v>140</v>
      </c>
      <c r="D328" s="105" t="s">
        <v>31</v>
      </c>
      <c r="E328" s="105" t="s">
        <v>42</v>
      </c>
      <c r="F328" s="105" t="s">
        <v>784</v>
      </c>
      <c r="H328" s="105" t="s">
        <v>33</v>
      </c>
      <c r="J328" s="5">
        <v>92.275000000000006</v>
      </c>
      <c r="K328" s="5">
        <v>0.72614999999999996</v>
      </c>
      <c r="L328" s="5">
        <v>107.1519545454545</v>
      </c>
      <c r="M328" s="108">
        <v>1.7700615384615381</v>
      </c>
      <c r="N328" s="5">
        <v>56.5</v>
      </c>
      <c r="O328" s="108">
        <v>0.43</v>
      </c>
      <c r="P328" s="5">
        <v>0.37341885444572004</v>
      </c>
      <c r="Q328" s="5">
        <v>113.75</v>
      </c>
      <c r="R328" s="108">
        <v>82.482223076923063</v>
      </c>
      <c r="S328" s="5">
        <v>1.38</v>
      </c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</row>
    <row r="329" spans="1:42" x14ac:dyDescent="0.2">
      <c r="A329" s="104" t="s">
        <v>195</v>
      </c>
      <c r="B329" s="104" t="s">
        <v>196</v>
      </c>
      <c r="C329" s="105" t="s">
        <v>197</v>
      </c>
      <c r="D329" s="105" t="s">
        <v>31</v>
      </c>
      <c r="E329" s="105" t="s">
        <v>42</v>
      </c>
      <c r="F329" s="105" t="s">
        <v>32</v>
      </c>
      <c r="H329" s="105" t="s">
        <v>131</v>
      </c>
      <c r="K329" s="5">
        <v>0.77</v>
      </c>
      <c r="L329" s="5">
        <v>79</v>
      </c>
      <c r="M329" s="5">
        <v>1.04</v>
      </c>
      <c r="O329" s="109">
        <v>2.41</v>
      </c>
      <c r="P329" s="5">
        <v>3.3167495854063019E-3</v>
      </c>
      <c r="R329" s="5">
        <v>8</v>
      </c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</row>
    <row r="330" spans="1:42" x14ac:dyDescent="0.2">
      <c r="A330" s="104" t="s">
        <v>198</v>
      </c>
      <c r="B330" s="104" t="s">
        <v>201</v>
      </c>
      <c r="C330" s="105" t="s">
        <v>202</v>
      </c>
      <c r="D330" s="105" t="s">
        <v>31</v>
      </c>
      <c r="E330" s="105" t="s">
        <v>42</v>
      </c>
      <c r="F330" s="105" t="s">
        <v>784</v>
      </c>
      <c r="H330" s="105" t="s">
        <v>27</v>
      </c>
      <c r="J330" s="5">
        <v>87.066666666666663</v>
      </c>
      <c r="K330" s="5">
        <v>1.9666666666666668</v>
      </c>
      <c r="L330" s="5">
        <v>41</v>
      </c>
      <c r="M330" s="109">
        <v>8.6</v>
      </c>
      <c r="N330" s="5">
        <v>29</v>
      </c>
      <c r="O330" s="107">
        <v>0.84</v>
      </c>
      <c r="P330" s="5">
        <v>1.8499999999999999E-2</v>
      </c>
      <c r="R330" s="5">
        <v>23.5</v>
      </c>
      <c r="S330" s="5">
        <v>0.4</v>
      </c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</row>
    <row r="331" spans="1:42" x14ac:dyDescent="0.2">
      <c r="A331" s="104" t="s">
        <v>198</v>
      </c>
      <c r="B331" s="104" t="s">
        <v>201</v>
      </c>
      <c r="C331" s="105" t="s">
        <v>202</v>
      </c>
      <c r="D331" s="105" t="s">
        <v>31</v>
      </c>
      <c r="E331" s="105" t="s">
        <v>42</v>
      </c>
      <c r="F331" s="105" t="s">
        <v>784</v>
      </c>
      <c r="H331" s="105" t="s">
        <v>37</v>
      </c>
      <c r="J331" s="5">
        <v>89</v>
      </c>
      <c r="K331" s="5">
        <v>1.5029999999999999</v>
      </c>
      <c r="P331" s="5">
        <v>2E-3</v>
      </c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</row>
    <row r="332" spans="1:42" x14ac:dyDescent="0.2">
      <c r="A332" s="104" t="s">
        <v>236</v>
      </c>
      <c r="B332" s="104" t="s">
        <v>240</v>
      </c>
      <c r="C332" s="105" t="s">
        <v>241</v>
      </c>
      <c r="D332" s="105" t="s">
        <v>31</v>
      </c>
      <c r="E332" s="105" t="s">
        <v>42</v>
      </c>
      <c r="F332" s="105" t="s">
        <v>784</v>
      </c>
      <c r="H332" s="105" t="s">
        <v>28</v>
      </c>
      <c r="J332" s="5">
        <v>82.3</v>
      </c>
      <c r="K332" s="5">
        <v>0.75</v>
      </c>
      <c r="L332" s="5">
        <v>37.950000000000003</v>
      </c>
      <c r="M332" s="5">
        <v>1.2000000000000002</v>
      </c>
      <c r="N332" s="5">
        <v>2.2000000000000002</v>
      </c>
      <c r="R332" s="5">
        <v>24.75</v>
      </c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</row>
    <row r="333" spans="1:42" x14ac:dyDescent="0.2">
      <c r="A333" s="104" t="s">
        <v>236</v>
      </c>
      <c r="B333" s="104" t="s">
        <v>237</v>
      </c>
      <c r="C333" s="105" t="s">
        <v>238</v>
      </c>
      <c r="D333" s="105" t="s">
        <v>31</v>
      </c>
      <c r="E333" s="105" t="s">
        <v>42</v>
      </c>
      <c r="F333" s="105" t="s">
        <v>32</v>
      </c>
      <c r="H333" s="105" t="s">
        <v>239</v>
      </c>
      <c r="K333" s="107">
        <v>5.37</v>
      </c>
      <c r="L333" s="5">
        <v>105</v>
      </c>
      <c r="M333" s="108">
        <v>2.06</v>
      </c>
      <c r="P333" s="5">
        <v>0.2321724709784411</v>
      </c>
      <c r="R333" s="5">
        <v>5</v>
      </c>
      <c r="S333" s="109">
        <v>6</v>
      </c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</row>
    <row r="334" spans="1:42" x14ac:dyDescent="0.2">
      <c r="A334" s="104" t="s">
        <v>236</v>
      </c>
      <c r="B334" s="104" t="s">
        <v>237</v>
      </c>
      <c r="C334" s="105" t="s">
        <v>238</v>
      </c>
      <c r="D334" s="105" t="s">
        <v>31</v>
      </c>
      <c r="E334" s="105" t="s">
        <v>42</v>
      </c>
      <c r="F334" s="105" t="s">
        <v>32</v>
      </c>
      <c r="H334" s="105" t="s">
        <v>214</v>
      </c>
      <c r="J334" s="5">
        <v>92.833333333333329</v>
      </c>
      <c r="K334" s="108">
        <v>3.0733333333333337</v>
      </c>
      <c r="L334" s="5">
        <v>52.333333333333336</v>
      </c>
      <c r="M334" s="5">
        <v>1.45</v>
      </c>
      <c r="O334" s="108">
        <v>0.5</v>
      </c>
      <c r="P334" s="5">
        <v>3.316749585406302E-2</v>
      </c>
      <c r="Q334" s="5" t="s">
        <v>0</v>
      </c>
      <c r="R334" s="5">
        <v>15</v>
      </c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</row>
    <row r="335" spans="1:42" x14ac:dyDescent="0.2">
      <c r="A335" s="104" t="s">
        <v>236</v>
      </c>
      <c r="B335" s="104" t="s">
        <v>237</v>
      </c>
      <c r="C335" s="105" t="s">
        <v>238</v>
      </c>
      <c r="D335" s="105" t="s">
        <v>31</v>
      </c>
      <c r="E335" s="105" t="s">
        <v>42</v>
      </c>
      <c r="F335" s="105" t="s">
        <v>32</v>
      </c>
      <c r="H335" s="105" t="s">
        <v>33</v>
      </c>
      <c r="J335" s="5">
        <v>90.6</v>
      </c>
      <c r="K335" s="5">
        <v>0.93666666666666665</v>
      </c>
      <c r="L335" s="5">
        <v>59.666666666666664</v>
      </c>
      <c r="M335" s="107">
        <v>2.1825000000000001</v>
      </c>
      <c r="P335" s="108">
        <v>0.51654228855721396</v>
      </c>
      <c r="Q335" s="5">
        <v>98</v>
      </c>
      <c r="R335" s="5">
        <v>51.333333333333336</v>
      </c>
      <c r="S335" s="5">
        <v>1.105</v>
      </c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</row>
    <row r="336" spans="1:42" x14ac:dyDescent="0.2">
      <c r="A336" s="104" t="s">
        <v>249</v>
      </c>
      <c r="B336" s="104" t="s">
        <v>250</v>
      </c>
      <c r="C336" s="105" t="s">
        <v>251</v>
      </c>
      <c r="D336" s="105" t="s">
        <v>31</v>
      </c>
      <c r="E336" s="105" t="s">
        <v>42</v>
      </c>
      <c r="F336" s="105" t="s">
        <v>32</v>
      </c>
      <c r="H336" s="105" t="s">
        <v>33</v>
      </c>
      <c r="J336" s="5">
        <v>75</v>
      </c>
      <c r="K336" s="5">
        <v>1.9925999999999999</v>
      </c>
      <c r="L336" s="5">
        <v>104.00880000000001</v>
      </c>
      <c r="P336" s="107">
        <v>0.55541666666666667</v>
      </c>
      <c r="R336" s="5">
        <v>70.011600000000001</v>
      </c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</row>
    <row r="337" spans="1:50" x14ac:dyDescent="0.2">
      <c r="A337" s="104" t="s">
        <v>281</v>
      </c>
      <c r="B337" s="104" t="s">
        <v>282</v>
      </c>
      <c r="C337" s="105" t="s">
        <v>283</v>
      </c>
      <c r="D337" s="105" t="s">
        <v>31</v>
      </c>
      <c r="E337" s="105" t="s">
        <v>42</v>
      </c>
      <c r="F337" s="105" t="s">
        <v>784</v>
      </c>
      <c r="H337" s="105" t="s">
        <v>28</v>
      </c>
      <c r="J337" s="5">
        <v>91.440000000000012</v>
      </c>
      <c r="K337" s="5">
        <v>0.40159999999999985</v>
      </c>
      <c r="L337" s="5">
        <v>22.200319999999998</v>
      </c>
      <c r="M337" s="5">
        <v>0.55079999999999985</v>
      </c>
      <c r="P337" s="5">
        <v>0.20233333333333334</v>
      </c>
      <c r="R337" s="5">
        <v>12.000319999999999</v>
      </c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</row>
    <row r="338" spans="1:50" x14ac:dyDescent="0.2">
      <c r="A338" s="104" t="s">
        <v>281</v>
      </c>
      <c r="B338" s="104" t="s">
        <v>282</v>
      </c>
      <c r="C338" s="105" t="s">
        <v>283</v>
      </c>
      <c r="D338" s="105" t="s">
        <v>31</v>
      </c>
      <c r="E338" s="105" t="s">
        <v>42</v>
      </c>
      <c r="F338" s="105" t="s">
        <v>784</v>
      </c>
      <c r="H338" s="105" t="s">
        <v>27</v>
      </c>
      <c r="J338" s="5">
        <v>63.042333333333325</v>
      </c>
      <c r="K338" s="5">
        <v>0.29964999999999992</v>
      </c>
      <c r="L338" s="5">
        <v>12.000399999999999</v>
      </c>
      <c r="M338" s="5">
        <v>0.3990333333333333</v>
      </c>
      <c r="R338" s="5">
        <v>32.999099999999991</v>
      </c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</row>
    <row r="339" spans="1:50" x14ac:dyDescent="0.2">
      <c r="A339" s="104" t="s">
        <v>726</v>
      </c>
      <c r="B339" s="104" t="s">
        <v>727</v>
      </c>
      <c r="C339" s="105" t="s">
        <v>728</v>
      </c>
      <c r="D339" s="105" t="s">
        <v>31</v>
      </c>
      <c r="E339" s="105" t="s">
        <v>42</v>
      </c>
      <c r="F339" s="105" t="s">
        <v>32</v>
      </c>
      <c r="H339" s="105" t="s">
        <v>166</v>
      </c>
      <c r="J339" s="5">
        <v>89.2</v>
      </c>
      <c r="L339" s="5">
        <v>58</v>
      </c>
      <c r="M339" s="5">
        <v>1.1000000000000001</v>
      </c>
      <c r="R339" s="5">
        <v>12</v>
      </c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</row>
    <row r="340" spans="1:50" x14ac:dyDescent="0.2">
      <c r="A340" s="104" t="s">
        <v>350</v>
      </c>
      <c r="B340" s="104" t="s">
        <v>352</v>
      </c>
      <c r="C340" s="105" t="s">
        <v>353</v>
      </c>
      <c r="D340" s="105" t="s">
        <v>31</v>
      </c>
      <c r="E340" s="105" t="s">
        <v>42</v>
      </c>
      <c r="F340" s="105" t="s">
        <v>32</v>
      </c>
      <c r="H340" s="105" t="s">
        <v>33</v>
      </c>
      <c r="J340" s="5">
        <v>70</v>
      </c>
      <c r="K340" s="107">
        <v>5.4982000000000006</v>
      </c>
      <c r="L340" s="5">
        <v>130.00550000000001</v>
      </c>
      <c r="M340" s="109">
        <v>5.5870000000000006</v>
      </c>
      <c r="R340" s="108">
        <v>99.996100000000013</v>
      </c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</row>
    <row r="341" spans="1:50" x14ac:dyDescent="0.2">
      <c r="A341" s="104" t="s">
        <v>703</v>
      </c>
      <c r="B341" s="104" t="s">
        <v>704</v>
      </c>
      <c r="C341" s="105" t="s">
        <v>705</v>
      </c>
      <c r="D341" s="105" t="s">
        <v>31</v>
      </c>
      <c r="E341" s="105" t="s">
        <v>42</v>
      </c>
      <c r="F341" s="105" t="s">
        <v>784</v>
      </c>
      <c r="H341" s="105" t="s">
        <v>131</v>
      </c>
      <c r="J341" s="5">
        <v>85.8</v>
      </c>
      <c r="K341" s="107">
        <v>4.8499999999999996</v>
      </c>
      <c r="L341" s="5">
        <v>73.5</v>
      </c>
      <c r="M341" s="5">
        <v>0.74</v>
      </c>
      <c r="N341" s="5">
        <v>32.5</v>
      </c>
      <c r="O341" s="107">
        <v>0.97499999999999998</v>
      </c>
      <c r="P341" s="5">
        <v>0.03</v>
      </c>
      <c r="Q341" s="108">
        <v>144</v>
      </c>
      <c r="R341" s="5">
        <v>51.5</v>
      </c>
      <c r="S341" s="109">
        <v>14.42</v>
      </c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</row>
    <row r="342" spans="1:50" x14ac:dyDescent="0.2">
      <c r="A342" s="104" t="s">
        <v>370</v>
      </c>
      <c r="B342" s="104" t="s">
        <v>376</v>
      </c>
      <c r="C342" s="105" t="s">
        <v>377</v>
      </c>
      <c r="D342" s="105" t="s">
        <v>31</v>
      </c>
      <c r="E342" s="105" t="s">
        <v>42</v>
      </c>
      <c r="F342" s="105" t="s">
        <v>784</v>
      </c>
      <c r="H342" s="105" t="s">
        <v>166</v>
      </c>
      <c r="K342" s="5">
        <v>2</v>
      </c>
      <c r="L342" s="108">
        <v>207.33499999999998</v>
      </c>
      <c r="M342" s="5">
        <v>0.16</v>
      </c>
      <c r="R342" s="5">
        <v>36</v>
      </c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</row>
    <row r="343" spans="1:50" x14ac:dyDescent="0.2">
      <c r="A343" s="104" t="s">
        <v>391</v>
      </c>
      <c r="B343" s="104" t="s">
        <v>392</v>
      </c>
      <c r="C343" s="105" t="s">
        <v>393</v>
      </c>
      <c r="D343" s="105" t="s">
        <v>31</v>
      </c>
      <c r="E343" s="105" t="s">
        <v>42</v>
      </c>
      <c r="F343" s="105" t="s">
        <v>784</v>
      </c>
      <c r="H343" s="105" t="s">
        <v>37</v>
      </c>
      <c r="J343" s="4">
        <v>68</v>
      </c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</row>
    <row r="344" spans="1:50" x14ac:dyDescent="0.2">
      <c r="A344" s="104" t="s">
        <v>400</v>
      </c>
      <c r="B344" s="104" t="s">
        <v>401</v>
      </c>
      <c r="C344" s="105" t="s">
        <v>878</v>
      </c>
      <c r="D344" s="105" t="s">
        <v>31</v>
      </c>
      <c r="E344" s="105" t="s">
        <v>42</v>
      </c>
      <c r="F344" s="105" t="s">
        <v>784</v>
      </c>
      <c r="H344" s="105" t="s">
        <v>33</v>
      </c>
      <c r="J344" s="5">
        <v>81</v>
      </c>
      <c r="K344" s="107">
        <v>4.7</v>
      </c>
      <c r="L344" s="107">
        <v>417</v>
      </c>
      <c r="P344" s="5">
        <v>0.24575</v>
      </c>
      <c r="R344" s="5">
        <v>78</v>
      </c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</row>
    <row r="345" spans="1:50" x14ac:dyDescent="0.2">
      <c r="A345" s="104" t="s">
        <v>429</v>
      </c>
      <c r="B345" s="104" t="s">
        <v>430</v>
      </c>
      <c r="C345" s="105" t="s">
        <v>431</v>
      </c>
      <c r="D345" s="105" t="s">
        <v>31</v>
      </c>
      <c r="E345" s="105" t="s">
        <v>42</v>
      </c>
      <c r="F345" s="105" t="s">
        <v>784</v>
      </c>
      <c r="H345" s="105" t="s">
        <v>28</v>
      </c>
      <c r="J345" s="5">
        <v>79.483333333333334</v>
      </c>
      <c r="K345" s="5">
        <v>0.75</v>
      </c>
      <c r="L345" s="5">
        <v>16.8</v>
      </c>
      <c r="M345" s="107">
        <v>2.58</v>
      </c>
      <c r="N345" s="109">
        <v>172.25</v>
      </c>
      <c r="R345" s="5">
        <v>5</v>
      </c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</row>
    <row r="346" spans="1:50" x14ac:dyDescent="0.2">
      <c r="A346" s="104" t="s">
        <v>441</v>
      </c>
      <c r="B346" s="104" t="s">
        <v>444</v>
      </c>
      <c r="C346" s="105" t="s">
        <v>445</v>
      </c>
      <c r="D346" s="105" t="s">
        <v>31</v>
      </c>
      <c r="E346" s="105" t="s">
        <v>42</v>
      </c>
      <c r="F346" s="105" t="s">
        <v>32</v>
      </c>
      <c r="H346" s="105" t="s">
        <v>28</v>
      </c>
      <c r="J346" s="5">
        <v>87.1</v>
      </c>
      <c r="K346" s="108">
        <v>3.3119999999999998</v>
      </c>
      <c r="L346" s="5">
        <v>26.733333333333338</v>
      </c>
      <c r="M346" s="107">
        <v>2.6120000000000001</v>
      </c>
      <c r="O346" s="5">
        <v>0.3</v>
      </c>
      <c r="P346" s="5">
        <v>7.6208540630182425E-2</v>
      </c>
      <c r="Q346" s="5">
        <v>9</v>
      </c>
      <c r="R346" s="109">
        <v>258.86800000000005</v>
      </c>
      <c r="S346" s="107">
        <v>2.94</v>
      </c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</row>
    <row r="347" spans="1:50" x14ac:dyDescent="0.2">
      <c r="A347" s="104" t="s">
        <v>441</v>
      </c>
      <c r="B347" s="104" t="s">
        <v>444</v>
      </c>
      <c r="C347" s="105" t="s">
        <v>445</v>
      </c>
      <c r="D347" s="105" t="s">
        <v>31</v>
      </c>
      <c r="E347" s="105" t="s">
        <v>42</v>
      </c>
      <c r="F347" s="105" t="s">
        <v>32</v>
      </c>
      <c r="H347" s="105" t="s">
        <v>33</v>
      </c>
      <c r="K347" s="5">
        <v>1.7033333333333331</v>
      </c>
      <c r="L347" s="107">
        <v>342.66666666666669</v>
      </c>
      <c r="M347" s="108">
        <v>1.8933333333333333</v>
      </c>
      <c r="O347" s="107">
        <v>0.57666666666666655</v>
      </c>
      <c r="P347" s="107">
        <v>1.0287451630735214</v>
      </c>
      <c r="Q347" s="108">
        <v>141.5</v>
      </c>
      <c r="R347" s="109">
        <v>935.33333333333337</v>
      </c>
      <c r="S347" s="108">
        <v>2.48</v>
      </c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</row>
    <row r="348" spans="1:50" x14ac:dyDescent="0.2">
      <c r="A348" s="104" t="s">
        <v>441</v>
      </c>
      <c r="B348" s="104" t="s">
        <v>444</v>
      </c>
      <c r="C348" s="105" t="s">
        <v>445</v>
      </c>
      <c r="D348" s="105" t="s">
        <v>31</v>
      </c>
      <c r="E348" s="105" t="s">
        <v>42</v>
      </c>
      <c r="F348" s="105" t="s">
        <v>32</v>
      </c>
      <c r="H348" s="105" t="s">
        <v>27</v>
      </c>
      <c r="K348" s="5">
        <v>1.665</v>
      </c>
      <c r="L348" s="5">
        <v>35.5</v>
      </c>
      <c r="M348" s="5">
        <v>0.60499999999999998</v>
      </c>
      <c r="O348" s="5">
        <v>0.28999999999999998</v>
      </c>
      <c r="P348" s="5">
        <v>9.1210613598673301E-3</v>
      </c>
      <c r="Q348" s="5">
        <v>6</v>
      </c>
      <c r="R348" s="107">
        <v>118.5</v>
      </c>
      <c r="S348" s="109">
        <v>5.0999999999999996</v>
      </c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</row>
    <row r="349" spans="1:50" x14ac:dyDescent="0.2">
      <c r="A349" s="104" t="s">
        <v>441</v>
      </c>
      <c r="B349" s="104" t="s">
        <v>446</v>
      </c>
      <c r="C349" s="105" t="s">
        <v>447</v>
      </c>
      <c r="D349" s="105" t="s">
        <v>31</v>
      </c>
      <c r="E349" s="105" t="s">
        <v>42</v>
      </c>
      <c r="F349" s="105" t="s">
        <v>784</v>
      </c>
      <c r="H349" s="105" t="s">
        <v>27</v>
      </c>
      <c r="J349" s="5">
        <v>84.05</v>
      </c>
      <c r="K349" s="108">
        <v>3.0120000000000005</v>
      </c>
      <c r="L349" s="5">
        <v>27.068000000000001</v>
      </c>
      <c r="M349" s="107">
        <v>3.6120000000000001</v>
      </c>
      <c r="O349" s="5" t="s">
        <v>0</v>
      </c>
      <c r="P349" s="5" t="s">
        <v>0</v>
      </c>
      <c r="R349" s="109">
        <v>248.56000000000006</v>
      </c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</row>
    <row r="350" spans="1:50" x14ac:dyDescent="0.2">
      <c r="A350" s="104" t="s">
        <v>498</v>
      </c>
      <c r="B350" s="104" t="s">
        <v>499</v>
      </c>
      <c r="C350" s="105" t="s">
        <v>879</v>
      </c>
      <c r="D350" s="105" t="s">
        <v>31</v>
      </c>
      <c r="E350" s="105" t="s">
        <v>42</v>
      </c>
      <c r="F350" s="105" t="s">
        <v>784</v>
      </c>
      <c r="H350" s="105" t="s">
        <v>33</v>
      </c>
      <c r="J350" s="5">
        <v>85</v>
      </c>
      <c r="K350" s="5">
        <v>0.5</v>
      </c>
      <c r="L350" s="107">
        <v>370</v>
      </c>
      <c r="M350" s="109">
        <v>8.75</v>
      </c>
      <c r="N350" s="108">
        <v>78.7</v>
      </c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</row>
    <row r="351" spans="1:50" x14ac:dyDescent="0.2">
      <c r="A351" s="104" t="s">
        <v>540</v>
      </c>
      <c r="B351" s="104" t="s">
        <v>541</v>
      </c>
      <c r="C351" s="105" t="s">
        <v>542</v>
      </c>
      <c r="D351" s="105" t="s">
        <v>31</v>
      </c>
      <c r="E351" s="105" t="s">
        <v>42</v>
      </c>
      <c r="F351" s="105" t="s">
        <v>784</v>
      </c>
      <c r="H351" s="105" t="s">
        <v>33</v>
      </c>
      <c r="J351" s="5">
        <v>82</v>
      </c>
      <c r="L351" s="107">
        <v>565</v>
      </c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</row>
    <row r="352" spans="1:50" s="111" customFormat="1" x14ac:dyDescent="0.2">
      <c r="A352" s="104" t="s">
        <v>540</v>
      </c>
      <c r="B352" s="104" t="s">
        <v>541</v>
      </c>
      <c r="C352" s="105" t="s">
        <v>542</v>
      </c>
      <c r="D352" s="105" t="s">
        <v>31</v>
      </c>
      <c r="E352" s="105" t="s">
        <v>42</v>
      </c>
      <c r="F352" s="105" t="s">
        <v>784</v>
      </c>
      <c r="G352" s="105"/>
      <c r="H352" s="105" t="s">
        <v>27</v>
      </c>
      <c r="I352" s="1"/>
      <c r="J352" s="5">
        <v>87</v>
      </c>
      <c r="K352" s="5"/>
      <c r="L352" s="107">
        <v>297</v>
      </c>
      <c r="M352" s="5">
        <v>0.8</v>
      </c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106"/>
      <c r="AR352" s="106"/>
      <c r="AS352" s="106"/>
      <c r="AT352" s="106"/>
      <c r="AU352" s="1"/>
      <c r="AV352" s="1"/>
      <c r="AW352" s="1"/>
      <c r="AX352" s="1"/>
    </row>
    <row r="353" spans="1:42" x14ac:dyDescent="0.2">
      <c r="A353" s="104" t="s">
        <v>743</v>
      </c>
      <c r="B353" s="104" t="s">
        <v>203</v>
      </c>
      <c r="C353" s="105" t="s">
        <v>251</v>
      </c>
      <c r="D353" s="105" t="s">
        <v>31</v>
      </c>
      <c r="E353" s="105" t="s">
        <v>42</v>
      </c>
      <c r="F353" s="105" t="s">
        <v>32</v>
      </c>
      <c r="H353" s="105" t="s">
        <v>33</v>
      </c>
      <c r="J353" s="5">
        <v>75.400000000000006</v>
      </c>
      <c r="K353" s="5">
        <v>2</v>
      </c>
      <c r="L353" s="5">
        <v>104</v>
      </c>
      <c r="R353" s="5">
        <v>70</v>
      </c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</row>
    <row r="354" spans="1:42" x14ac:dyDescent="0.2">
      <c r="A354" s="104" t="s">
        <v>581</v>
      </c>
      <c r="B354" s="104" t="s">
        <v>568</v>
      </c>
      <c r="C354" s="105" t="s">
        <v>582</v>
      </c>
      <c r="D354" s="105" t="s">
        <v>31</v>
      </c>
      <c r="E354" s="105" t="s">
        <v>42</v>
      </c>
      <c r="F354" s="105" t="s">
        <v>784</v>
      </c>
      <c r="H354" s="105" t="s">
        <v>28</v>
      </c>
      <c r="J354" s="5">
        <v>91.826363636363638</v>
      </c>
      <c r="K354" s="5">
        <v>1.1885000000000001</v>
      </c>
      <c r="L354" s="5">
        <v>17.15316923076923</v>
      </c>
      <c r="M354" s="5">
        <v>0.82670769230769237</v>
      </c>
      <c r="N354" s="5">
        <v>13.333333333333334</v>
      </c>
      <c r="O354" s="107">
        <v>1.0333333333333334</v>
      </c>
      <c r="P354" s="5">
        <v>1.6703703703703702E-3</v>
      </c>
      <c r="Q354" s="5">
        <v>93</v>
      </c>
      <c r="R354" s="5">
        <v>13.723184615384614</v>
      </c>
      <c r="S354" s="5">
        <v>6.5000000000000002E-2</v>
      </c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</row>
    <row r="355" spans="1:42" x14ac:dyDescent="0.2">
      <c r="A355" s="104" t="s">
        <v>581</v>
      </c>
      <c r="B355" s="104" t="s">
        <v>568</v>
      </c>
      <c r="C355" s="105" t="s">
        <v>582</v>
      </c>
      <c r="D355" s="105" t="s">
        <v>31</v>
      </c>
      <c r="E355" s="105" t="s">
        <v>42</v>
      </c>
      <c r="F355" s="105" t="s">
        <v>784</v>
      </c>
      <c r="H355" s="105" t="s">
        <v>33</v>
      </c>
      <c r="J355" s="5">
        <v>89.62</v>
      </c>
      <c r="K355" s="5">
        <v>1.9523166666666665</v>
      </c>
      <c r="L355" s="5">
        <v>55.165883333333319</v>
      </c>
      <c r="M355" s="108">
        <v>1.65242</v>
      </c>
      <c r="O355" s="5">
        <v>0.32</v>
      </c>
      <c r="P355" s="5">
        <v>0.15389054726368162</v>
      </c>
      <c r="R355" s="5">
        <v>15.498916666666664</v>
      </c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</row>
    <row r="356" spans="1:42" x14ac:dyDescent="0.2">
      <c r="A356" s="104" t="s">
        <v>598</v>
      </c>
      <c r="B356" s="104" t="s">
        <v>599</v>
      </c>
      <c r="C356" s="105" t="s">
        <v>600</v>
      </c>
      <c r="D356" s="105" t="s">
        <v>31</v>
      </c>
      <c r="E356" s="105" t="s">
        <v>42</v>
      </c>
      <c r="F356" s="105" t="s">
        <v>784</v>
      </c>
      <c r="H356" s="105" t="s">
        <v>27</v>
      </c>
      <c r="J356" s="5">
        <v>87</v>
      </c>
      <c r="K356" s="5">
        <v>0.79380000000000006</v>
      </c>
      <c r="L356" s="5">
        <v>30.995999999999999</v>
      </c>
      <c r="M356" s="5">
        <v>0.6048</v>
      </c>
      <c r="P356" s="5">
        <v>8.3333333333333332E-3</v>
      </c>
      <c r="R356" s="5">
        <v>16.001999999999999</v>
      </c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</row>
    <row r="357" spans="1:42" x14ac:dyDescent="0.2">
      <c r="A357" s="104" t="s">
        <v>643</v>
      </c>
      <c r="B357" s="104" t="s">
        <v>644</v>
      </c>
      <c r="C357" s="105" t="s">
        <v>645</v>
      </c>
      <c r="D357" s="105" t="s">
        <v>31</v>
      </c>
      <c r="E357" s="105" t="s">
        <v>42</v>
      </c>
      <c r="F357" s="105" t="s">
        <v>784</v>
      </c>
      <c r="H357" s="105" t="s">
        <v>33</v>
      </c>
      <c r="J357" s="5">
        <v>86.266666666666666</v>
      </c>
      <c r="K357" s="5">
        <v>1.7204000000000002</v>
      </c>
      <c r="M357" s="5">
        <v>0.8</v>
      </c>
      <c r="R357" s="108">
        <v>88.644800000000004</v>
      </c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</row>
    <row r="358" spans="1:42" x14ac:dyDescent="0.2">
      <c r="A358" s="104" t="s">
        <v>646</v>
      </c>
      <c r="B358" s="104" t="s">
        <v>94</v>
      </c>
      <c r="C358" s="105" t="s">
        <v>647</v>
      </c>
      <c r="D358" s="105" t="s">
        <v>31</v>
      </c>
      <c r="E358" s="105" t="s">
        <v>42</v>
      </c>
      <c r="F358" s="105" t="s">
        <v>784</v>
      </c>
      <c r="H358" s="105" t="s">
        <v>166</v>
      </c>
      <c r="K358" s="5">
        <v>1.1833333333333333</v>
      </c>
      <c r="L358" s="5">
        <v>27</v>
      </c>
      <c r="M358" s="5">
        <v>1.3399999999999999</v>
      </c>
      <c r="P358" s="5">
        <v>0.14483139856274185</v>
      </c>
      <c r="Q358" s="5">
        <v>66.5</v>
      </c>
      <c r="R358" s="5">
        <v>71</v>
      </c>
      <c r="S358" s="108">
        <v>2.2549999999999999</v>
      </c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</row>
    <row r="359" spans="1:42" x14ac:dyDescent="0.2">
      <c r="A359" s="104" t="s">
        <v>657</v>
      </c>
      <c r="B359" s="104" t="s">
        <v>446</v>
      </c>
      <c r="C359" s="105" t="s">
        <v>660</v>
      </c>
      <c r="D359" s="105" t="s">
        <v>31</v>
      </c>
      <c r="E359" s="105" t="s">
        <v>42</v>
      </c>
      <c r="F359" s="105" t="s">
        <v>784</v>
      </c>
      <c r="H359" s="105" t="s">
        <v>28</v>
      </c>
      <c r="J359" s="5">
        <v>92</v>
      </c>
      <c r="K359" s="108">
        <v>2.8699999999999997</v>
      </c>
      <c r="L359" s="5">
        <v>30.233333333333331</v>
      </c>
      <c r="M359" s="5">
        <v>1.301333333333333</v>
      </c>
      <c r="N359" s="5">
        <v>24.5</v>
      </c>
      <c r="O359" s="5">
        <v>0.23</v>
      </c>
      <c r="P359" s="5">
        <v>1.2749999999999999E-2</v>
      </c>
      <c r="Q359" s="5">
        <v>19.96</v>
      </c>
      <c r="R359" s="5">
        <v>25.746666666666659</v>
      </c>
      <c r="S359" s="5">
        <v>0.04</v>
      </c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</row>
    <row r="360" spans="1:42" x14ac:dyDescent="0.2">
      <c r="A360" s="104" t="s">
        <v>657</v>
      </c>
      <c r="B360" s="104" t="s">
        <v>446</v>
      </c>
      <c r="C360" s="105" t="s">
        <v>660</v>
      </c>
      <c r="D360" s="105" t="s">
        <v>31</v>
      </c>
      <c r="E360" s="105" t="s">
        <v>42</v>
      </c>
      <c r="F360" s="105" t="s">
        <v>784</v>
      </c>
      <c r="H360" s="105" t="s">
        <v>33</v>
      </c>
      <c r="J360" s="5">
        <v>95</v>
      </c>
      <c r="K360" s="5">
        <v>0.9</v>
      </c>
      <c r="L360" s="5">
        <v>53</v>
      </c>
      <c r="M360" s="5">
        <v>0.2</v>
      </c>
      <c r="P360" s="5">
        <v>0</v>
      </c>
      <c r="R360" s="5">
        <v>6</v>
      </c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</row>
    <row r="361" spans="1:42" x14ac:dyDescent="0.2">
      <c r="A361" s="104" t="s">
        <v>681</v>
      </c>
      <c r="B361" s="104" t="s">
        <v>682</v>
      </c>
      <c r="C361" s="105" t="s">
        <v>683</v>
      </c>
      <c r="D361" s="105" t="s">
        <v>31</v>
      </c>
      <c r="E361" s="105" t="s">
        <v>42</v>
      </c>
      <c r="F361" s="105" t="s">
        <v>32</v>
      </c>
      <c r="H361" s="105" t="s">
        <v>33</v>
      </c>
      <c r="J361" s="5">
        <v>73.319999999999993</v>
      </c>
      <c r="K361" s="109">
        <v>11</v>
      </c>
      <c r="L361" s="107">
        <v>363</v>
      </c>
      <c r="M361" s="107">
        <v>2.63</v>
      </c>
      <c r="N361" s="107">
        <v>95</v>
      </c>
      <c r="O361" s="107">
        <v>0.67</v>
      </c>
      <c r="P361" s="107">
        <v>0.75679999999999992</v>
      </c>
      <c r="Q361" s="5">
        <v>83</v>
      </c>
      <c r="R361" s="5">
        <v>11.1</v>
      </c>
      <c r="S361" s="108">
        <v>2</v>
      </c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</row>
    <row r="362" spans="1:42" x14ac:dyDescent="0.2">
      <c r="A362" s="104" t="s">
        <v>505</v>
      </c>
      <c r="B362" s="104" t="s">
        <v>506</v>
      </c>
      <c r="C362" s="105" t="s">
        <v>507</v>
      </c>
      <c r="D362" s="105" t="s">
        <v>173</v>
      </c>
      <c r="E362" s="105" t="s">
        <v>42</v>
      </c>
      <c r="F362" s="105" t="s">
        <v>784</v>
      </c>
      <c r="H362" s="105" t="s">
        <v>27</v>
      </c>
      <c r="J362" s="5">
        <v>58</v>
      </c>
      <c r="K362" s="5">
        <v>1.9182000000000001</v>
      </c>
      <c r="L362" s="5">
        <v>49.998300000000008</v>
      </c>
      <c r="M362" s="107">
        <v>2.5854000000000004</v>
      </c>
      <c r="P362" s="5">
        <v>2.8333333333333335E-3</v>
      </c>
      <c r="R362" s="5">
        <v>26.979900000000004</v>
      </c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</row>
    <row r="363" spans="1:42" x14ac:dyDescent="0.2">
      <c r="A363" s="104" t="s">
        <v>505</v>
      </c>
      <c r="B363" s="104" t="s">
        <v>506</v>
      </c>
      <c r="C363" s="105" t="s">
        <v>507</v>
      </c>
      <c r="D363" s="105" t="s">
        <v>173</v>
      </c>
      <c r="E363" s="105" t="s">
        <v>42</v>
      </c>
      <c r="F363" s="105" t="s">
        <v>784</v>
      </c>
      <c r="H363" s="105" t="s">
        <v>37</v>
      </c>
      <c r="J363" s="5">
        <v>34.1</v>
      </c>
      <c r="K363" s="109">
        <v>12.186499999999999</v>
      </c>
      <c r="L363" s="5">
        <v>60.9983</v>
      </c>
      <c r="M363" s="107">
        <v>4.0897999999999994</v>
      </c>
      <c r="P363" s="5">
        <v>2.5000000000000001E-3</v>
      </c>
      <c r="R363" s="5">
        <v>0</v>
      </c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</row>
    <row r="364" spans="1:42" x14ac:dyDescent="0.2">
      <c r="A364" s="104" t="s">
        <v>505</v>
      </c>
      <c r="B364" s="104" t="s">
        <v>508</v>
      </c>
      <c r="C364" s="105" t="s">
        <v>509</v>
      </c>
      <c r="D364" s="105" t="s">
        <v>173</v>
      </c>
      <c r="E364" s="105" t="s">
        <v>42</v>
      </c>
      <c r="F364" s="105" t="s">
        <v>784</v>
      </c>
      <c r="H364" s="105" t="s">
        <v>37</v>
      </c>
      <c r="J364" s="5">
        <v>66.756666666666675</v>
      </c>
      <c r="K364" s="108">
        <v>2.8028499999999994</v>
      </c>
      <c r="L364" s="5">
        <v>50.49736</v>
      </c>
      <c r="M364" s="107">
        <v>2.8913799999999998</v>
      </c>
      <c r="N364" s="5">
        <v>54.5</v>
      </c>
      <c r="O364" s="107">
        <v>0.78</v>
      </c>
      <c r="P364" s="5">
        <v>1.5273333333333333E-2</v>
      </c>
      <c r="Q364" s="5">
        <v>34</v>
      </c>
      <c r="R364" s="5">
        <v>24.212759999999996</v>
      </c>
      <c r="S364" s="5">
        <v>0.32</v>
      </c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</row>
    <row r="365" spans="1:42" x14ac:dyDescent="0.2">
      <c r="A365" s="104" t="s">
        <v>540</v>
      </c>
      <c r="B365" s="104" t="s">
        <v>544</v>
      </c>
      <c r="C365" s="105" t="s">
        <v>545</v>
      </c>
      <c r="D365" s="105" t="s">
        <v>173</v>
      </c>
      <c r="E365" s="105" t="s">
        <v>42</v>
      </c>
      <c r="F365" s="105" t="s">
        <v>784</v>
      </c>
      <c r="H365" s="105" t="s">
        <v>33</v>
      </c>
      <c r="J365" s="5">
        <v>78.929999999999993</v>
      </c>
      <c r="K365" s="108">
        <v>2.9311333333333329</v>
      </c>
      <c r="L365" s="108">
        <v>238.00114999999997</v>
      </c>
      <c r="M365" s="107">
        <v>4.0389999999999997</v>
      </c>
      <c r="N365" s="5">
        <v>8</v>
      </c>
      <c r="O365" s="109">
        <v>1.28</v>
      </c>
      <c r="P365" s="5">
        <v>0.35719444444444443</v>
      </c>
      <c r="Q365" s="5">
        <v>16</v>
      </c>
      <c r="R365" s="5">
        <v>39.664999999999999</v>
      </c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</row>
    <row r="366" spans="1:42" x14ac:dyDescent="0.2">
      <c r="A366" s="104" t="s">
        <v>540</v>
      </c>
      <c r="B366" s="104" t="s">
        <v>544</v>
      </c>
      <c r="C366" s="105" t="s">
        <v>545</v>
      </c>
      <c r="D366" s="105" t="s">
        <v>173</v>
      </c>
      <c r="E366" s="105" t="s">
        <v>42</v>
      </c>
      <c r="F366" s="105" t="s">
        <v>784</v>
      </c>
      <c r="H366" s="105" t="s">
        <v>27</v>
      </c>
      <c r="J366" s="5">
        <v>90</v>
      </c>
      <c r="K366" s="5">
        <v>1.5814999999999999</v>
      </c>
      <c r="L366" s="5">
        <v>63.250999999999998</v>
      </c>
      <c r="M366" s="5">
        <v>1.3373749999999998</v>
      </c>
      <c r="N366" s="5">
        <v>34</v>
      </c>
      <c r="O366" s="108">
        <v>0.53</v>
      </c>
      <c r="P366" s="5">
        <v>2.2466666666666666E-2</v>
      </c>
      <c r="R366" s="5">
        <v>17.5</v>
      </c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</row>
    <row r="367" spans="1:42" x14ac:dyDescent="0.2">
      <c r="A367" s="104" t="s">
        <v>540</v>
      </c>
      <c r="B367" s="104" t="s">
        <v>544</v>
      </c>
      <c r="C367" s="105" t="s">
        <v>545</v>
      </c>
      <c r="D367" s="105" t="s">
        <v>173</v>
      </c>
      <c r="E367" s="105" t="s">
        <v>42</v>
      </c>
      <c r="F367" s="105" t="s">
        <v>784</v>
      </c>
      <c r="H367" s="105" t="s">
        <v>37</v>
      </c>
      <c r="J367" s="5">
        <v>89.52000000000001</v>
      </c>
      <c r="K367" s="5">
        <v>1.7003999999999992</v>
      </c>
      <c r="L367" s="5">
        <v>84</v>
      </c>
      <c r="M367" s="5">
        <v>1.5</v>
      </c>
      <c r="N367" s="5">
        <v>34</v>
      </c>
      <c r="O367" s="5">
        <v>0.39</v>
      </c>
      <c r="P367" s="5">
        <v>6.4000000000000003E-3</v>
      </c>
      <c r="Q367" s="5">
        <v>66</v>
      </c>
      <c r="R367" s="5">
        <v>18.3</v>
      </c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</row>
    <row r="368" spans="1:42" x14ac:dyDescent="0.2"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</row>
    <row r="369" spans="20:42" x14ac:dyDescent="0.2"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</row>
    <row r="370" spans="20:42" x14ac:dyDescent="0.2"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</row>
    <row r="371" spans="20:42" x14ac:dyDescent="0.2"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</row>
    <row r="373" spans="20:42" x14ac:dyDescent="0.2"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</row>
    <row r="374" spans="20:42" x14ac:dyDescent="0.2"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</row>
    <row r="375" spans="20:42" x14ac:dyDescent="0.2"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</row>
    <row r="376" spans="20:42" x14ac:dyDescent="0.2"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</row>
    <row r="377" spans="20:42" x14ac:dyDescent="0.2"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</row>
    <row r="378" spans="20:42" x14ac:dyDescent="0.2"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</row>
    <row r="379" spans="20:42" x14ac:dyDescent="0.2"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</row>
    <row r="380" spans="20:42" x14ac:dyDescent="0.2"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</row>
    <row r="381" spans="20:42" x14ac:dyDescent="0.2"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</row>
    <row r="382" spans="20:42" x14ac:dyDescent="0.2"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</row>
    <row r="383" spans="20:42" x14ac:dyDescent="0.2"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</row>
    <row r="384" spans="20:42" x14ac:dyDescent="0.2"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</row>
    <row r="385" spans="20:42" x14ac:dyDescent="0.2"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</row>
    <row r="386" spans="20:42" x14ac:dyDescent="0.2"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</row>
    <row r="387" spans="20:42" x14ac:dyDescent="0.2"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</row>
    <row r="388" spans="20:42" x14ac:dyDescent="0.2"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</row>
    <row r="389" spans="20:42" x14ac:dyDescent="0.2"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</row>
    <row r="390" spans="20:42" x14ac:dyDescent="0.2"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</row>
    <row r="391" spans="20:42" x14ac:dyDescent="0.2"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</row>
    <row r="392" spans="20:42" x14ac:dyDescent="0.2"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</row>
    <row r="393" spans="20:42" x14ac:dyDescent="0.2"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</row>
    <row r="394" spans="20:42" x14ac:dyDescent="0.2"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</row>
    <row r="395" spans="20:42" x14ac:dyDescent="0.2"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</row>
    <row r="396" spans="20:42" x14ac:dyDescent="0.2"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</row>
    <row r="397" spans="20:42" x14ac:dyDescent="0.2"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</row>
    <row r="398" spans="20:42" x14ac:dyDescent="0.2"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</row>
    <row r="399" spans="20:42" x14ac:dyDescent="0.2"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</row>
    <row r="400" spans="20:42" x14ac:dyDescent="0.2"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</row>
    <row r="401" spans="20:42" x14ac:dyDescent="0.2"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</row>
    <row r="402" spans="20:42" x14ac:dyDescent="0.2"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</row>
    <row r="403" spans="20:42" x14ac:dyDescent="0.2"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</row>
    <row r="404" spans="20:42" x14ac:dyDescent="0.2"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</row>
    <row r="405" spans="20:42" x14ac:dyDescent="0.2"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</row>
    <row r="406" spans="20:42" x14ac:dyDescent="0.2"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</row>
    <row r="407" spans="20:42" x14ac:dyDescent="0.2"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</row>
    <row r="408" spans="20:42" x14ac:dyDescent="0.2"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</row>
    <row r="409" spans="20:42" x14ac:dyDescent="0.2"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</row>
    <row r="410" spans="20:42" x14ac:dyDescent="0.2"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</row>
    <row r="411" spans="20:42" x14ac:dyDescent="0.2"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</row>
    <row r="412" spans="20:42" x14ac:dyDescent="0.2"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</row>
    <row r="413" spans="20:42" x14ac:dyDescent="0.2"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</row>
    <row r="414" spans="20:42" x14ac:dyDescent="0.2"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</row>
    <row r="415" spans="20:42" x14ac:dyDescent="0.2"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</row>
    <row r="416" spans="20:42" x14ac:dyDescent="0.2"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</row>
    <row r="417" spans="20:42" x14ac:dyDescent="0.2"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</row>
    <row r="418" spans="20:42" x14ac:dyDescent="0.2"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</row>
    <row r="419" spans="20:42" x14ac:dyDescent="0.2"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</row>
    <row r="420" spans="20:42" x14ac:dyDescent="0.2"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</row>
    <row r="421" spans="20:42" x14ac:dyDescent="0.2"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</row>
    <row r="422" spans="20:42" x14ac:dyDescent="0.2"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</row>
    <row r="423" spans="20:42" x14ac:dyDescent="0.2"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</row>
    <row r="424" spans="20:42" x14ac:dyDescent="0.2"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</row>
    <row r="425" spans="20:42" x14ac:dyDescent="0.2"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</row>
    <row r="426" spans="20:42" x14ac:dyDescent="0.2"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</row>
    <row r="427" spans="20:42" x14ac:dyDescent="0.2"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</row>
    <row r="428" spans="20:42" x14ac:dyDescent="0.2"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</row>
    <row r="429" spans="20:42" x14ac:dyDescent="0.2"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</row>
    <row r="430" spans="20:42" x14ac:dyDescent="0.2"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</row>
    <row r="431" spans="20:42" x14ac:dyDescent="0.2"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</row>
    <row r="432" spans="20:42" x14ac:dyDescent="0.2"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</row>
    <row r="433" spans="20:42" x14ac:dyDescent="0.2"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</row>
    <row r="434" spans="20:42" x14ac:dyDescent="0.2"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</row>
    <row r="435" spans="20:42" x14ac:dyDescent="0.2"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</row>
    <row r="436" spans="20:42" x14ac:dyDescent="0.2"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</row>
    <row r="437" spans="20:42" x14ac:dyDescent="0.2"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</row>
    <row r="438" spans="20:42" x14ac:dyDescent="0.2"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</row>
    <row r="439" spans="20:42" x14ac:dyDescent="0.2"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</row>
    <row r="440" spans="20:42" x14ac:dyDescent="0.2"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</row>
    <row r="441" spans="20:42" x14ac:dyDescent="0.2"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</row>
    <row r="442" spans="20:42" x14ac:dyDescent="0.2"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</row>
    <row r="443" spans="20:42" x14ac:dyDescent="0.2"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</row>
    <row r="444" spans="20:42" x14ac:dyDescent="0.2"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</row>
    <row r="445" spans="20:42" x14ac:dyDescent="0.2"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</row>
    <row r="446" spans="20:42" x14ac:dyDescent="0.2"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</row>
    <row r="447" spans="20:42" x14ac:dyDescent="0.2"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</row>
  </sheetData>
  <sortState xmlns:xlrd2="http://schemas.microsoft.com/office/spreadsheetml/2017/richdata2" ref="A11:S367">
    <sortCondition ref="D11:D367" customList="annual,A/P,perennial"/>
    <sortCondition ref="E11:E367" customList="woody,herb,vine"/>
    <sortCondition ref="A11:A36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43251-905F-8C46-9329-2178A3857177}">
  <dimension ref="A1:AX581"/>
  <sheetViews>
    <sheetView topLeftCell="A51" zoomScale="130" zoomScaleNormal="130" workbookViewId="0">
      <selection activeCell="A49" sqref="A49"/>
    </sheetView>
  </sheetViews>
  <sheetFormatPr baseColWidth="10" defaultRowHeight="16" x14ac:dyDescent="0.2"/>
  <cols>
    <col min="1" max="1" width="17.1640625" style="104" customWidth="1"/>
    <col min="2" max="2" width="16.33203125" style="104" customWidth="1"/>
    <col min="3" max="3" width="20.83203125" style="105" customWidth="1"/>
    <col min="4" max="4" width="10.83203125" style="105"/>
    <col min="5" max="5" width="13.1640625" style="105" customWidth="1"/>
    <col min="6" max="8" width="10.83203125" style="105"/>
    <col min="9" max="9" width="10.83203125" style="1"/>
    <col min="10" max="19" width="10.83203125" style="5"/>
    <col min="20" max="20" width="10.83203125" style="106"/>
    <col min="21" max="21" width="20.33203125" style="106" customWidth="1"/>
    <col min="22" max="46" width="10.83203125" style="106"/>
    <col min="47" max="16384" width="10.83203125" style="1"/>
  </cols>
  <sheetData>
    <row r="1" spans="1:50" s="219" customFormat="1" x14ac:dyDescent="0.2">
      <c r="A1" s="218" t="s">
        <v>1089</v>
      </c>
      <c r="B1" s="218"/>
      <c r="C1" s="218"/>
      <c r="D1" s="218"/>
      <c r="E1" s="218"/>
      <c r="F1" s="218"/>
      <c r="G1" s="218"/>
      <c r="H1" s="218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</row>
    <row r="2" spans="1:50" s="2" customFormat="1" ht="49" customHeight="1" x14ac:dyDescent="0.2">
      <c r="A2" s="88" t="s">
        <v>1</v>
      </c>
      <c r="B2" s="88" t="s">
        <v>2</v>
      </c>
      <c r="C2" s="89" t="s">
        <v>3</v>
      </c>
      <c r="D2" s="89" t="s">
        <v>4</v>
      </c>
      <c r="E2" s="89" t="s">
        <v>5</v>
      </c>
      <c r="F2" s="89" t="s">
        <v>779</v>
      </c>
      <c r="G2" s="89" t="s">
        <v>6</v>
      </c>
      <c r="H2" s="89" t="s">
        <v>7</v>
      </c>
      <c r="I2" s="7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8" t="s">
        <v>13</v>
      </c>
      <c r="O2" s="11" t="s">
        <v>14</v>
      </c>
      <c r="P2" s="119" t="s">
        <v>786</v>
      </c>
      <c r="Q2" s="11" t="s">
        <v>15</v>
      </c>
      <c r="R2" s="11" t="s">
        <v>16</v>
      </c>
      <c r="S2" s="11" t="s">
        <v>17</v>
      </c>
      <c r="T2" s="11"/>
      <c r="U2" s="12"/>
      <c r="V2" s="11"/>
      <c r="W2" s="11"/>
      <c r="X2" s="11"/>
      <c r="Y2" s="11"/>
      <c r="Z2" s="11"/>
      <c r="AA2" s="11"/>
      <c r="AB2" s="11"/>
      <c r="AC2" s="11"/>
      <c r="AD2" s="90"/>
      <c r="AE2" s="91"/>
      <c r="AF2" s="90"/>
      <c r="AG2" s="91"/>
      <c r="AH2" s="90"/>
      <c r="AI2" s="91"/>
      <c r="AJ2" s="90"/>
      <c r="AK2" s="91"/>
      <c r="AL2" s="90"/>
      <c r="AM2" s="91"/>
      <c r="AN2" s="90"/>
      <c r="AO2" s="11"/>
      <c r="AP2" s="11"/>
      <c r="AQ2" s="11"/>
      <c r="AR2" s="11"/>
      <c r="AS2" s="11"/>
      <c r="AT2" s="5"/>
      <c r="AU2" s="5"/>
      <c r="AV2" s="5"/>
      <c r="AW2" s="5"/>
      <c r="AX2" s="5"/>
    </row>
    <row r="3" spans="1:50" s="2" customFormat="1" ht="44" customHeight="1" x14ac:dyDescent="0.2">
      <c r="A3" s="92"/>
      <c r="B3" s="92"/>
      <c r="C3" s="93"/>
      <c r="D3" s="93"/>
      <c r="E3" s="93"/>
      <c r="F3" s="94"/>
      <c r="G3" s="93"/>
      <c r="H3" s="93"/>
      <c r="I3" s="13"/>
      <c r="J3" s="19" t="s">
        <v>18</v>
      </c>
      <c r="K3" s="19" t="s">
        <v>18</v>
      </c>
      <c r="L3" s="19" t="s">
        <v>19</v>
      </c>
      <c r="M3" s="19" t="s">
        <v>19</v>
      </c>
      <c r="N3" s="120" t="s">
        <v>19</v>
      </c>
      <c r="O3" s="19" t="s">
        <v>19</v>
      </c>
      <c r="P3" s="121" t="s">
        <v>20</v>
      </c>
      <c r="Q3" s="19" t="s">
        <v>21</v>
      </c>
      <c r="R3" s="19" t="s">
        <v>19</v>
      </c>
      <c r="S3" s="19" t="s">
        <v>22</v>
      </c>
      <c r="T3" s="19"/>
      <c r="U3" s="19"/>
      <c r="V3" s="19"/>
      <c r="W3" s="19"/>
      <c r="X3" s="19"/>
      <c r="Y3" s="19"/>
      <c r="Z3" s="19"/>
      <c r="AA3" s="19"/>
      <c r="AB3" s="19"/>
      <c r="AC3" s="19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19"/>
      <c r="AP3" s="19"/>
      <c r="AQ3" s="19"/>
      <c r="AR3" s="19"/>
      <c r="AS3" s="19"/>
      <c r="AT3" s="5"/>
      <c r="AU3" s="5"/>
      <c r="AV3" s="5"/>
      <c r="AW3" s="5"/>
      <c r="AX3" s="5"/>
    </row>
    <row r="4" spans="1:50" s="2" customFormat="1" ht="34" customHeight="1" x14ac:dyDescent="0.2">
      <c r="A4" s="92"/>
      <c r="B4" s="92"/>
      <c r="C4" s="93"/>
      <c r="D4" s="93"/>
      <c r="E4" s="93"/>
      <c r="F4" s="94"/>
      <c r="G4" s="93"/>
      <c r="H4" s="93"/>
      <c r="I4" s="13"/>
      <c r="J4" s="19"/>
      <c r="K4" s="19"/>
      <c r="L4" s="19"/>
      <c r="M4" s="19"/>
      <c r="N4" s="120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19"/>
      <c r="AP4" s="19"/>
      <c r="AQ4" s="19"/>
      <c r="AR4" s="19"/>
      <c r="AS4" s="19"/>
      <c r="AT4" s="5"/>
      <c r="AU4" s="5"/>
      <c r="AV4" s="5"/>
      <c r="AW4" s="5"/>
      <c r="AX4" s="5"/>
    </row>
    <row r="5" spans="1:50" s="99" customFormat="1" ht="28" customHeight="1" x14ac:dyDescent="0.2">
      <c r="A5" s="222" t="s">
        <v>1090</v>
      </c>
      <c r="B5" s="223"/>
      <c r="C5" s="222"/>
      <c r="D5" s="222"/>
      <c r="E5" s="222"/>
      <c r="F5" s="222"/>
      <c r="G5" s="222"/>
      <c r="H5" s="224"/>
      <c r="I5" s="225"/>
      <c r="J5" s="100" t="s">
        <v>800</v>
      </c>
      <c r="K5" s="188" t="s">
        <v>801</v>
      </c>
      <c r="L5" s="188" t="s">
        <v>802</v>
      </c>
      <c r="M5" s="188" t="s">
        <v>803</v>
      </c>
      <c r="N5" s="109" t="s">
        <v>804</v>
      </c>
      <c r="O5" s="188" t="s">
        <v>805</v>
      </c>
      <c r="P5" s="188" t="s">
        <v>806</v>
      </c>
      <c r="Q5" s="188" t="s">
        <v>807</v>
      </c>
      <c r="R5" s="188" t="s">
        <v>808</v>
      </c>
      <c r="S5" s="188" t="s">
        <v>809</v>
      </c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</row>
    <row r="6" spans="1:50" s="99" customFormat="1" ht="34" customHeight="1" x14ac:dyDescent="0.2">
      <c r="A6" s="96"/>
      <c r="B6" s="96"/>
      <c r="C6" s="97"/>
      <c r="D6" s="97"/>
      <c r="E6" s="97"/>
      <c r="F6" s="97"/>
      <c r="G6" s="97"/>
      <c r="H6" s="98"/>
      <c r="J6" s="100" t="s">
        <v>810</v>
      </c>
      <c r="K6" s="189" t="s">
        <v>811</v>
      </c>
      <c r="L6" s="189" t="s">
        <v>812</v>
      </c>
      <c r="M6" s="189" t="s">
        <v>813</v>
      </c>
      <c r="N6" s="107" t="s">
        <v>814</v>
      </c>
      <c r="O6" s="189" t="s">
        <v>815</v>
      </c>
      <c r="P6" s="189" t="s">
        <v>816</v>
      </c>
      <c r="Q6" s="189" t="s">
        <v>817</v>
      </c>
      <c r="R6" s="189" t="s">
        <v>818</v>
      </c>
      <c r="S6" s="189" t="s">
        <v>819</v>
      </c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</row>
    <row r="7" spans="1:50" s="99" customFormat="1" ht="34" customHeight="1" x14ac:dyDescent="0.2">
      <c r="A7" s="96"/>
      <c r="B7" s="96"/>
      <c r="C7" s="97"/>
      <c r="D7" s="97"/>
      <c r="E7" s="97"/>
      <c r="F7" s="97"/>
      <c r="G7" s="97"/>
      <c r="H7" s="98"/>
      <c r="J7" s="100" t="s">
        <v>820</v>
      </c>
      <c r="K7" s="190" t="s">
        <v>821</v>
      </c>
      <c r="L7" s="190" t="s">
        <v>822</v>
      </c>
      <c r="M7" s="190" t="s">
        <v>823</v>
      </c>
      <c r="N7" s="108" t="s">
        <v>824</v>
      </c>
      <c r="O7" s="190" t="s">
        <v>825</v>
      </c>
      <c r="P7" s="190" t="s">
        <v>826</v>
      </c>
      <c r="Q7" s="190" t="s">
        <v>827</v>
      </c>
      <c r="R7" s="190" t="s">
        <v>828</v>
      </c>
      <c r="S7" s="190" t="s">
        <v>829</v>
      </c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</row>
    <row r="8" spans="1:50" s="99" customFormat="1" ht="33" customHeight="1" x14ac:dyDescent="0.2">
      <c r="A8" s="96"/>
      <c r="B8" s="96"/>
      <c r="C8" s="97"/>
      <c r="D8" s="97"/>
      <c r="E8" s="97"/>
      <c r="F8" s="97"/>
      <c r="G8" s="97"/>
      <c r="H8" s="98"/>
      <c r="J8" s="100" t="s">
        <v>830</v>
      </c>
      <c r="K8" s="191" t="s">
        <v>831</v>
      </c>
      <c r="L8" s="191" t="s">
        <v>832</v>
      </c>
      <c r="M8" s="191" t="s">
        <v>833</v>
      </c>
      <c r="N8" s="60" t="s">
        <v>834</v>
      </c>
      <c r="O8" s="191" t="s">
        <v>835</v>
      </c>
      <c r="P8" s="191" t="s">
        <v>836</v>
      </c>
      <c r="Q8" s="191" t="s">
        <v>837</v>
      </c>
      <c r="R8" s="191" t="s">
        <v>838</v>
      </c>
      <c r="S8" s="191" t="s">
        <v>839</v>
      </c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</row>
    <row r="9" spans="1:50" s="99" customFormat="1" ht="31" customHeight="1" x14ac:dyDescent="0.2">
      <c r="A9" s="96"/>
      <c r="B9" s="96"/>
      <c r="C9" s="97"/>
      <c r="D9" s="97"/>
      <c r="E9" s="97"/>
      <c r="F9" s="97"/>
      <c r="G9" s="97"/>
      <c r="H9" s="98"/>
      <c r="J9" s="100" t="s">
        <v>840</v>
      </c>
      <c r="K9" s="192" t="s">
        <v>841</v>
      </c>
      <c r="L9" s="192" t="s">
        <v>842</v>
      </c>
      <c r="M9" s="192" t="s">
        <v>843</v>
      </c>
      <c r="N9" s="193" t="s">
        <v>844</v>
      </c>
      <c r="O9" s="192" t="s">
        <v>845</v>
      </c>
      <c r="P9" s="192" t="s">
        <v>846</v>
      </c>
      <c r="Q9" s="192" t="s">
        <v>847</v>
      </c>
      <c r="R9" s="192" t="s">
        <v>848</v>
      </c>
      <c r="S9" s="192" t="s">
        <v>849</v>
      </c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</row>
    <row r="10" spans="1:50" s="99" customFormat="1" ht="52" customHeight="1" x14ac:dyDescent="0.2">
      <c r="A10" s="96"/>
      <c r="B10" s="96"/>
      <c r="C10" s="97"/>
      <c r="D10" s="97"/>
      <c r="E10" s="97"/>
      <c r="F10" s="97"/>
      <c r="G10" s="97"/>
      <c r="H10" s="98"/>
      <c r="J10" s="100" t="s">
        <v>850</v>
      </c>
      <c r="K10" s="194" t="s">
        <v>851</v>
      </c>
      <c r="L10" s="194" t="s">
        <v>852</v>
      </c>
      <c r="M10" s="194" t="s">
        <v>853</v>
      </c>
      <c r="N10" s="195" t="s">
        <v>854</v>
      </c>
      <c r="O10" s="194" t="s">
        <v>855</v>
      </c>
      <c r="P10" s="194" t="s">
        <v>856</v>
      </c>
      <c r="Q10" s="194" t="s">
        <v>857</v>
      </c>
      <c r="R10" s="194" t="s">
        <v>858</v>
      </c>
      <c r="S10" s="194" t="s">
        <v>859</v>
      </c>
      <c r="T10" s="102"/>
      <c r="U10" s="102"/>
      <c r="V10" s="102"/>
      <c r="W10" s="102"/>
      <c r="X10" s="102"/>
      <c r="Y10" s="103"/>
      <c r="Z10" s="101"/>
      <c r="AA10" s="102"/>
      <c r="AB10" s="102"/>
      <c r="AC10" s="102"/>
      <c r="AD10" s="102"/>
      <c r="AE10" s="102"/>
      <c r="AF10" s="102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</row>
    <row r="11" spans="1:50" s="230" customFormat="1" ht="52" customHeight="1" x14ac:dyDescent="0.2">
      <c r="A11" s="226" t="s">
        <v>1052</v>
      </c>
      <c r="B11" s="227"/>
      <c r="C11" s="228"/>
      <c r="D11" s="228"/>
      <c r="E11" s="228"/>
      <c r="F11" s="228"/>
      <c r="G11" s="228"/>
      <c r="H11" s="229"/>
      <c r="J11" s="231"/>
      <c r="K11" s="232"/>
      <c r="L11" s="232"/>
      <c r="M11" s="232"/>
      <c r="N11" s="233"/>
      <c r="O11" s="232"/>
      <c r="P11" s="232"/>
      <c r="Q11" s="232"/>
      <c r="R11" s="232"/>
      <c r="S11" s="232"/>
      <c r="T11" s="234"/>
      <c r="U11" s="226" t="s">
        <v>1052</v>
      </c>
      <c r="V11" s="234"/>
      <c r="W11" s="234"/>
      <c r="X11" s="234"/>
      <c r="Y11" s="235"/>
      <c r="Z11" s="236"/>
      <c r="AA11" s="234"/>
      <c r="AB11" s="234"/>
      <c r="AC11" s="234"/>
      <c r="AD11" s="234"/>
      <c r="AE11" s="234"/>
      <c r="AF11" s="234"/>
      <c r="AG11" s="236"/>
      <c r="AH11" s="236"/>
      <c r="AI11" s="236"/>
      <c r="AJ11" s="236"/>
      <c r="AK11" s="236"/>
      <c r="AL11" s="236"/>
      <c r="AM11" s="236"/>
      <c r="AN11" s="236"/>
      <c r="AO11" s="236"/>
      <c r="AP11" s="236"/>
      <c r="AQ11" s="236"/>
      <c r="AR11" s="236"/>
      <c r="AS11" s="236"/>
      <c r="AT11" s="236"/>
    </row>
    <row r="12" spans="1:50" x14ac:dyDescent="0.2">
      <c r="A12" s="104" t="s">
        <v>23</v>
      </c>
      <c r="B12" s="104" t="s">
        <v>30</v>
      </c>
      <c r="C12" s="105" t="s">
        <v>34</v>
      </c>
      <c r="D12" s="105" t="s">
        <v>31</v>
      </c>
      <c r="E12" s="105" t="s">
        <v>32</v>
      </c>
      <c r="F12" s="105" t="s">
        <v>783</v>
      </c>
      <c r="H12" s="105" t="s">
        <v>33</v>
      </c>
      <c r="J12" s="5">
        <v>89.666666666666671</v>
      </c>
      <c r="K12" s="5">
        <v>1.8025</v>
      </c>
      <c r="L12" s="107">
        <v>401</v>
      </c>
      <c r="M12" s="108">
        <v>2.0966666666666667</v>
      </c>
      <c r="N12" s="5">
        <v>18</v>
      </c>
      <c r="O12" s="109">
        <v>1.4</v>
      </c>
      <c r="P12" s="5">
        <v>4.4999999999999998E-2</v>
      </c>
      <c r="Q12" s="5" t="s">
        <v>0</v>
      </c>
      <c r="R12" s="108">
        <v>86</v>
      </c>
      <c r="S12" s="107">
        <v>3.2549999999999999</v>
      </c>
      <c r="T12" s="5"/>
      <c r="U12" s="197" t="s">
        <v>1047</v>
      </c>
      <c r="V12" s="5">
        <f>(47-11)*9</f>
        <v>324</v>
      </c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</row>
    <row r="13" spans="1:50" x14ac:dyDescent="0.2">
      <c r="A13" s="104" t="s">
        <v>35</v>
      </c>
      <c r="B13" s="104" t="s">
        <v>39</v>
      </c>
      <c r="C13" s="105" t="s">
        <v>862</v>
      </c>
      <c r="D13" s="105" t="s">
        <v>31</v>
      </c>
      <c r="E13" s="105" t="s">
        <v>32</v>
      </c>
      <c r="F13" s="105" t="s">
        <v>781</v>
      </c>
      <c r="H13" s="105" t="s">
        <v>33</v>
      </c>
      <c r="J13" s="5">
        <v>82.4</v>
      </c>
      <c r="K13" s="107">
        <v>3.9</v>
      </c>
      <c r="L13" s="5">
        <v>41</v>
      </c>
      <c r="M13" s="107">
        <v>2.5</v>
      </c>
      <c r="O13" s="108">
        <v>0.5</v>
      </c>
      <c r="P13" s="5" t="s">
        <v>0</v>
      </c>
      <c r="R13" s="5">
        <v>47</v>
      </c>
      <c r="T13" s="5"/>
      <c r="U13" s="197" t="s">
        <v>1048</v>
      </c>
      <c r="V13" s="5">
        <f>COUNTBLANK(K12:S47)</f>
        <v>94</v>
      </c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</row>
    <row r="14" spans="1:50" x14ac:dyDescent="0.2">
      <c r="A14" s="104" t="s">
        <v>48</v>
      </c>
      <c r="B14" s="104" t="s">
        <v>49</v>
      </c>
      <c r="C14" s="105" t="s">
        <v>50</v>
      </c>
      <c r="D14" s="105" t="s">
        <v>31</v>
      </c>
      <c r="E14" s="105" t="s">
        <v>32</v>
      </c>
      <c r="F14" s="105" t="s">
        <v>781</v>
      </c>
      <c r="H14" s="105" t="s">
        <v>33</v>
      </c>
      <c r="J14" s="5">
        <v>77.650000000000006</v>
      </c>
      <c r="K14" s="5">
        <v>1.9937499999999997</v>
      </c>
      <c r="L14" s="107">
        <v>297.375</v>
      </c>
      <c r="M14" s="108">
        <v>1.8337500000000002</v>
      </c>
      <c r="N14" s="5">
        <v>26</v>
      </c>
      <c r="O14" s="107">
        <v>0.85250000000000004</v>
      </c>
      <c r="P14" s="5">
        <v>0.22500000000000001</v>
      </c>
      <c r="Q14" s="5">
        <v>36.75</v>
      </c>
      <c r="R14" s="5">
        <v>61.5</v>
      </c>
      <c r="S14" s="107">
        <v>4.0133333333333336</v>
      </c>
      <c r="T14" s="5"/>
      <c r="U14" s="197" t="s">
        <v>1049</v>
      </c>
      <c r="V14" s="5">
        <f>V12-V13</f>
        <v>230</v>
      </c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</row>
    <row r="15" spans="1:50" x14ac:dyDescent="0.2">
      <c r="A15" s="104" t="s">
        <v>93</v>
      </c>
      <c r="B15" s="104" t="s">
        <v>96</v>
      </c>
      <c r="C15" s="105" t="s">
        <v>97</v>
      </c>
      <c r="D15" s="105" t="s">
        <v>31</v>
      </c>
      <c r="E15" s="105" t="s">
        <v>32</v>
      </c>
      <c r="F15" s="105" t="s">
        <v>781</v>
      </c>
      <c r="H15" s="105" t="s">
        <v>33</v>
      </c>
      <c r="J15" s="5">
        <v>86.066666666666663</v>
      </c>
      <c r="K15" s="108">
        <v>2.8693333333333335</v>
      </c>
      <c r="L15" s="5">
        <v>54.336000000000013</v>
      </c>
      <c r="M15" s="109">
        <v>5.2360000000000007</v>
      </c>
      <c r="N15" s="5">
        <v>33</v>
      </c>
      <c r="O15" s="107">
        <v>0.8</v>
      </c>
      <c r="Q15" s="108">
        <v>160</v>
      </c>
      <c r="R15" s="5">
        <v>8.5</v>
      </c>
      <c r="S15" s="107">
        <v>4.3</v>
      </c>
      <c r="T15" s="5"/>
      <c r="U15" s="197" t="s">
        <v>1045</v>
      </c>
      <c r="V15" s="5">
        <f>34</f>
        <v>34</v>
      </c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</row>
    <row r="16" spans="1:50" x14ac:dyDescent="0.2">
      <c r="A16" s="104" t="s">
        <v>116</v>
      </c>
      <c r="B16" s="104" t="s">
        <v>117</v>
      </c>
      <c r="C16" s="105" t="s">
        <v>118</v>
      </c>
      <c r="D16" s="105" t="s">
        <v>31</v>
      </c>
      <c r="E16" s="105" t="s">
        <v>32</v>
      </c>
      <c r="F16" s="105" t="s">
        <v>783</v>
      </c>
      <c r="H16" s="105" t="s">
        <v>33</v>
      </c>
      <c r="J16" s="5">
        <v>0.6</v>
      </c>
      <c r="K16" s="107">
        <v>5.74</v>
      </c>
      <c r="L16" s="109">
        <v>912</v>
      </c>
      <c r="M16" s="109">
        <v>18.600000000000001</v>
      </c>
      <c r="N16" s="109">
        <v>610</v>
      </c>
      <c r="T16" s="5"/>
      <c r="U16" s="197" t="s">
        <v>1046</v>
      </c>
      <c r="V16" s="5">
        <v>69</v>
      </c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</row>
    <row r="17" spans="1:50" x14ac:dyDescent="0.2">
      <c r="A17" s="104" t="s">
        <v>769</v>
      </c>
      <c r="B17" s="104" t="s">
        <v>770</v>
      </c>
      <c r="C17" s="105" t="s">
        <v>864</v>
      </c>
      <c r="D17" s="105" t="s">
        <v>31</v>
      </c>
      <c r="E17" s="105" t="s">
        <v>32</v>
      </c>
      <c r="F17" s="105" t="s">
        <v>781</v>
      </c>
      <c r="H17" s="105" t="s">
        <v>33</v>
      </c>
      <c r="J17" s="5">
        <v>33.700000000000003</v>
      </c>
      <c r="K17" s="107">
        <v>6.76</v>
      </c>
      <c r="L17" s="5">
        <v>106.08</v>
      </c>
      <c r="T17" s="5"/>
      <c r="U17" s="197" t="s">
        <v>1050</v>
      </c>
      <c r="V17" s="196">
        <f>(V15+V16)/V14</f>
        <v>0.44782608695652176</v>
      </c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</row>
    <row r="18" spans="1:50" x14ac:dyDescent="0.2">
      <c r="A18" s="104" t="s">
        <v>233</v>
      </c>
      <c r="B18" s="104" t="s">
        <v>234</v>
      </c>
      <c r="C18" s="105" t="s">
        <v>235</v>
      </c>
      <c r="D18" s="105" t="s">
        <v>31</v>
      </c>
      <c r="E18" s="105" t="s">
        <v>32</v>
      </c>
      <c r="F18" s="105" t="s">
        <v>783</v>
      </c>
      <c r="H18" s="105" t="s">
        <v>33</v>
      </c>
      <c r="J18" s="5">
        <v>79.100000000000009</v>
      </c>
      <c r="K18" s="5">
        <v>2.3999600000000001</v>
      </c>
      <c r="L18" s="107">
        <v>277.66613333333333</v>
      </c>
      <c r="M18" s="109">
        <v>4.6011142857142859</v>
      </c>
      <c r="N18" s="107">
        <v>88</v>
      </c>
      <c r="P18" s="109">
        <v>1.3778608965588721</v>
      </c>
      <c r="R18" s="107">
        <v>216.66679999999997</v>
      </c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</row>
    <row r="19" spans="1:50" x14ac:dyDescent="0.2">
      <c r="A19" s="104" t="s">
        <v>268</v>
      </c>
      <c r="B19" s="104" t="s">
        <v>269</v>
      </c>
      <c r="C19" s="105" t="s">
        <v>271</v>
      </c>
      <c r="D19" s="105" t="s">
        <v>31</v>
      </c>
      <c r="E19" s="105" t="s">
        <v>32</v>
      </c>
      <c r="F19" s="105" t="s">
        <v>783</v>
      </c>
      <c r="H19" s="105" t="s">
        <v>33</v>
      </c>
      <c r="J19" s="5">
        <v>81.433333333333337</v>
      </c>
      <c r="K19" s="5">
        <v>2.4818666666666669</v>
      </c>
      <c r="L19" s="107">
        <v>314.0010666666667</v>
      </c>
      <c r="M19" s="109">
        <v>4.6973333333333338</v>
      </c>
      <c r="P19" s="5">
        <v>0.33350000000000002</v>
      </c>
      <c r="R19" s="108">
        <v>83.322400000000002</v>
      </c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</row>
    <row r="20" spans="1:50" x14ac:dyDescent="0.2">
      <c r="A20" s="21" t="s">
        <v>759</v>
      </c>
      <c r="B20" s="21" t="s">
        <v>720</v>
      </c>
      <c r="C20" s="110" t="s">
        <v>1002</v>
      </c>
      <c r="D20" s="22" t="s">
        <v>31</v>
      </c>
      <c r="E20" s="22" t="s">
        <v>32</v>
      </c>
      <c r="F20" s="22" t="s">
        <v>781</v>
      </c>
      <c r="G20" s="22"/>
      <c r="H20" s="22" t="s">
        <v>33</v>
      </c>
      <c r="J20" s="5">
        <v>78.099999999999994</v>
      </c>
      <c r="K20" s="108">
        <v>3</v>
      </c>
      <c r="L20" s="107">
        <v>639.1</v>
      </c>
      <c r="M20" s="107">
        <v>4.0999999999999996</v>
      </c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</row>
    <row r="21" spans="1:50" x14ac:dyDescent="0.2">
      <c r="A21" s="104" t="s">
        <v>729</v>
      </c>
      <c r="B21" s="104" t="s">
        <v>130</v>
      </c>
      <c r="C21" s="105" t="s">
        <v>730</v>
      </c>
      <c r="D21" s="105" t="s">
        <v>31</v>
      </c>
      <c r="E21" s="105" t="s">
        <v>32</v>
      </c>
      <c r="F21" s="105" t="s">
        <v>781</v>
      </c>
      <c r="H21" s="105" t="s">
        <v>33</v>
      </c>
      <c r="J21" s="5">
        <v>65</v>
      </c>
      <c r="K21" s="108">
        <v>2.7</v>
      </c>
      <c r="L21" s="5">
        <v>5</v>
      </c>
      <c r="M21" s="5">
        <v>1</v>
      </c>
      <c r="N21" s="107">
        <v>106</v>
      </c>
      <c r="O21" s="5">
        <v>0.4</v>
      </c>
      <c r="P21" s="5" t="s">
        <v>0</v>
      </c>
      <c r="R21" s="5">
        <v>60</v>
      </c>
      <c r="S21" s="108">
        <v>2</v>
      </c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</row>
    <row r="22" spans="1:50" x14ac:dyDescent="0.2">
      <c r="A22" s="104" t="s">
        <v>350</v>
      </c>
      <c r="B22" s="104" t="s">
        <v>354</v>
      </c>
      <c r="C22" s="105" t="s">
        <v>355</v>
      </c>
      <c r="D22" s="105" t="s">
        <v>31</v>
      </c>
      <c r="E22" s="105" t="s">
        <v>32</v>
      </c>
      <c r="F22" s="105" t="s">
        <v>781</v>
      </c>
      <c r="H22" s="105" t="s">
        <v>33</v>
      </c>
      <c r="J22" s="5">
        <v>73.2</v>
      </c>
      <c r="K22" s="107">
        <v>6.3022666666666671</v>
      </c>
      <c r="L22" s="5">
        <v>150.74307500000003</v>
      </c>
      <c r="M22" s="109">
        <v>4.3560800000000004</v>
      </c>
      <c r="N22" s="108">
        <v>70</v>
      </c>
      <c r="O22" s="5">
        <v>0.4</v>
      </c>
      <c r="P22" s="108">
        <v>0.54997194444444442</v>
      </c>
      <c r="R22" s="107">
        <v>131.32926666666665</v>
      </c>
      <c r="S22" s="108">
        <v>2</v>
      </c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</row>
    <row r="23" spans="1:50" x14ac:dyDescent="0.2">
      <c r="A23" s="104" t="s">
        <v>417</v>
      </c>
      <c r="B23" s="104" t="s">
        <v>57</v>
      </c>
      <c r="C23" s="105" t="s">
        <v>418</v>
      </c>
      <c r="D23" s="105" t="s">
        <v>31</v>
      </c>
      <c r="E23" s="105" t="s">
        <v>32</v>
      </c>
      <c r="F23" s="105" t="s">
        <v>783</v>
      </c>
      <c r="H23" s="105" t="s">
        <v>33</v>
      </c>
      <c r="J23" s="5">
        <v>89.174999999999997</v>
      </c>
      <c r="K23" s="5">
        <v>1.64</v>
      </c>
      <c r="L23" s="5">
        <v>112.09600479999999</v>
      </c>
      <c r="M23" s="107">
        <v>3.5347952</v>
      </c>
      <c r="N23" s="108">
        <v>74</v>
      </c>
      <c r="O23" s="5">
        <v>0.42</v>
      </c>
      <c r="P23" s="108">
        <v>0.38993055555555556</v>
      </c>
      <c r="Q23" s="5">
        <v>76</v>
      </c>
      <c r="R23" s="5">
        <v>20.599520000000002</v>
      </c>
      <c r="S23" s="109">
        <v>8.9450000000000003</v>
      </c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</row>
    <row r="24" spans="1:50" x14ac:dyDescent="0.2">
      <c r="A24" s="104" t="s">
        <v>427</v>
      </c>
      <c r="B24" s="104" t="s">
        <v>245</v>
      </c>
      <c r="C24" s="105" t="s">
        <v>428</v>
      </c>
      <c r="D24" s="105" t="s">
        <v>31</v>
      </c>
      <c r="E24" s="105" t="s">
        <v>32</v>
      </c>
      <c r="F24" s="105" t="s">
        <v>783</v>
      </c>
      <c r="H24" s="105" t="s">
        <v>33</v>
      </c>
      <c r="J24" s="5">
        <v>79.72</v>
      </c>
      <c r="K24" s="108">
        <v>2.9033333333333329</v>
      </c>
      <c r="L24" s="107">
        <v>242</v>
      </c>
      <c r="M24" s="109">
        <v>4.3366666666666669</v>
      </c>
      <c r="N24" s="5" t="s">
        <v>0</v>
      </c>
      <c r="O24" s="109">
        <v>1.79</v>
      </c>
      <c r="P24" s="107">
        <v>1.0192856550580431</v>
      </c>
      <c r="Q24" s="5">
        <v>95</v>
      </c>
      <c r="R24" s="109">
        <v>273.8</v>
      </c>
      <c r="S24" s="109">
        <v>13.06</v>
      </c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</row>
    <row r="25" spans="1:50" x14ac:dyDescent="0.2">
      <c r="A25" s="104" t="s">
        <v>435</v>
      </c>
      <c r="B25" s="104" t="s">
        <v>436</v>
      </c>
      <c r="C25" s="105" t="s">
        <v>437</v>
      </c>
      <c r="D25" s="105" t="s">
        <v>31</v>
      </c>
      <c r="E25" s="105" t="s">
        <v>32</v>
      </c>
      <c r="F25" s="105" t="s">
        <v>781</v>
      </c>
      <c r="H25" s="105" t="s">
        <v>33</v>
      </c>
      <c r="J25" s="5">
        <v>76.599999999999994</v>
      </c>
      <c r="K25" s="108">
        <v>3.4</v>
      </c>
      <c r="M25" s="107">
        <v>3.7</v>
      </c>
      <c r="P25" s="5">
        <v>0.26533996683250416</v>
      </c>
      <c r="R25" s="108">
        <v>115</v>
      </c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</row>
    <row r="26" spans="1:50" x14ac:dyDescent="0.2">
      <c r="A26" s="104" t="s">
        <v>451</v>
      </c>
      <c r="B26" s="104" t="s">
        <v>453</v>
      </c>
      <c r="C26" s="105" t="s">
        <v>454</v>
      </c>
      <c r="D26" s="105" t="s">
        <v>31</v>
      </c>
      <c r="E26" s="105" t="s">
        <v>32</v>
      </c>
      <c r="F26" s="105" t="s">
        <v>781</v>
      </c>
      <c r="H26" s="105" t="s">
        <v>33</v>
      </c>
      <c r="J26" s="5">
        <v>76.331999999999994</v>
      </c>
      <c r="K26" s="5">
        <v>1.3626666666666665</v>
      </c>
      <c r="L26" s="5">
        <v>107.98155294117647</v>
      </c>
      <c r="M26" s="107">
        <v>3.4741111111111111</v>
      </c>
      <c r="N26" s="107">
        <v>112</v>
      </c>
      <c r="O26" s="107">
        <v>0.62714285714285711</v>
      </c>
      <c r="P26" s="5">
        <v>0.30090336820797969</v>
      </c>
      <c r="Q26" s="5">
        <v>73.785714285714292</v>
      </c>
      <c r="R26" s="107">
        <v>218.61717647058822</v>
      </c>
      <c r="S26" s="108">
        <v>1.6158333333333335</v>
      </c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</row>
    <row r="27" spans="1:50" x14ac:dyDescent="0.2">
      <c r="A27" s="104" t="s">
        <v>455</v>
      </c>
      <c r="B27" s="104" t="s">
        <v>137</v>
      </c>
      <c r="C27" s="105" t="s">
        <v>458</v>
      </c>
      <c r="D27" s="105" t="s">
        <v>31</v>
      </c>
      <c r="E27" s="105" t="s">
        <v>32</v>
      </c>
      <c r="F27" s="105" t="s">
        <v>781</v>
      </c>
      <c r="H27" s="105" t="s">
        <v>33</v>
      </c>
      <c r="J27" s="5">
        <v>73.5</v>
      </c>
      <c r="K27" s="107">
        <v>4.08</v>
      </c>
      <c r="L27" s="107">
        <v>648.05333333333328</v>
      </c>
      <c r="M27" s="109">
        <v>14.377500000000001</v>
      </c>
      <c r="N27" s="107">
        <v>159.04</v>
      </c>
      <c r="O27" s="109">
        <v>1.1850000000000001</v>
      </c>
      <c r="P27" s="107">
        <v>0.61719999999999997</v>
      </c>
      <c r="R27" s="107">
        <v>220</v>
      </c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</row>
    <row r="28" spans="1:50" x14ac:dyDescent="0.2">
      <c r="A28" s="104" t="s">
        <v>478</v>
      </c>
      <c r="B28" s="104" t="s">
        <v>479</v>
      </c>
      <c r="C28" s="105" t="s">
        <v>480</v>
      </c>
      <c r="D28" s="105" t="s">
        <v>31</v>
      </c>
      <c r="E28" s="105" t="s">
        <v>32</v>
      </c>
      <c r="F28" s="105" t="s">
        <v>886</v>
      </c>
      <c r="H28" s="105" t="s">
        <v>33</v>
      </c>
      <c r="J28" s="5">
        <v>91.555000000000007</v>
      </c>
      <c r="K28" s="5">
        <v>2.1475</v>
      </c>
      <c r="L28" s="5">
        <v>112</v>
      </c>
      <c r="M28" s="5">
        <v>0.59749999999999992</v>
      </c>
      <c r="N28" s="5">
        <v>52.666666666666664</v>
      </c>
      <c r="O28" s="5">
        <v>0.17666666666666667</v>
      </c>
      <c r="P28" s="5">
        <v>9.4283333333333344E-2</v>
      </c>
      <c r="Q28" s="5">
        <v>3</v>
      </c>
      <c r="R28" s="5">
        <v>11.574999999999999</v>
      </c>
      <c r="S28" s="5">
        <v>0</v>
      </c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</row>
    <row r="29" spans="1:50" x14ac:dyDescent="0.2">
      <c r="A29" s="104" t="s">
        <v>478</v>
      </c>
      <c r="B29" s="104" t="s">
        <v>891</v>
      </c>
      <c r="C29" s="105" t="s">
        <v>892</v>
      </c>
      <c r="D29" s="105" t="s">
        <v>31</v>
      </c>
      <c r="E29" s="105" t="s">
        <v>32</v>
      </c>
      <c r="F29" s="105" t="s">
        <v>886</v>
      </c>
      <c r="H29" s="105" t="s">
        <v>33</v>
      </c>
      <c r="I29" s="111"/>
      <c r="J29" s="5">
        <v>89.22</v>
      </c>
      <c r="K29" s="107">
        <v>5.3</v>
      </c>
      <c r="L29" s="108">
        <v>180</v>
      </c>
      <c r="M29" s="5">
        <v>0.2</v>
      </c>
      <c r="N29" s="108">
        <v>69</v>
      </c>
      <c r="O29" s="5">
        <v>0.13800000000000001</v>
      </c>
      <c r="R29" s="5">
        <v>11.3</v>
      </c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111"/>
      <c r="AV29" s="111"/>
      <c r="AW29" s="111"/>
      <c r="AX29" s="111"/>
    </row>
    <row r="30" spans="1:50" x14ac:dyDescent="0.2">
      <c r="A30" s="104" t="s">
        <v>481</v>
      </c>
      <c r="B30" s="104" t="s">
        <v>250</v>
      </c>
      <c r="C30" s="105" t="s">
        <v>482</v>
      </c>
      <c r="D30" s="105" t="s">
        <v>31</v>
      </c>
      <c r="E30" s="105" t="s">
        <v>32</v>
      </c>
      <c r="F30" s="105" t="s">
        <v>781</v>
      </c>
      <c r="H30" s="105" t="s">
        <v>33</v>
      </c>
      <c r="K30" s="5">
        <v>1.29</v>
      </c>
      <c r="L30" s="5">
        <v>26</v>
      </c>
      <c r="M30" s="5">
        <v>1.26</v>
      </c>
      <c r="P30" s="107">
        <v>0.57711442786069644</v>
      </c>
      <c r="R30" s="108">
        <v>97</v>
      </c>
      <c r="S30" s="107">
        <v>4.16</v>
      </c>
      <c r="T30" s="5"/>
      <c r="U30" s="5"/>
      <c r="V30" s="5" t="s">
        <v>0</v>
      </c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</row>
    <row r="31" spans="1:50" x14ac:dyDescent="0.2">
      <c r="A31" s="104" t="s">
        <v>521</v>
      </c>
      <c r="B31" s="104" t="s">
        <v>738</v>
      </c>
      <c r="C31" s="105" t="s">
        <v>739</v>
      </c>
      <c r="D31" s="105" t="s">
        <v>31</v>
      </c>
      <c r="E31" s="105" t="s">
        <v>32</v>
      </c>
      <c r="F31" s="105" t="s">
        <v>783</v>
      </c>
      <c r="H31" s="105" t="s">
        <v>33</v>
      </c>
      <c r="J31" s="5">
        <v>84.533333333333346</v>
      </c>
      <c r="K31" s="5">
        <v>1.7999999999999998</v>
      </c>
      <c r="L31" s="107">
        <v>297</v>
      </c>
      <c r="M31" s="109">
        <v>5.0666666666666664</v>
      </c>
      <c r="N31" s="5" t="s">
        <v>0</v>
      </c>
      <c r="O31" s="5" t="s">
        <v>0</v>
      </c>
      <c r="P31" s="5">
        <v>0.33600000000000002</v>
      </c>
      <c r="Q31" s="5" t="s">
        <v>0</v>
      </c>
      <c r="R31" s="5">
        <v>52.666666666666664</v>
      </c>
      <c r="T31" s="5"/>
      <c r="U31" s="5"/>
      <c r="V31" s="5" t="s">
        <v>0</v>
      </c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</row>
    <row r="32" spans="1:50" x14ac:dyDescent="0.2">
      <c r="A32" s="104" t="s">
        <v>740</v>
      </c>
      <c r="B32" s="104" t="s">
        <v>741</v>
      </c>
      <c r="C32" s="105" t="s">
        <v>742</v>
      </c>
      <c r="D32" s="105" t="s">
        <v>31</v>
      </c>
      <c r="E32" s="105" t="s">
        <v>32</v>
      </c>
      <c r="F32" s="105" t="s">
        <v>781</v>
      </c>
      <c r="H32" s="105" t="s">
        <v>33</v>
      </c>
      <c r="J32" s="5">
        <v>86</v>
      </c>
      <c r="K32" s="107">
        <v>5.4</v>
      </c>
      <c r="L32" s="107">
        <v>310</v>
      </c>
      <c r="M32" s="5">
        <v>1.3</v>
      </c>
      <c r="N32" s="107">
        <v>165</v>
      </c>
      <c r="O32" s="5">
        <v>0.4</v>
      </c>
      <c r="R32" s="5">
        <v>34</v>
      </c>
      <c r="T32" s="5"/>
      <c r="U32" s="5"/>
      <c r="V32" s="5" t="s">
        <v>0</v>
      </c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</row>
    <row r="33" spans="1:42" x14ac:dyDescent="0.2">
      <c r="A33" s="104" t="s">
        <v>535</v>
      </c>
      <c r="B33" s="104" t="s">
        <v>536</v>
      </c>
      <c r="C33" s="105" t="s">
        <v>537</v>
      </c>
      <c r="D33" s="105" t="s">
        <v>31</v>
      </c>
      <c r="E33" s="105" t="s">
        <v>32</v>
      </c>
      <c r="F33" s="105" t="s">
        <v>783</v>
      </c>
      <c r="H33" s="105" t="s">
        <v>33</v>
      </c>
      <c r="J33" s="5">
        <v>82</v>
      </c>
      <c r="L33" s="107">
        <v>474</v>
      </c>
      <c r="M33" s="109">
        <v>6.2</v>
      </c>
      <c r="P33" s="5">
        <v>0.20874999999999999</v>
      </c>
      <c r="R33" s="5">
        <v>29</v>
      </c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</row>
    <row r="34" spans="1:42" x14ac:dyDescent="0.2">
      <c r="A34" s="104" t="s">
        <v>546</v>
      </c>
      <c r="B34" s="104" t="s">
        <v>547</v>
      </c>
      <c r="C34" s="105" t="s">
        <v>548</v>
      </c>
      <c r="D34" s="105" t="s">
        <v>31</v>
      </c>
      <c r="E34" s="105" t="s">
        <v>32</v>
      </c>
      <c r="F34" s="105" t="s">
        <v>781</v>
      </c>
      <c r="H34" s="105" t="s">
        <v>33</v>
      </c>
      <c r="J34" s="5">
        <v>85</v>
      </c>
      <c r="K34" s="5">
        <v>1.115</v>
      </c>
      <c r="L34" s="5">
        <v>72</v>
      </c>
      <c r="M34" s="109">
        <v>4.8</v>
      </c>
      <c r="N34" s="5">
        <v>40</v>
      </c>
      <c r="O34" s="109">
        <v>5</v>
      </c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</row>
    <row r="35" spans="1:42" x14ac:dyDescent="0.2">
      <c r="A35" s="104" t="s">
        <v>744</v>
      </c>
      <c r="B35" s="104" t="s">
        <v>745</v>
      </c>
      <c r="C35" s="105" t="s">
        <v>880</v>
      </c>
      <c r="D35" s="105" t="s">
        <v>31</v>
      </c>
      <c r="E35" s="105" t="s">
        <v>32</v>
      </c>
      <c r="F35" s="105" t="s">
        <v>783</v>
      </c>
      <c r="H35" s="105" t="s">
        <v>33</v>
      </c>
      <c r="J35" s="5">
        <v>69</v>
      </c>
      <c r="L35" s="108">
        <v>188</v>
      </c>
      <c r="M35" s="107">
        <v>2.9</v>
      </c>
      <c r="N35" s="5">
        <v>8</v>
      </c>
      <c r="O35" s="109">
        <v>4.0999999999999996</v>
      </c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</row>
    <row r="36" spans="1:42" x14ac:dyDescent="0.2">
      <c r="A36" s="104" t="s">
        <v>744</v>
      </c>
      <c r="B36" s="104" t="s">
        <v>746</v>
      </c>
      <c r="C36" s="105" t="s">
        <v>881</v>
      </c>
      <c r="D36" s="105" t="s">
        <v>31</v>
      </c>
      <c r="E36" s="105" t="s">
        <v>32</v>
      </c>
      <c r="F36" s="105" t="s">
        <v>783</v>
      </c>
      <c r="H36" s="105" t="s">
        <v>33</v>
      </c>
      <c r="J36" s="5">
        <v>67</v>
      </c>
      <c r="L36" s="107">
        <v>267</v>
      </c>
      <c r="M36" s="109">
        <v>5.7</v>
      </c>
      <c r="N36" s="107">
        <v>167</v>
      </c>
      <c r="O36" s="109">
        <v>3.5</v>
      </c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</row>
    <row r="37" spans="1:42" x14ac:dyDescent="0.2">
      <c r="A37" s="104" t="s">
        <v>574</v>
      </c>
      <c r="B37" s="104" t="s">
        <v>889</v>
      </c>
      <c r="C37" s="105" t="s">
        <v>575</v>
      </c>
      <c r="D37" s="105" t="s">
        <v>31</v>
      </c>
      <c r="E37" s="105" t="s">
        <v>32</v>
      </c>
      <c r="F37" s="105" t="s">
        <v>783</v>
      </c>
      <c r="H37" s="105" t="s">
        <v>33</v>
      </c>
      <c r="J37" s="5">
        <v>68.7</v>
      </c>
      <c r="L37" s="5">
        <v>130</v>
      </c>
      <c r="M37" s="107">
        <v>2.6</v>
      </c>
      <c r="P37" s="107">
        <v>0.93500000000000005</v>
      </c>
      <c r="R37" s="107">
        <v>190</v>
      </c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</row>
    <row r="38" spans="1:42" x14ac:dyDescent="0.2">
      <c r="A38" s="104" t="s">
        <v>578</v>
      </c>
      <c r="B38" s="104" t="s">
        <v>577</v>
      </c>
      <c r="C38" s="105" t="s">
        <v>579</v>
      </c>
      <c r="D38" s="105" t="s">
        <v>31</v>
      </c>
      <c r="E38" s="105" t="s">
        <v>32</v>
      </c>
      <c r="F38" s="105" t="s">
        <v>783</v>
      </c>
      <c r="H38" s="105" t="s">
        <v>33</v>
      </c>
      <c r="J38" s="5">
        <v>80.2</v>
      </c>
      <c r="K38" s="5">
        <v>1.7260000000000002</v>
      </c>
      <c r="L38" s="5">
        <v>161.57085714285716</v>
      </c>
      <c r="M38" s="107">
        <v>3.1568571428571426</v>
      </c>
      <c r="P38" s="107">
        <v>0.87658927584300717</v>
      </c>
      <c r="Q38" s="5">
        <v>110</v>
      </c>
      <c r="R38" s="107">
        <v>123.85599999999999</v>
      </c>
      <c r="S38" s="109">
        <v>6.25</v>
      </c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</row>
    <row r="39" spans="1:42" x14ac:dyDescent="0.2">
      <c r="A39" s="104" t="s">
        <v>586</v>
      </c>
      <c r="B39" s="104" t="s">
        <v>587</v>
      </c>
      <c r="C39" s="105" t="s">
        <v>588</v>
      </c>
      <c r="D39" s="105" t="s">
        <v>31</v>
      </c>
      <c r="E39" s="105" t="s">
        <v>32</v>
      </c>
      <c r="F39" s="105" t="s">
        <v>783</v>
      </c>
      <c r="H39" s="105" t="s">
        <v>33</v>
      </c>
      <c r="J39" s="5">
        <v>78.300000000000011</v>
      </c>
      <c r="K39" s="5">
        <v>2.4500000000000002</v>
      </c>
      <c r="L39" s="107">
        <v>349.5</v>
      </c>
      <c r="M39" s="109">
        <v>6.15</v>
      </c>
      <c r="N39" s="5">
        <v>40</v>
      </c>
      <c r="P39" s="109">
        <v>1.3101160862354893</v>
      </c>
      <c r="Q39" s="5" t="s">
        <v>0</v>
      </c>
      <c r="R39" s="107">
        <v>120.5</v>
      </c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</row>
    <row r="40" spans="1:42" x14ac:dyDescent="0.2">
      <c r="A40" s="104" t="s">
        <v>586</v>
      </c>
      <c r="B40" s="104" t="s">
        <v>589</v>
      </c>
      <c r="C40" s="105" t="s">
        <v>882</v>
      </c>
      <c r="D40" s="105" t="s">
        <v>31</v>
      </c>
      <c r="E40" s="105" t="s">
        <v>32</v>
      </c>
      <c r="F40" s="105" t="s">
        <v>781</v>
      </c>
      <c r="H40" s="105" t="s">
        <v>33</v>
      </c>
      <c r="J40" s="5">
        <v>73.366666666666674</v>
      </c>
      <c r="K40" s="107">
        <v>3.8450666666666664</v>
      </c>
      <c r="L40" s="5">
        <v>83.000199999999992</v>
      </c>
      <c r="M40" s="107">
        <v>2.4443999999999999</v>
      </c>
      <c r="P40" s="108">
        <v>0.49640132669983417</v>
      </c>
      <c r="R40" s="5">
        <v>55.500799999999998</v>
      </c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</row>
    <row r="41" spans="1:42" x14ac:dyDescent="0.2">
      <c r="A41" s="104" t="s">
        <v>586</v>
      </c>
      <c r="B41" s="104" t="s">
        <v>1081</v>
      </c>
      <c r="C41" s="105" t="s">
        <v>591</v>
      </c>
      <c r="D41" s="105" t="s">
        <v>31</v>
      </c>
      <c r="E41" s="105" t="s">
        <v>32</v>
      </c>
      <c r="F41" s="105" t="s">
        <v>783</v>
      </c>
      <c r="H41" s="105" t="s">
        <v>33</v>
      </c>
      <c r="K41" s="5">
        <v>1.51</v>
      </c>
      <c r="L41" s="108">
        <v>202</v>
      </c>
      <c r="M41" s="107">
        <v>2.29</v>
      </c>
      <c r="O41" s="107">
        <v>0.88</v>
      </c>
      <c r="P41" s="107">
        <v>1.0149253731343284</v>
      </c>
      <c r="Q41" s="108">
        <v>135</v>
      </c>
      <c r="R41" s="107">
        <v>176</v>
      </c>
      <c r="S41" s="107">
        <v>4.7699999999999996</v>
      </c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</row>
    <row r="42" spans="1:42" x14ac:dyDescent="0.2">
      <c r="A42" s="104" t="s">
        <v>592</v>
      </c>
      <c r="B42" s="104" t="s">
        <v>593</v>
      </c>
      <c r="C42" s="105" t="s">
        <v>594</v>
      </c>
      <c r="D42" s="105" t="s">
        <v>31</v>
      </c>
      <c r="E42" s="105" t="s">
        <v>32</v>
      </c>
      <c r="F42" s="105" t="s">
        <v>781</v>
      </c>
      <c r="H42" s="105" t="s">
        <v>33</v>
      </c>
      <c r="J42" s="5">
        <v>78.233333333333334</v>
      </c>
      <c r="K42" s="109">
        <v>7.8</v>
      </c>
      <c r="L42" s="107">
        <v>577.5</v>
      </c>
      <c r="M42" s="107">
        <v>3.5866666666666664</v>
      </c>
      <c r="N42" s="107">
        <v>96.94</v>
      </c>
      <c r="O42" s="108">
        <v>0.53</v>
      </c>
      <c r="Q42" s="5">
        <v>120</v>
      </c>
      <c r="R42" s="108">
        <v>91.666666666666671</v>
      </c>
      <c r="S42" s="108">
        <v>1.77</v>
      </c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</row>
    <row r="43" spans="1:42" x14ac:dyDescent="0.2">
      <c r="A43" s="104" t="s">
        <v>697</v>
      </c>
      <c r="B43" s="104" t="s">
        <v>94</v>
      </c>
      <c r="C43" s="105" t="s">
        <v>698</v>
      </c>
      <c r="D43" s="105" t="s">
        <v>31</v>
      </c>
      <c r="E43" s="105" t="s">
        <v>32</v>
      </c>
      <c r="F43" s="105" t="s">
        <v>781</v>
      </c>
      <c r="H43" s="105" t="s">
        <v>33</v>
      </c>
      <c r="J43" s="5">
        <v>65</v>
      </c>
      <c r="K43" s="5">
        <v>0.17</v>
      </c>
      <c r="L43" s="5">
        <v>158.9</v>
      </c>
      <c r="M43" s="108">
        <v>1.7</v>
      </c>
      <c r="N43" s="5">
        <v>12.2</v>
      </c>
      <c r="O43" s="5">
        <v>0.23</v>
      </c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</row>
    <row r="44" spans="1:42" x14ac:dyDescent="0.2">
      <c r="A44" s="104" t="s">
        <v>653</v>
      </c>
      <c r="B44" s="104" t="s">
        <v>652</v>
      </c>
      <c r="C44" s="105" t="s">
        <v>654</v>
      </c>
      <c r="D44" s="105" t="s">
        <v>31</v>
      </c>
      <c r="E44" s="105" t="s">
        <v>32</v>
      </c>
      <c r="F44" s="105" t="s">
        <v>781</v>
      </c>
      <c r="H44" s="105" t="s">
        <v>33</v>
      </c>
      <c r="J44" s="5">
        <v>84.6</v>
      </c>
      <c r="K44" s="5">
        <v>1.9618666666666666</v>
      </c>
      <c r="L44" s="107">
        <v>434.49889999999999</v>
      </c>
      <c r="M44" s="109">
        <v>6.8436000000000003</v>
      </c>
      <c r="O44" s="109">
        <v>2.25</v>
      </c>
      <c r="P44" s="109">
        <v>1.9357070895522388</v>
      </c>
      <c r="Q44" s="5">
        <v>28</v>
      </c>
      <c r="R44" s="107">
        <v>123.33333333333333</v>
      </c>
      <c r="S44" s="109">
        <v>19.876666666666669</v>
      </c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</row>
    <row r="45" spans="1:42" x14ac:dyDescent="0.2">
      <c r="A45" s="104" t="s">
        <v>767</v>
      </c>
      <c r="B45" s="104" t="s">
        <v>750</v>
      </c>
      <c r="C45" s="105" t="s">
        <v>768</v>
      </c>
      <c r="D45" s="105" t="s">
        <v>31</v>
      </c>
      <c r="E45" s="105" t="s">
        <v>32</v>
      </c>
      <c r="F45" s="105" t="s">
        <v>783</v>
      </c>
      <c r="H45" s="105" t="s">
        <v>33</v>
      </c>
      <c r="J45" s="5">
        <v>83.2</v>
      </c>
      <c r="L45" s="109">
        <v>1107.5</v>
      </c>
      <c r="M45" s="109">
        <v>5.4275000000000002</v>
      </c>
      <c r="N45" s="109">
        <v>174.75</v>
      </c>
      <c r="O45" s="107">
        <v>0.70500000000000007</v>
      </c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</row>
    <row r="46" spans="1:42" x14ac:dyDescent="0.2">
      <c r="A46" s="104" t="s">
        <v>671</v>
      </c>
      <c r="B46" s="104" t="s">
        <v>747</v>
      </c>
      <c r="C46" s="105" t="s">
        <v>748</v>
      </c>
      <c r="D46" s="105" t="s">
        <v>31</v>
      </c>
      <c r="E46" s="105" t="s">
        <v>32</v>
      </c>
      <c r="F46" s="105" t="s">
        <v>783</v>
      </c>
      <c r="H46" s="105" t="s">
        <v>33</v>
      </c>
      <c r="J46" s="5">
        <v>82.8</v>
      </c>
      <c r="K46" s="107">
        <v>5.0999999999999996</v>
      </c>
      <c r="L46" s="108">
        <v>162</v>
      </c>
      <c r="M46" s="107">
        <v>2.8</v>
      </c>
      <c r="N46" s="5">
        <v>58</v>
      </c>
      <c r="O46" s="107">
        <v>1.01</v>
      </c>
      <c r="Q46" s="5">
        <v>62</v>
      </c>
      <c r="R46" s="5">
        <v>11</v>
      </c>
      <c r="S46" s="108">
        <v>1.64</v>
      </c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</row>
    <row r="47" spans="1:42" x14ac:dyDescent="0.2">
      <c r="A47" s="104" t="s">
        <v>671</v>
      </c>
      <c r="B47" s="104" t="s">
        <v>672</v>
      </c>
      <c r="C47" s="105" t="s">
        <v>673</v>
      </c>
      <c r="D47" s="105" t="s">
        <v>31</v>
      </c>
      <c r="E47" s="105" t="s">
        <v>32</v>
      </c>
      <c r="F47" s="105" t="s">
        <v>783</v>
      </c>
      <c r="H47" s="105" t="s">
        <v>33</v>
      </c>
      <c r="J47" s="5">
        <v>82.6</v>
      </c>
      <c r="K47" s="5">
        <v>1.46</v>
      </c>
      <c r="L47" s="108">
        <v>163.66666666666666</v>
      </c>
      <c r="M47" s="108">
        <v>1.8</v>
      </c>
      <c r="O47" s="107">
        <v>0.63</v>
      </c>
      <c r="P47" s="5">
        <v>0.24046434494195687</v>
      </c>
      <c r="Q47" s="5">
        <v>96</v>
      </c>
      <c r="R47" s="5">
        <v>49.666666666666664</v>
      </c>
      <c r="S47" s="5">
        <v>0.86499999999999999</v>
      </c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</row>
    <row r="48" spans="1:42" x14ac:dyDescent="0.2">
      <c r="A48" s="96"/>
      <c r="B48" s="96"/>
      <c r="C48" s="97"/>
      <c r="D48" s="97"/>
      <c r="E48" s="97"/>
      <c r="F48" s="97"/>
      <c r="G48" s="97"/>
      <c r="H48" s="98"/>
      <c r="I48" s="99"/>
      <c r="J48" s="100"/>
      <c r="K48" s="175"/>
      <c r="L48" s="175"/>
      <c r="M48" s="175"/>
      <c r="N48" s="176"/>
      <c r="O48" s="175"/>
      <c r="P48" s="175"/>
      <c r="Q48" s="175"/>
      <c r="R48" s="175"/>
      <c r="S48" s="175"/>
    </row>
    <row r="49" spans="1:50" x14ac:dyDescent="0.2">
      <c r="A49" s="226" t="s">
        <v>1053</v>
      </c>
      <c r="B49" s="227"/>
      <c r="C49" s="228"/>
      <c r="D49" s="228"/>
      <c r="E49" s="228"/>
      <c r="F49" s="228"/>
      <c r="G49" s="228"/>
      <c r="H49" s="229"/>
      <c r="I49" s="230"/>
      <c r="J49" s="231"/>
      <c r="K49" s="232"/>
      <c r="L49" s="232"/>
      <c r="M49" s="232"/>
      <c r="N49" s="233"/>
      <c r="O49" s="232"/>
      <c r="P49" s="232"/>
      <c r="Q49" s="232"/>
      <c r="R49" s="232"/>
      <c r="S49" s="232"/>
      <c r="T49" s="232"/>
      <c r="U49" s="226" t="s">
        <v>1053</v>
      </c>
      <c r="V49" s="232"/>
      <c r="W49" s="232"/>
      <c r="X49" s="232"/>
    </row>
    <row r="50" spans="1:50" x14ac:dyDescent="0.2">
      <c r="A50" s="104" t="s">
        <v>125</v>
      </c>
      <c r="B50" s="104" t="s">
        <v>124</v>
      </c>
      <c r="C50" s="105" t="s">
        <v>128</v>
      </c>
      <c r="D50" s="105" t="s">
        <v>31</v>
      </c>
      <c r="E50" s="105" t="s">
        <v>32</v>
      </c>
      <c r="F50" s="105" t="s">
        <v>780</v>
      </c>
      <c r="H50" s="105" t="s">
        <v>131</v>
      </c>
      <c r="J50" s="5">
        <v>89.556666666666672</v>
      </c>
      <c r="K50" s="5">
        <v>0.90999999999999992</v>
      </c>
      <c r="L50" s="5">
        <v>80.8</v>
      </c>
      <c r="M50" s="108">
        <v>1.7433333333333334</v>
      </c>
      <c r="N50" s="5">
        <v>30.8</v>
      </c>
      <c r="O50" s="107">
        <v>0.79</v>
      </c>
      <c r="R50" s="5">
        <v>9.35</v>
      </c>
      <c r="T50" s="5"/>
      <c r="U50" s="197" t="s">
        <v>1047</v>
      </c>
      <c r="V50" s="5">
        <f>(68-49)*9</f>
        <v>171</v>
      </c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</row>
    <row r="51" spans="1:50" x14ac:dyDescent="0.2">
      <c r="A51" s="104" t="s">
        <v>129</v>
      </c>
      <c r="B51" s="104" t="s">
        <v>771</v>
      </c>
      <c r="C51" s="105" t="s">
        <v>132</v>
      </c>
      <c r="D51" s="105" t="s">
        <v>31</v>
      </c>
      <c r="E51" s="105" t="s">
        <v>32</v>
      </c>
      <c r="F51" s="105" t="s">
        <v>132</v>
      </c>
      <c r="H51" s="105" t="s">
        <v>131</v>
      </c>
      <c r="J51" s="5">
        <v>71.22</v>
      </c>
      <c r="K51" s="5">
        <v>0.96</v>
      </c>
      <c r="L51" s="5">
        <v>13.1</v>
      </c>
      <c r="M51" s="5">
        <v>0.21</v>
      </c>
      <c r="N51" s="5">
        <v>0.52</v>
      </c>
      <c r="O51" s="107">
        <v>0.97</v>
      </c>
      <c r="T51" s="5"/>
      <c r="U51" s="197" t="s">
        <v>1048</v>
      </c>
      <c r="V51" s="5">
        <f>COUNTBLANK(K50:S68)</f>
        <v>69</v>
      </c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</row>
    <row r="52" spans="1:50" x14ac:dyDescent="0.2">
      <c r="A52" s="104" t="s">
        <v>129</v>
      </c>
      <c r="B52" s="104" t="s">
        <v>773</v>
      </c>
      <c r="C52" s="105" t="s">
        <v>132</v>
      </c>
      <c r="D52" s="105" t="s">
        <v>31</v>
      </c>
      <c r="E52" s="105" t="s">
        <v>32</v>
      </c>
      <c r="F52" s="105" t="s">
        <v>132</v>
      </c>
      <c r="H52" s="105" t="s">
        <v>131</v>
      </c>
      <c r="J52" s="5">
        <v>90.265000000000001</v>
      </c>
      <c r="K52" s="5">
        <v>2.02</v>
      </c>
      <c r="L52" s="5">
        <v>33</v>
      </c>
      <c r="M52" s="5">
        <v>0.4</v>
      </c>
      <c r="P52" s="5">
        <v>0.37266666666666665</v>
      </c>
      <c r="R52" s="5">
        <v>2.95</v>
      </c>
      <c r="S52" s="5">
        <v>0.61</v>
      </c>
      <c r="T52" s="5"/>
      <c r="U52" s="197" t="s">
        <v>1049</v>
      </c>
      <c r="V52" s="5">
        <f>V50-V51</f>
        <v>102</v>
      </c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</row>
    <row r="53" spans="1:50" x14ac:dyDescent="0.2">
      <c r="A53" s="104" t="s">
        <v>129</v>
      </c>
      <c r="B53" s="104" t="s">
        <v>789</v>
      </c>
      <c r="C53" s="105" t="s">
        <v>132</v>
      </c>
      <c r="D53" s="105" t="s">
        <v>31</v>
      </c>
      <c r="E53" s="105" t="s">
        <v>32</v>
      </c>
      <c r="F53" s="105" t="s">
        <v>132</v>
      </c>
      <c r="H53" s="105" t="s">
        <v>131</v>
      </c>
      <c r="J53" s="5">
        <v>92</v>
      </c>
      <c r="K53" s="5">
        <v>2.2799999999999998</v>
      </c>
      <c r="R53" s="5">
        <v>2.6</v>
      </c>
      <c r="S53" s="5">
        <v>0.47</v>
      </c>
      <c r="T53" s="5"/>
      <c r="U53" s="197" t="s">
        <v>1045</v>
      </c>
      <c r="V53" s="5">
        <v>1</v>
      </c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</row>
    <row r="54" spans="1:50" x14ac:dyDescent="0.2">
      <c r="A54" s="104" t="s">
        <v>129</v>
      </c>
      <c r="B54" s="104" t="s">
        <v>774</v>
      </c>
      <c r="C54" s="105" t="s">
        <v>132</v>
      </c>
      <c r="D54" s="105" t="s">
        <v>31</v>
      </c>
      <c r="E54" s="105" t="s">
        <v>32</v>
      </c>
      <c r="F54" s="105" t="s">
        <v>132</v>
      </c>
      <c r="H54" s="105" t="s">
        <v>131</v>
      </c>
      <c r="J54" s="5">
        <v>90.26</v>
      </c>
      <c r="K54" s="107">
        <v>3.81</v>
      </c>
      <c r="L54" s="107">
        <v>560</v>
      </c>
      <c r="N54" s="107">
        <v>140</v>
      </c>
      <c r="R54" s="5">
        <v>2.6</v>
      </c>
      <c r="S54" s="5">
        <v>0.49</v>
      </c>
      <c r="T54" s="5"/>
      <c r="U54" s="197" t="s">
        <v>1046</v>
      </c>
      <c r="V54" s="5">
        <v>13</v>
      </c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</row>
    <row r="55" spans="1:50" x14ac:dyDescent="0.2">
      <c r="A55" s="104" t="s">
        <v>129</v>
      </c>
      <c r="B55" s="104" t="s">
        <v>79</v>
      </c>
      <c r="C55" s="105" t="s">
        <v>132</v>
      </c>
      <c r="D55" s="105" t="s">
        <v>31</v>
      </c>
      <c r="E55" s="105" t="s">
        <v>32</v>
      </c>
      <c r="F55" s="105" t="s">
        <v>132</v>
      </c>
      <c r="H55" s="105" t="s">
        <v>131</v>
      </c>
      <c r="J55" s="5">
        <v>90.7</v>
      </c>
      <c r="K55" s="5">
        <v>1.7678999999999998</v>
      </c>
      <c r="L55" s="5">
        <v>16.666066666666662</v>
      </c>
      <c r="M55" s="5">
        <v>0.63563333333333316</v>
      </c>
      <c r="N55" s="5">
        <v>3</v>
      </c>
      <c r="P55" s="5">
        <v>1.8541666666666667E-3</v>
      </c>
      <c r="R55" s="5">
        <v>6.399119999999999</v>
      </c>
      <c r="T55" s="5"/>
      <c r="U55" s="197" t="s">
        <v>1050</v>
      </c>
      <c r="V55" s="196">
        <f>(V53+V54)/V52</f>
        <v>0.13725490196078433</v>
      </c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</row>
    <row r="56" spans="1:50" s="111" customFormat="1" x14ac:dyDescent="0.2">
      <c r="A56" s="104" t="s">
        <v>129</v>
      </c>
      <c r="B56" s="104" t="s">
        <v>790</v>
      </c>
      <c r="C56" s="105" t="s">
        <v>132</v>
      </c>
      <c r="D56" s="105" t="s">
        <v>31</v>
      </c>
      <c r="E56" s="105" t="s">
        <v>32</v>
      </c>
      <c r="F56" s="105" t="s">
        <v>132</v>
      </c>
      <c r="G56" s="105"/>
      <c r="H56" s="105" t="s">
        <v>131</v>
      </c>
      <c r="I56" s="1"/>
      <c r="J56" s="5">
        <v>83.6</v>
      </c>
      <c r="K56" s="107">
        <v>3.97</v>
      </c>
      <c r="L56" s="5">
        <v>4.0599999999999996</v>
      </c>
      <c r="M56" s="107">
        <v>2.69</v>
      </c>
      <c r="N56" s="5">
        <v>6.09</v>
      </c>
      <c r="O56" s="107">
        <v>0.7</v>
      </c>
      <c r="P56" s="5"/>
      <c r="Q56" s="5"/>
      <c r="R56" s="5">
        <v>1.42</v>
      </c>
      <c r="S56" s="5">
        <v>0.61</v>
      </c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106"/>
      <c r="AR56" s="106"/>
      <c r="AS56" s="106"/>
      <c r="AT56" s="106"/>
      <c r="AU56" s="1"/>
      <c r="AV56" s="1"/>
      <c r="AW56" s="1"/>
      <c r="AX56" s="1"/>
    </row>
    <row r="57" spans="1:50" x14ac:dyDescent="0.2">
      <c r="A57" s="104" t="s">
        <v>129</v>
      </c>
      <c r="B57" s="104" t="s">
        <v>146</v>
      </c>
      <c r="C57" s="105" t="s">
        <v>132</v>
      </c>
      <c r="D57" s="105" t="s">
        <v>31</v>
      </c>
      <c r="E57" s="105" t="s">
        <v>32</v>
      </c>
      <c r="F57" s="105" t="s">
        <v>132</v>
      </c>
      <c r="H57" s="105" t="s">
        <v>131</v>
      </c>
      <c r="J57" s="5">
        <v>88.275000000000006</v>
      </c>
      <c r="K57" s="108">
        <v>2.895</v>
      </c>
      <c r="L57" s="5">
        <v>115</v>
      </c>
      <c r="M57" s="5">
        <v>0.51500000000000001</v>
      </c>
      <c r="N57" s="5">
        <v>54.14</v>
      </c>
      <c r="O57" s="5">
        <v>0.37</v>
      </c>
      <c r="Q57" s="5">
        <v>17.05</v>
      </c>
      <c r="R57" s="5">
        <v>10.185</v>
      </c>
      <c r="S57" s="5">
        <v>0.29000000000000004</v>
      </c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</row>
    <row r="58" spans="1:50" x14ac:dyDescent="0.2">
      <c r="A58" s="104" t="s">
        <v>791</v>
      </c>
      <c r="B58" s="104" t="s">
        <v>792</v>
      </c>
      <c r="C58" s="105" t="s">
        <v>132</v>
      </c>
      <c r="D58" s="105" t="s">
        <v>31</v>
      </c>
      <c r="E58" s="105" t="s">
        <v>32</v>
      </c>
      <c r="F58" s="105" t="s">
        <v>132</v>
      </c>
      <c r="H58" s="105" t="s">
        <v>131</v>
      </c>
      <c r="J58" s="5">
        <v>89.4</v>
      </c>
      <c r="K58" s="108">
        <v>3.54</v>
      </c>
      <c r="R58" s="5">
        <v>3.2</v>
      </c>
      <c r="S58" s="5">
        <v>0.91</v>
      </c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</row>
    <row r="59" spans="1:50" x14ac:dyDescent="0.2">
      <c r="A59" s="104" t="s">
        <v>791</v>
      </c>
      <c r="B59" s="104" t="s">
        <v>793</v>
      </c>
      <c r="C59" s="105" t="s">
        <v>132</v>
      </c>
      <c r="D59" s="105" t="s">
        <v>31</v>
      </c>
      <c r="E59" s="105" t="s">
        <v>32</v>
      </c>
      <c r="F59" s="105" t="s">
        <v>132</v>
      </c>
      <c r="H59" s="105" t="s">
        <v>131</v>
      </c>
      <c r="J59" s="5">
        <v>89.8</v>
      </c>
      <c r="K59" s="107">
        <v>4.03</v>
      </c>
      <c r="R59" s="5">
        <v>1.59</v>
      </c>
      <c r="S59" s="5">
        <v>0.42</v>
      </c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</row>
    <row r="60" spans="1:50" x14ac:dyDescent="0.2">
      <c r="A60" s="104" t="s">
        <v>791</v>
      </c>
      <c r="B60" s="104" t="s">
        <v>794</v>
      </c>
      <c r="C60" s="105" t="s">
        <v>132</v>
      </c>
      <c r="D60" s="105" t="s">
        <v>31</v>
      </c>
      <c r="E60" s="105" t="s">
        <v>32</v>
      </c>
      <c r="F60" s="105" t="s">
        <v>132</v>
      </c>
      <c r="H60" s="105" t="s">
        <v>131</v>
      </c>
      <c r="J60" s="5">
        <v>90.7</v>
      </c>
      <c r="K60" s="108">
        <v>2.65</v>
      </c>
      <c r="R60" s="5">
        <v>3.28</v>
      </c>
      <c r="S60" s="5">
        <v>0.69</v>
      </c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</row>
    <row r="61" spans="1:50" x14ac:dyDescent="0.2">
      <c r="A61" s="104" t="s">
        <v>791</v>
      </c>
      <c r="B61" s="104" t="s">
        <v>795</v>
      </c>
      <c r="C61" s="105" t="s">
        <v>132</v>
      </c>
      <c r="D61" s="105" t="s">
        <v>31</v>
      </c>
      <c r="E61" s="105" t="s">
        <v>32</v>
      </c>
      <c r="F61" s="105" t="s">
        <v>132</v>
      </c>
      <c r="H61" s="105" t="s">
        <v>131</v>
      </c>
      <c r="J61" s="5">
        <v>92.855000000000004</v>
      </c>
      <c r="K61" s="108">
        <v>3.12</v>
      </c>
      <c r="L61" s="5">
        <v>4.3599999999999994</v>
      </c>
      <c r="M61" s="5">
        <v>1.55</v>
      </c>
      <c r="N61" s="5">
        <v>13.494999999999999</v>
      </c>
      <c r="O61" s="107">
        <v>0.57999999999999996</v>
      </c>
      <c r="Q61" s="5">
        <v>128</v>
      </c>
      <c r="R61" s="5">
        <v>2.645</v>
      </c>
      <c r="S61" s="5">
        <v>0.41599999999999998</v>
      </c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</row>
    <row r="62" spans="1:50" x14ac:dyDescent="0.2">
      <c r="A62" s="104" t="s">
        <v>791</v>
      </c>
      <c r="B62" s="104" t="s">
        <v>796</v>
      </c>
      <c r="C62" s="105" t="s">
        <v>132</v>
      </c>
      <c r="D62" s="105" t="s">
        <v>31</v>
      </c>
      <c r="E62" s="105" t="s">
        <v>32</v>
      </c>
      <c r="F62" s="105" t="s">
        <v>132</v>
      </c>
      <c r="H62" s="105" t="s">
        <v>131</v>
      </c>
      <c r="J62" s="5">
        <v>89.3</v>
      </c>
      <c r="K62" s="108">
        <v>2.91</v>
      </c>
      <c r="R62" s="5">
        <v>1.58</v>
      </c>
      <c r="S62" s="5">
        <v>0.65</v>
      </c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</row>
    <row r="63" spans="1:50" x14ac:dyDescent="0.2">
      <c r="A63" s="104" t="s">
        <v>338</v>
      </c>
      <c r="B63" s="104" t="s">
        <v>45</v>
      </c>
      <c r="C63" s="105" t="s">
        <v>339</v>
      </c>
      <c r="D63" s="105" t="s">
        <v>31</v>
      </c>
      <c r="E63" s="105" t="s">
        <v>32</v>
      </c>
      <c r="F63" s="105" t="s">
        <v>780</v>
      </c>
      <c r="H63" s="105" t="s">
        <v>131</v>
      </c>
      <c r="J63" s="5">
        <v>89.8</v>
      </c>
      <c r="K63" s="5">
        <v>0.8</v>
      </c>
      <c r="L63" s="5">
        <v>86</v>
      </c>
      <c r="M63" s="5">
        <v>0.7</v>
      </c>
      <c r="N63" s="5">
        <v>9</v>
      </c>
      <c r="R63" s="5">
        <v>17</v>
      </c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</row>
    <row r="64" spans="1:50" x14ac:dyDescent="0.2">
      <c r="A64" s="104" t="s">
        <v>797</v>
      </c>
      <c r="B64" s="104" t="s">
        <v>798</v>
      </c>
      <c r="C64" s="105" t="s">
        <v>132</v>
      </c>
      <c r="D64" s="105" t="s">
        <v>31</v>
      </c>
      <c r="E64" s="105" t="s">
        <v>32</v>
      </c>
      <c r="F64" s="105" t="s">
        <v>132</v>
      </c>
      <c r="H64" s="105" t="s">
        <v>131</v>
      </c>
      <c r="J64" s="5">
        <v>89.23</v>
      </c>
      <c r="K64" s="107">
        <v>4.1500000000000004</v>
      </c>
      <c r="R64" s="5">
        <v>1</v>
      </c>
      <c r="S64" s="5">
        <v>0.6</v>
      </c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</row>
    <row r="65" spans="1:42" x14ac:dyDescent="0.2">
      <c r="A65" s="104" t="s">
        <v>777</v>
      </c>
      <c r="B65" s="104" t="s">
        <v>778</v>
      </c>
      <c r="C65" s="105" t="s">
        <v>132</v>
      </c>
      <c r="D65" s="105" t="s">
        <v>31</v>
      </c>
      <c r="E65" s="105" t="s">
        <v>32</v>
      </c>
      <c r="F65" s="105" t="s">
        <v>132</v>
      </c>
      <c r="H65" s="105" t="s">
        <v>131</v>
      </c>
      <c r="J65" s="5">
        <v>84</v>
      </c>
      <c r="L65" s="107">
        <v>400</v>
      </c>
      <c r="N65" s="5">
        <v>50</v>
      </c>
      <c r="R65" s="5">
        <v>12.5</v>
      </c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</row>
    <row r="66" spans="1:42" x14ac:dyDescent="0.2">
      <c r="A66" s="104" t="s">
        <v>735</v>
      </c>
      <c r="B66" s="104" t="s">
        <v>736</v>
      </c>
      <c r="C66" s="105" t="s">
        <v>737</v>
      </c>
      <c r="D66" s="105" t="s">
        <v>31</v>
      </c>
      <c r="E66" s="105" t="s">
        <v>32</v>
      </c>
      <c r="F66" s="105" t="s">
        <v>780</v>
      </c>
      <c r="H66" s="105" t="s">
        <v>131</v>
      </c>
      <c r="J66" s="5">
        <v>91</v>
      </c>
      <c r="K66" s="108">
        <v>2.6</v>
      </c>
      <c r="L66" s="5">
        <v>68</v>
      </c>
      <c r="M66" s="5">
        <v>0.2</v>
      </c>
      <c r="N66" s="5">
        <v>37</v>
      </c>
      <c r="O66" s="108">
        <v>0.5</v>
      </c>
      <c r="R66" s="5">
        <v>2</v>
      </c>
      <c r="S66" s="5">
        <v>0.2</v>
      </c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</row>
    <row r="67" spans="1:42" x14ac:dyDescent="0.2">
      <c r="A67" s="104" t="s">
        <v>513</v>
      </c>
      <c r="B67" s="104" t="s">
        <v>79</v>
      </c>
      <c r="C67" s="105" t="s">
        <v>514</v>
      </c>
      <c r="D67" s="105" t="s">
        <v>31</v>
      </c>
      <c r="E67" s="105" t="s">
        <v>32</v>
      </c>
      <c r="F67" s="105" t="s">
        <v>132</v>
      </c>
      <c r="H67" s="105" t="s">
        <v>131</v>
      </c>
      <c r="J67" s="5">
        <v>91</v>
      </c>
      <c r="K67" s="5">
        <v>2.2000000000000002</v>
      </c>
      <c r="L67" s="5">
        <v>13</v>
      </c>
      <c r="M67" s="5">
        <v>0.5</v>
      </c>
      <c r="N67" s="5">
        <v>3</v>
      </c>
      <c r="O67" s="107">
        <v>1.1000000000000001</v>
      </c>
      <c r="P67" s="5">
        <v>3.5000000000000001E-3</v>
      </c>
      <c r="Q67" s="5">
        <v>7</v>
      </c>
      <c r="R67" s="5">
        <v>4</v>
      </c>
      <c r="S67" s="5">
        <v>1</v>
      </c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</row>
    <row r="68" spans="1:42" x14ac:dyDescent="0.2">
      <c r="A68" s="104" t="s">
        <v>664</v>
      </c>
      <c r="C68" s="105" t="s">
        <v>665</v>
      </c>
      <c r="D68" s="105" t="s">
        <v>31</v>
      </c>
      <c r="E68" s="105" t="s">
        <v>32</v>
      </c>
      <c r="F68" s="105" t="s">
        <v>780</v>
      </c>
      <c r="H68" s="105" t="s">
        <v>131</v>
      </c>
      <c r="J68" s="5">
        <v>69.5</v>
      </c>
      <c r="K68" s="5">
        <v>1.5</v>
      </c>
      <c r="L68" s="5">
        <v>18</v>
      </c>
      <c r="M68" s="108">
        <v>1.69</v>
      </c>
      <c r="N68" s="5">
        <v>10</v>
      </c>
      <c r="O68" s="109">
        <v>3.73</v>
      </c>
      <c r="P68" s="5">
        <v>3.4000000000000002E-3</v>
      </c>
      <c r="Q68" s="5">
        <v>24</v>
      </c>
      <c r="R68" s="5">
        <v>8</v>
      </c>
      <c r="S68" s="5">
        <v>0.5</v>
      </c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</row>
    <row r="69" spans="1:42" x14ac:dyDescent="0.2">
      <c r="A69" s="1"/>
      <c r="B69" s="1"/>
      <c r="C69" s="1"/>
      <c r="D69" s="1"/>
      <c r="E69" s="1"/>
      <c r="F69" s="1"/>
      <c r="G69" s="1"/>
      <c r="H69" s="1"/>
      <c r="J69" s="106"/>
      <c r="K69" s="106"/>
      <c r="L69" s="106"/>
      <c r="M69" s="106"/>
      <c r="N69" s="106"/>
      <c r="O69" s="106"/>
      <c r="P69" s="106"/>
      <c r="Q69" s="106"/>
      <c r="R69" s="106"/>
      <c r="S69" s="106"/>
    </row>
    <row r="70" spans="1:42" x14ac:dyDescent="0.2">
      <c r="A70" s="226" t="s">
        <v>1054</v>
      </c>
      <c r="B70" s="227"/>
      <c r="C70" s="228"/>
      <c r="D70" s="228"/>
      <c r="E70" s="228"/>
      <c r="F70" s="228"/>
      <c r="G70" s="228"/>
      <c r="H70" s="229"/>
      <c r="I70" s="230"/>
      <c r="J70" s="231"/>
      <c r="K70" s="232"/>
      <c r="L70" s="232"/>
      <c r="M70" s="232"/>
      <c r="N70" s="233"/>
      <c r="O70" s="232"/>
      <c r="P70" s="232"/>
      <c r="Q70" s="232"/>
      <c r="R70" s="232"/>
      <c r="S70" s="232"/>
      <c r="T70" s="232"/>
      <c r="U70" s="226" t="s">
        <v>1054</v>
      </c>
      <c r="V70" s="227"/>
      <c r="W70" s="228"/>
      <c r="X70" s="228"/>
      <c r="Y70" s="228"/>
      <c r="Z70" s="228"/>
    </row>
    <row r="71" spans="1:42" x14ac:dyDescent="0.2">
      <c r="A71" s="104" t="s">
        <v>185</v>
      </c>
      <c r="B71" s="104" t="s">
        <v>188</v>
      </c>
      <c r="C71" s="105" t="s">
        <v>189</v>
      </c>
      <c r="D71" s="105" t="s">
        <v>31</v>
      </c>
      <c r="E71" s="105" t="s">
        <v>32</v>
      </c>
      <c r="F71" s="105" t="s">
        <v>781</v>
      </c>
      <c r="H71" s="105" t="s">
        <v>166</v>
      </c>
      <c r="J71" s="5">
        <v>77.8</v>
      </c>
      <c r="K71" s="5">
        <v>2.3983999999999996</v>
      </c>
      <c r="L71" s="107">
        <v>281.99680000000001</v>
      </c>
      <c r="M71" s="109">
        <v>6.8047999999999993</v>
      </c>
      <c r="P71" s="5">
        <v>9.7500000000000003E-2</v>
      </c>
      <c r="R71" s="5">
        <v>23.995199999999997</v>
      </c>
      <c r="T71" s="5"/>
      <c r="U71" s="197" t="s">
        <v>1047</v>
      </c>
      <c r="V71" s="5">
        <f>(77-70)*9</f>
        <v>63</v>
      </c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</row>
    <row r="72" spans="1:42" x14ac:dyDescent="0.2">
      <c r="A72" s="104" t="s">
        <v>723</v>
      </c>
      <c r="B72" s="104" t="s">
        <v>1051</v>
      </c>
      <c r="C72" s="105" t="s">
        <v>724</v>
      </c>
      <c r="D72" s="105" t="s">
        <v>31</v>
      </c>
      <c r="E72" s="105" t="s">
        <v>32</v>
      </c>
      <c r="F72" s="105" t="s">
        <v>780</v>
      </c>
      <c r="H72" s="105" t="s">
        <v>166</v>
      </c>
      <c r="J72" s="5">
        <v>85</v>
      </c>
      <c r="L72" s="107">
        <v>369</v>
      </c>
      <c r="M72" s="5">
        <v>1.4</v>
      </c>
      <c r="R72" s="5">
        <v>14</v>
      </c>
      <c r="T72" s="5"/>
      <c r="U72" s="197" t="s">
        <v>1048</v>
      </c>
      <c r="V72" s="5">
        <f>COUNTBLANK(K71:S77)</f>
        <v>25</v>
      </c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</row>
    <row r="73" spans="1:42" x14ac:dyDescent="0.2">
      <c r="A73" s="104" t="s">
        <v>759</v>
      </c>
      <c r="B73" s="104" t="s">
        <v>900</v>
      </c>
      <c r="C73" s="105" t="s">
        <v>901</v>
      </c>
      <c r="D73" s="105" t="s">
        <v>31</v>
      </c>
      <c r="E73" s="105" t="s">
        <v>32</v>
      </c>
      <c r="F73" s="105" t="s">
        <v>781</v>
      </c>
      <c r="H73" s="105" t="s">
        <v>286</v>
      </c>
      <c r="J73" s="5">
        <v>82.7</v>
      </c>
      <c r="K73" s="5">
        <v>2.4</v>
      </c>
      <c r="L73" s="5">
        <v>108</v>
      </c>
      <c r="M73" s="107">
        <v>2.4</v>
      </c>
      <c r="P73" s="5">
        <v>6.4999999999999997E-3</v>
      </c>
      <c r="R73" s="5">
        <v>37</v>
      </c>
      <c r="T73" s="5"/>
      <c r="U73" s="197" t="s">
        <v>1049</v>
      </c>
      <c r="V73" s="5">
        <f>V71-V72</f>
        <v>38</v>
      </c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</row>
    <row r="74" spans="1:42" x14ac:dyDescent="0.2">
      <c r="A74" s="104" t="s">
        <v>451</v>
      </c>
      <c r="B74" s="104" t="s">
        <v>452</v>
      </c>
      <c r="C74" s="105" t="s">
        <v>454</v>
      </c>
      <c r="D74" s="105" t="s">
        <v>31</v>
      </c>
      <c r="E74" s="105" t="s">
        <v>32</v>
      </c>
      <c r="F74" s="105" t="s">
        <v>781</v>
      </c>
      <c r="H74" s="105" t="s">
        <v>166</v>
      </c>
      <c r="J74" s="5">
        <v>84</v>
      </c>
      <c r="K74" s="5">
        <v>1.2640000000000002</v>
      </c>
      <c r="L74" s="107">
        <v>345.65660000000003</v>
      </c>
      <c r="M74" s="109">
        <v>6.9046000000000021</v>
      </c>
      <c r="P74" s="107">
        <v>0.60132833333333324</v>
      </c>
      <c r="R74" s="108">
        <v>110.17340000000002</v>
      </c>
      <c r="T74" s="5"/>
      <c r="U74" s="197" t="s">
        <v>1045</v>
      </c>
      <c r="V74" s="5">
        <v>3</v>
      </c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</row>
    <row r="75" spans="1:42" x14ac:dyDescent="0.2">
      <c r="A75" s="104" t="s">
        <v>592</v>
      </c>
      <c r="B75" s="104" t="s">
        <v>593</v>
      </c>
      <c r="C75" s="105" t="s">
        <v>594</v>
      </c>
      <c r="D75" s="105" t="s">
        <v>31</v>
      </c>
      <c r="E75" s="105" t="s">
        <v>32</v>
      </c>
      <c r="F75" s="105" t="s">
        <v>781</v>
      </c>
      <c r="H75" s="105" t="s">
        <v>286</v>
      </c>
      <c r="J75" s="5">
        <v>90.289999999999992</v>
      </c>
      <c r="K75" s="5">
        <v>1.02</v>
      </c>
      <c r="L75" s="5">
        <v>16.8</v>
      </c>
      <c r="M75" s="5">
        <v>0.81</v>
      </c>
      <c r="N75" s="5">
        <v>12</v>
      </c>
      <c r="O75" s="5">
        <v>0.33</v>
      </c>
      <c r="P75" s="5">
        <v>8.291873963515755E-3</v>
      </c>
      <c r="Q75" s="5">
        <v>57.333333333333336</v>
      </c>
      <c r="R75" s="5">
        <v>55.5</v>
      </c>
      <c r="S75" s="5">
        <v>0.47500000000000003</v>
      </c>
      <c r="T75" s="5"/>
      <c r="U75" s="197" t="s">
        <v>1046</v>
      </c>
      <c r="V75" s="5">
        <v>5</v>
      </c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</row>
    <row r="76" spans="1:42" x14ac:dyDescent="0.2">
      <c r="A76" s="104" t="s">
        <v>749</v>
      </c>
      <c r="B76" s="104" t="s">
        <v>893</v>
      </c>
      <c r="C76" s="105" t="s">
        <v>752</v>
      </c>
      <c r="D76" s="105" t="s">
        <v>31</v>
      </c>
      <c r="E76" s="105" t="s">
        <v>32</v>
      </c>
      <c r="F76" s="105" t="s">
        <v>888</v>
      </c>
      <c r="H76" s="105" t="s">
        <v>751</v>
      </c>
      <c r="J76" s="5">
        <v>73.45</v>
      </c>
      <c r="K76" s="5">
        <v>1.135</v>
      </c>
      <c r="L76" s="5">
        <v>31.265000000000001</v>
      </c>
      <c r="M76" s="5">
        <v>0.38500000000000001</v>
      </c>
      <c r="N76" s="5">
        <v>22.675000000000001</v>
      </c>
      <c r="O76" s="5">
        <v>0.33500000000000002</v>
      </c>
      <c r="P76" s="5">
        <v>1.9484999999999999E-2</v>
      </c>
      <c r="Q76" s="5">
        <v>14.354999999999999</v>
      </c>
      <c r="R76" s="5">
        <v>17.695</v>
      </c>
      <c r="T76" s="5"/>
      <c r="U76" s="197" t="s">
        <v>1050</v>
      </c>
      <c r="V76" s="196">
        <f>(V74+V75)/V73</f>
        <v>0.21052631578947367</v>
      </c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</row>
    <row r="77" spans="1:42" x14ac:dyDescent="0.2">
      <c r="A77" s="104" t="s">
        <v>749</v>
      </c>
      <c r="B77" s="104" t="s">
        <v>750</v>
      </c>
      <c r="C77" s="105" t="s">
        <v>752</v>
      </c>
      <c r="D77" s="105" t="s">
        <v>31</v>
      </c>
      <c r="E77" s="105" t="s">
        <v>32</v>
      </c>
      <c r="F77" s="105" t="s">
        <v>888</v>
      </c>
      <c r="H77" s="105" t="s">
        <v>751</v>
      </c>
      <c r="J77" s="5">
        <v>83.2</v>
      </c>
      <c r="L77" s="5">
        <v>34</v>
      </c>
      <c r="M77" s="5">
        <v>1.4</v>
      </c>
      <c r="R77" s="109">
        <v>393</v>
      </c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</row>
    <row r="78" spans="1:42" x14ac:dyDescent="0.2">
      <c r="A78" s="1"/>
      <c r="B78" s="1"/>
      <c r="C78" s="1"/>
      <c r="D78" s="1"/>
      <c r="E78" s="1"/>
      <c r="F78" s="1"/>
      <c r="G78" s="1"/>
      <c r="H78" s="1"/>
      <c r="J78" s="106"/>
      <c r="K78" s="106"/>
      <c r="L78" s="106"/>
      <c r="M78" s="106"/>
      <c r="N78" s="106"/>
      <c r="O78" s="106"/>
      <c r="P78" s="106"/>
      <c r="Q78" s="106"/>
      <c r="R78" s="106"/>
      <c r="S78" s="106"/>
    </row>
    <row r="79" spans="1:42" x14ac:dyDescent="0.2">
      <c r="A79" s="226" t="s">
        <v>1055</v>
      </c>
      <c r="B79" s="227"/>
      <c r="C79" s="228"/>
      <c r="D79" s="228"/>
      <c r="E79" s="228"/>
      <c r="F79" s="228"/>
      <c r="G79" s="228"/>
      <c r="H79" s="229"/>
      <c r="I79" s="230"/>
      <c r="J79" s="231"/>
      <c r="K79" s="232"/>
      <c r="L79" s="232"/>
      <c r="M79" s="232"/>
      <c r="N79" s="233"/>
      <c r="O79" s="232"/>
      <c r="P79" s="232"/>
      <c r="Q79" s="232"/>
      <c r="R79" s="232"/>
      <c r="S79" s="232"/>
      <c r="T79" s="232"/>
      <c r="U79" s="226" t="s">
        <v>1055</v>
      </c>
      <c r="V79" s="227"/>
      <c r="W79" s="228"/>
      <c r="X79" s="232"/>
    </row>
    <row r="80" spans="1:42" x14ac:dyDescent="0.2">
      <c r="A80" s="31" t="s">
        <v>907</v>
      </c>
      <c r="B80" s="31" t="s">
        <v>908</v>
      </c>
      <c r="C80" s="105" t="s">
        <v>908</v>
      </c>
      <c r="D80" s="1" t="s">
        <v>31</v>
      </c>
      <c r="E80" s="1" t="s">
        <v>32</v>
      </c>
      <c r="F80" s="105" t="s">
        <v>781</v>
      </c>
      <c r="G80" s="1"/>
      <c r="H80" s="1" t="s">
        <v>28</v>
      </c>
      <c r="J80" s="5">
        <v>94.366666666666674</v>
      </c>
      <c r="K80" s="5">
        <v>0.64999999999999991</v>
      </c>
      <c r="L80" s="5">
        <v>7.7</v>
      </c>
      <c r="M80" s="5">
        <v>0.70500000000000007</v>
      </c>
      <c r="P80" s="5">
        <v>3.6500000000000005E-2</v>
      </c>
      <c r="R80" s="5">
        <v>15.6</v>
      </c>
      <c r="T80" s="5"/>
      <c r="U80" s="197" t="s">
        <v>1047</v>
      </c>
      <c r="V80" s="5">
        <f>(102-79)*9</f>
        <v>207</v>
      </c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</row>
    <row r="81" spans="1:42" x14ac:dyDescent="0.2">
      <c r="A81" s="104" t="s">
        <v>125</v>
      </c>
      <c r="B81" s="104" t="s">
        <v>124</v>
      </c>
      <c r="C81" s="105" t="s">
        <v>128</v>
      </c>
      <c r="D81" s="105" t="s">
        <v>31</v>
      </c>
      <c r="E81" s="105" t="s">
        <v>32</v>
      </c>
      <c r="F81" s="105" t="s">
        <v>780</v>
      </c>
      <c r="H81" s="105" t="s">
        <v>28</v>
      </c>
      <c r="J81" s="5">
        <v>53.537499999999994</v>
      </c>
      <c r="K81" s="107">
        <v>5.34</v>
      </c>
      <c r="L81" s="5">
        <v>36.78</v>
      </c>
      <c r="M81" s="5">
        <v>1.4739999999999998</v>
      </c>
      <c r="N81" s="5">
        <v>24.419999999999998</v>
      </c>
      <c r="O81" s="5">
        <v>0.31500000000000006</v>
      </c>
      <c r="P81" s="5">
        <v>0.1824212271973466</v>
      </c>
      <c r="R81" s="5">
        <v>18.7</v>
      </c>
      <c r="T81" s="5"/>
      <c r="U81" s="197" t="s">
        <v>1048</v>
      </c>
      <c r="V81" s="5">
        <f>COUNTBLANK(K80:S103)</f>
        <v>79</v>
      </c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</row>
    <row r="82" spans="1:42" x14ac:dyDescent="0.2">
      <c r="A82" s="104" t="s">
        <v>719</v>
      </c>
      <c r="B82" s="104" t="s">
        <v>720</v>
      </c>
      <c r="C82" s="105" t="s">
        <v>865</v>
      </c>
      <c r="D82" s="105" t="s">
        <v>31</v>
      </c>
      <c r="E82" s="105" t="s">
        <v>32</v>
      </c>
      <c r="F82" s="105" t="s">
        <v>781</v>
      </c>
      <c r="H82" s="105" t="s">
        <v>721</v>
      </c>
      <c r="J82" s="5">
        <v>70.5</v>
      </c>
      <c r="K82" s="108">
        <v>2.8</v>
      </c>
      <c r="L82" s="107">
        <v>294</v>
      </c>
      <c r="M82" s="107">
        <v>2.9</v>
      </c>
      <c r="T82" s="5"/>
      <c r="U82" s="197" t="s">
        <v>1049</v>
      </c>
      <c r="V82" s="5">
        <f>V80-V81</f>
        <v>128</v>
      </c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</row>
    <row r="83" spans="1:42" x14ac:dyDescent="0.2">
      <c r="A83" s="104" t="s">
        <v>154</v>
      </c>
      <c r="B83" s="104" t="s">
        <v>155</v>
      </c>
      <c r="C83" s="105" t="s">
        <v>157</v>
      </c>
      <c r="D83" s="105" t="s">
        <v>31</v>
      </c>
      <c r="E83" s="105" t="s">
        <v>32</v>
      </c>
      <c r="F83" s="105" t="s">
        <v>781</v>
      </c>
      <c r="H83" s="105" t="s">
        <v>156</v>
      </c>
      <c r="J83" s="5">
        <v>69</v>
      </c>
      <c r="K83" s="5">
        <v>1.2958000000000003</v>
      </c>
      <c r="L83" s="5">
        <v>41.654600000000002</v>
      </c>
      <c r="M83" s="107">
        <v>4.0402000000000005</v>
      </c>
      <c r="N83" s="5" t="s">
        <v>0</v>
      </c>
      <c r="O83" s="109">
        <v>1.24</v>
      </c>
      <c r="P83" s="5">
        <v>4.6249166666666668E-2</v>
      </c>
      <c r="Q83" s="5" t="s">
        <v>0</v>
      </c>
      <c r="R83" s="5">
        <v>25.995200000000008</v>
      </c>
      <c r="S83" s="5" t="s">
        <v>0</v>
      </c>
      <c r="T83" s="5"/>
      <c r="U83" s="197" t="s">
        <v>1045</v>
      </c>
      <c r="V83" s="5">
        <v>8</v>
      </c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</row>
    <row r="84" spans="1:42" x14ac:dyDescent="0.2">
      <c r="A84" s="104" t="s">
        <v>190</v>
      </c>
      <c r="B84" s="104" t="s">
        <v>191</v>
      </c>
      <c r="C84" s="105" t="s">
        <v>193</v>
      </c>
      <c r="D84" s="105" t="s">
        <v>25</v>
      </c>
      <c r="E84" s="105" t="s">
        <v>32</v>
      </c>
      <c r="F84" s="105" t="s">
        <v>783</v>
      </c>
      <c r="H84" s="105" t="s">
        <v>194</v>
      </c>
      <c r="J84" s="5">
        <v>85.2</v>
      </c>
      <c r="T84" s="5"/>
      <c r="U84" s="197" t="s">
        <v>1046</v>
      </c>
      <c r="V84" s="5">
        <v>13</v>
      </c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</row>
    <row r="85" spans="1:42" x14ac:dyDescent="0.2">
      <c r="A85" s="25" t="s">
        <v>910</v>
      </c>
      <c r="B85" s="25" t="s">
        <v>911</v>
      </c>
      <c r="C85" s="22" t="s">
        <v>912</v>
      </c>
      <c r="D85" s="22" t="s">
        <v>31</v>
      </c>
      <c r="E85" s="22" t="s">
        <v>32</v>
      </c>
      <c r="F85" s="22" t="s">
        <v>781</v>
      </c>
      <c r="G85" s="22"/>
      <c r="H85" s="22" t="s">
        <v>284</v>
      </c>
      <c r="J85" s="5">
        <v>41.3</v>
      </c>
      <c r="K85" s="107">
        <v>4.3</v>
      </c>
      <c r="L85" s="108">
        <v>200</v>
      </c>
      <c r="M85" s="5">
        <v>1.3</v>
      </c>
      <c r="N85" s="107">
        <v>106</v>
      </c>
      <c r="O85" s="5">
        <v>4.0000000000000001E-3</v>
      </c>
      <c r="T85" s="5"/>
      <c r="U85" s="197" t="s">
        <v>1050</v>
      </c>
      <c r="V85" s="196">
        <f>(V83+V84)/V82</f>
        <v>0.1640625</v>
      </c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</row>
    <row r="86" spans="1:42" x14ac:dyDescent="0.2">
      <c r="A86" s="104" t="s">
        <v>208</v>
      </c>
      <c r="B86" s="104" t="s">
        <v>722</v>
      </c>
      <c r="C86" s="105" t="s">
        <v>866</v>
      </c>
      <c r="D86" s="105" t="s">
        <v>31</v>
      </c>
      <c r="E86" s="105" t="s">
        <v>32</v>
      </c>
      <c r="F86" s="105" t="s">
        <v>783</v>
      </c>
      <c r="H86" s="105" t="s">
        <v>28</v>
      </c>
      <c r="J86" s="5">
        <v>77.900000000000006</v>
      </c>
      <c r="L86" s="5">
        <v>48</v>
      </c>
      <c r="M86" s="109">
        <v>6.3</v>
      </c>
      <c r="R86" s="5">
        <v>61</v>
      </c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</row>
    <row r="87" spans="1:42" x14ac:dyDescent="0.2">
      <c r="A87" s="104" t="s">
        <v>204</v>
      </c>
      <c r="B87" s="104" t="s">
        <v>205</v>
      </c>
      <c r="C87" s="105" t="s">
        <v>206</v>
      </c>
      <c r="D87" s="105" t="s">
        <v>25</v>
      </c>
      <c r="E87" s="105" t="s">
        <v>46</v>
      </c>
      <c r="F87" s="105" t="s">
        <v>783</v>
      </c>
      <c r="H87" s="105" t="s">
        <v>28</v>
      </c>
      <c r="J87" s="5">
        <v>87.691111111111113</v>
      </c>
      <c r="K87" s="5">
        <v>1.3384210526315787</v>
      </c>
      <c r="L87" s="5">
        <v>17.49476842105263</v>
      </c>
      <c r="M87" s="5">
        <v>1.1298111111111111</v>
      </c>
      <c r="N87" s="5">
        <v>17.333333333333332</v>
      </c>
      <c r="O87" s="5">
        <v>0.2446153846153846</v>
      </c>
      <c r="P87" s="5">
        <v>0.11407912494817578</v>
      </c>
      <c r="Q87" s="5">
        <v>24.333333333333332</v>
      </c>
      <c r="R87" s="108">
        <v>116.79510526315789</v>
      </c>
      <c r="S87" s="108">
        <v>2.1209090909090911</v>
      </c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</row>
    <row r="88" spans="1:42" x14ac:dyDescent="0.2">
      <c r="A88" s="104" t="s">
        <v>212</v>
      </c>
      <c r="B88" s="104" t="s">
        <v>213</v>
      </c>
      <c r="C88" s="105" t="s">
        <v>213</v>
      </c>
      <c r="D88" s="105" t="s">
        <v>31</v>
      </c>
      <c r="E88" s="105" t="s">
        <v>32</v>
      </c>
      <c r="F88" s="105" t="s">
        <v>781</v>
      </c>
      <c r="H88" s="105" t="s">
        <v>27</v>
      </c>
      <c r="J88" s="5">
        <v>92.2</v>
      </c>
      <c r="K88" s="5">
        <v>1.4668666666666665</v>
      </c>
      <c r="L88" s="5">
        <v>40.999666666666663</v>
      </c>
      <c r="M88" s="5">
        <v>0.40006666666666657</v>
      </c>
      <c r="N88" s="5">
        <v>20</v>
      </c>
      <c r="O88" s="5">
        <v>0.2</v>
      </c>
      <c r="P88" s="5">
        <v>1.25E-3</v>
      </c>
      <c r="Q88" s="5" t="s">
        <v>0</v>
      </c>
      <c r="R88" s="5">
        <v>36.332566666666658</v>
      </c>
      <c r="S88" s="5">
        <v>0.8</v>
      </c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</row>
    <row r="89" spans="1:42" x14ac:dyDescent="0.2">
      <c r="A89" s="104" t="s">
        <v>304</v>
      </c>
      <c r="B89" s="104" t="s">
        <v>305</v>
      </c>
      <c r="C89" s="105" t="s">
        <v>306</v>
      </c>
      <c r="D89" s="105" t="s">
        <v>31</v>
      </c>
      <c r="E89" s="105" t="s">
        <v>32</v>
      </c>
      <c r="F89" s="105" t="s">
        <v>783</v>
      </c>
      <c r="H89" s="105" t="s">
        <v>28</v>
      </c>
      <c r="J89" s="5">
        <v>85</v>
      </c>
      <c r="K89" s="108">
        <v>2.5593600000000003</v>
      </c>
      <c r="L89" s="5">
        <v>23.249400000000001</v>
      </c>
      <c r="M89" s="5">
        <v>0.71367500000000006</v>
      </c>
      <c r="N89" s="5">
        <v>20.5</v>
      </c>
      <c r="O89" s="5">
        <v>0.02</v>
      </c>
      <c r="P89" s="5">
        <v>2.8718124999999997E-2</v>
      </c>
      <c r="Q89" s="5" t="s">
        <v>0</v>
      </c>
      <c r="R89" s="5">
        <v>23.644583333333333</v>
      </c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</row>
    <row r="90" spans="1:42" x14ac:dyDescent="0.2">
      <c r="A90" s="104" t="s">
        <v>309</v>
      </c>
      <c r="B90" s="104" t="s">
        <v>310</v>
      </c>
      <c r="C90" s="105" t="s">
        <v>311</v>
      </c>
      <c r="D90" s="105" t="s">
        <v>31</v>
      </c>
      <c r="E90" s="105" t="s">
        <v>32</v>
      </c>
      <c r="F90" s="105" t="s">
        <v>781</v>
      </c>
      <c r="H90" s="105" t="s">
        <v>28</v>
      </c>
      <c r="J90" s="5">
        <v>56</v>
      </c>
      <c r="K90" s="109">
        <v>8.1905999999999999</v>
      </c>
      <c r="L90" s="5">
        <v>43.011599999999994</v>
      </c>
      <c r="M90" s="5">
        <v>0.78839999999999988</v>
      </c>
      <c r="R90" s="5">
        <v>19.009199999999996</v>
      </c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</row>
    <row r="91" spans="1:42" x14ac:dyDescent="0.2">
      <c r="A91" s="104" t="s">
        <v>764</v>
      </c>
      <c r="B91" s="104" t="s">
        <v>765</v>
      </c>
      <c r="C91" s="105" t="s">
        <v>766</v>
      </c>
      <c r="D91" s="105" t="s">
        <v>31</v>
      </c>
      <c r="E91" s="105" t="s">
        <v>32</v>
      </c>
      <c r="F91" s="105" t="s">
        <v>781</v>
      </c>
      <c r="H91" s="105" t="s">
        <v>28</v>
      </c>
      <c r="J91" s="5">
        <v>79.733333333333334</v>
      </c>
      <c r="L91" s="5">
        <v>34.666666666666664</v>
      </c>
      <c r="M91" s="5">
        <v>1.4333333333333333</v>
      </c>
      <c r="N91" s="5">
        <v>53.333333333333336</v>
      </c>
      <c r="O91" s="108">
        <v>0.5033333333333333</v>
      </c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</row>
    <row r="92" spans="1:42" x14ac:dyDescent="0.2">
      <c r="A92" s="104" t="s">
        <v>419</v>
      </c>
      <c r="B92" s="104" t="s">
        <v>420</v>
      </c>
      <c r="C92" s="105" t="s">
        <v>418</v>
      </c>
      <c r="D92" s="105" t="s">
        <v>31</v>
      </c>
      <c r="E92" s="105" t="s">
        <v>32</v>
      </c>
      <c r="F92" s="105" t="s">
        <v>783</v>
      </c>
      <c r="H92" s="105" t="s">
        <v>28</v>
      </c>
      <c r="J92" s="5">
        <v>77.13333333333334</v>
      </c>
      <c r="K92" s="5">
        <v>2.2000000000000002</v>
      </c>
      <c r="L92" s="5">
        <v>26.6</v>
      </c>
      <c r="M92" s="5">
        <v>0.9</v>
      </c>
      <c r="N92" s="5">
        <v>12.7</v>
      </c>
      <c r="O92" s="108">
        <v>0.5</v>
      </c>
      <c r="P92" s="109">
        <v>4.306</v>
      </c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</row>
    <row r="93" spans="1:42" x14ac:dyDescent="0.2">
      <c r="A93" s="104" t="s">
        <v>451</v>
      </c>
      <c r="B93" s="104" t="s">
        <v>453</v>
      </c>
      <c r="C93" s="105" t="s">
        <v>454</v>
      </c>
      <c r="D93" s="105" t="s">
        <v>31</v>
      </c>
      <c r="E93" s="105" t="s">
        <v>32</v>
      </c>
      <c r="F93" s="105" t="s">
        <v>781</v>
      </c>
      <c r="H93" s="105" t="s">
        <v>27</v>
      </c>
      <c r="J93" s="5">
        <v>87.36</v>
      </c>
      <c r="K93" s="108">
        <v>3.2678800000000003</v>
      </c>
      <c r="L93" s="5">
        <v>70.203400000000002</v>
      </c>
      <c r="M93" s="107">
        <v>3.5429000000000004</v>
      </c>
      <c r="N93" s="5">
        <v>34</v>
      </c>
      <c r="O93" s="108">
        <v>0.45</v>
      </c>
      <c r="P93" s="5">
        <v>0.16980333333333336</v>
      </c>
      <c r="Q93" s="5">
        <v>44</v>
      </c>
      <c r="R93" s="107">
        <v>123.62159999999999</v>
      </c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</row>
    <row r="94" spans="1:42" x14ac:dyDescent="0.2">
      <c r="A94" s="104" t="s">
        <v>761</v>
      </c>
      <c r="B94" s="104" t="s">
        <v>762</v>
      </c>
      <c r="C94" s="105" t="s">
        <v>763</v>
      </c>
      <c r="D94" s="105" t="s">
        <v>31</v>
      </c>
      <c r="E94" s="105" t="s">
        <v>32</v>
      </c>
      <c r="F94" s="105" t="s">
        <v>780</v>
      </c>
      <c r="H94" s="105" t="s">
        <v>28</v>
      </c>
      <c r="J94" s="5">
        <v>81.3</v>
      </c>
      <c r="L94" s="5">
        <v>30</v>
      </c>
      <c r="M94" s="5">
        <v>1.4</v>
      </c>
      <c r="N94" s="5">
        <v>12</v>
      </c>
      <c r="O94" s="5">
        <v>0.26</v>
      </c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</row>
    <row r="95" spans="1:42" x14ac:dyDescent="0.2">
      <c r="A95" s="104" t="s">
        <v>474</v>
      </c>
      <c r="B95" s="104" t="s">
        <v>475</v>
      </c>
      <c r="C95" s="105" t="s">
        <v>477</v>
      </c>
      <c r="D95" s="105" t="s">
        <v>31</v>
      </c>
      <c r="E95" s="105" t="s">
        <v>32</v>
      </c>
      <c r="F95" s="105" t="s">
        <v>781</v>
      </c>
      <c r="H95" s="105" t="s">
        <v>28</v>
      </c>
      <c r="J95" s="5">
        <v>76.75</v>
      </c>
      <c r="K95" s="5">
        <v>1.3</v>
      </c>
      <c r="L95" s="5">
        <v>56.5</v>
      </c>
      <c r="M95" s="5">
        <v>1.0449999999999999</v>
      </c>
      <c r="N95" s="5">
        <v>11</v>
      </c>
      <c r="P95" s="5">
        <v>0</v>
      </c>
      <c r="Q95" s="5">
        <v>3</v>
      </c>
      <c r="S95" s="107">
        <v>3.81</v>
      </c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</row>
    <row r="96" spans="1:42" x14ac:dyDescent="0.2">
      <c r="A96" s="104" t="s">
        <v>478</v>
      </c>
      <c r="B96" s="104" t="s">
        <v>898</v>
      </c>
      <c r="C96" s="105" t="s">
        <v>899</v>
      </c>
      <c r="D96" s="105" t="s">
        <v>31</v>
      </c>
      <c r="E96" s="105" t="s">
        <v>32</v>
      </c>
      <c r="F96" s="105" t="s">
        <v>886</v>
      </c>
      <c r="H96" s="105" t="s">
        <v>28</v>
      </c>
      <c r="J96" s="5">
        <v>88.5</v>
      </c>
      <c r="K96" s="108">
        <v>3.4</v>
      </c>
      <c r="L96" s="5">
        <v>126</v>
      </c>
      <c r="M96" s="5">
        <v>0.3</v>
      </c>
      <c r="P96" s="5">
        <v>2E-3</v>
      </c>
      <c r="R96" s="5">
        <v>22</v>
      </c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</row>
    <row r="97" spans="1:46" x14ac:dyDescent="0.2">
      <c r="A97" s="104" t="s">
        <v>490</v>
      </c>
      <c r="B97" s="104" t="s">
        <v>491</v>
      </c>
      <c r="C97" s="105" t="s">
        <v>494</v>
      </c>
      <c r="D97" s="105" t="s">
        <v>31</v>
      </c>
      <c r="E97" s="105" t="s">
        <v>32</v>
      </c>
      <c r="F97" s="105" t="s">
        <v>781</v>
      </c>
      <c r="H97" s="105" t="s">
        <v>28</v>
      </c>
      <c r="J97" s="5">
        <v>70.849999999999994</v>
      </c>
      <c r="K97" s="5">
        <v>0.93855000000000011</v>
      </c>
      <c r="L97" s="5">
        <v>59.608750000000001</v>
      </c>
      <c r="M97" s="5">
        <v>1.3169</v>
      </c>
      <c r="R97" s="5">
        <v>22.660299999999999</v>
      </c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</row>
    <row r="98" spans="1:46" x14ac:dyDescent="0.2">
      <c r="A98" s="104" t="s">
        <v>495</v>
      </c>
      <c r="B98" s="104" t="s">
        <v>496</v>
      </c>
      <c r="C98" s="105" t="s">
        <v>497</v>
      </c>
      <c r="D98" s="105" t="s">
        <v>31</v>
      </c>
      <c r="E98" s="105" t="s">
        <v>32</v>
      </c>
      <c r="F98" s="105" t="s">
        <v>781</v>
      </c>
      <c r="H98" s="105" t="s">
        <v>28</v>
      </c>
      <c r="J98" s="5">
        <v>74.5</v>
      </c>
      <c r="K98" s="109">
        <v>10.595599999999999</v>
      </c>
      <c r="L98" s="5">
        <v>101.6848</v>
      </c>
      <c r="M98" s="5">
        <v>0.94079999999999997</v>
      </c>
      <c r="R98" s="5">
        <v>8.0359999999999996</v>
      </c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</row>
    <row r="99" spans="1:46" x14ac:dyDescent="0.2">
      <c r="A99" s="104" t="s">
        <v>500</v>
      </c>
      <c r="B99" s="104" t="s">
        <v>88</v>
      </c>
      <c r="C99" s="105" t="s">
        <v>501</v>
      </c>
      <c r="D99" s="105" t="s">
        <v>31</v>
      </c>
      <c r="E99" s="105" t="s">
        <v>32</v>
      </c>
      <c r="F99" s="105" t="s">
        <v>781</v>
      </c>
      <c r="H99" s="105" t="s">
        <v>28</v>
      </c>
      <c r="J99" s="5">
        <v>76.412307692307692</v>
      </c>
      <c r="K99" s="108">
        <v>2.7969666666666666</v>
      </c>
      <c r="L99" s="5">
        <v>11.847207692307689</v>
      </c>
      <c r="M99" s="5">
        <v>0.69093076923076935</v>
      </c>
      <c r="N99" s="5">
        <v>26.166666666666668</v>
      </c>
      <c r="O99" s="108">
        <v>0.55999999999999994</v>
      </c>
      <c r="P99" s="5">
        <v>1.3962870370370369E-2</v>
      </c>
      <c r="Q99" s="5">
        <v>53.5</v>
      </c>
      <c r="R99" s="5">
        <v>13.305861538461537</v>
      </c>
      <c r="S99" s="108">
        <v>1.4500000000000002</v>
      </c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</row>
    <row r="100" spans="1:46" x14ac:dyDescent="0.2">
      <c r="A100" s="104" t="s">
        <v>500</v>
      </c>
      <c r="B100" s="104" t="s">
        <v>503</v>
      </c>
      <c r="C100" s="105" t="s">
        <v>504</v>
      </c>
      <c r="D100" s="105" t="s">
        <v>31</v>
      </c>
      <c r="E100" s="105" t="s">
        <v>32</v>
      </c>
      <c r="F100" s="105" t="s">
        <v>781</v>
      </c>
      <c r="H100" s="105" t="s">
        <v>28</v>
      </c>
      <c r="J100" s="5">
        <v>73.900000000000006</v>
      </c>
      <c r="K100" s="5">
        <v>2.0003000000000002</v>
      </c>
      <c r="L100" s="5">
        <v>12.501049999999999</v>
      </c>
      <c r="M100" s="5">
        <v>0.50305</v>
      </c>
      <c r="P100" s="5">
        <v>5.0000000000000001E-3</v>
      </c>
      <c r="R100" s="5">
        <v>11.5009</v>
      </c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</row>
    <row r="101" spans="1:46" x14ac:dyDescent="0.2">
      <c r="A101" s="104" t="s">
        <v>601</v>
      </c>
      <c r="B101" s="104" t="s">
        <v>623</v>
      </c>
      <c r="C101" s="105" t="s">
        <v>624</v>
      </c>
      <c r="D101" s="105" t="s">
        <v>31</v>
      </c>
      <c r="E101" s="105" t="s">
        <v>32</v>
      </c>
      <c r="F101" s="105" t="s">
        <v>783</v>
      </c>
      <c r="H101" s="105" t="s">
        <v>28</v>
      </c>
      <c r="J101" s="5">
        <v>84.142857142857139</v>
      </c>
      <c r="K101" s="109">
        <v>9.0621333333333336</v>
      </c>
      <c r="L101" s="5">
        <v>91.024474999999995</v>
      </c>
      <c r="M101" s="107">
        <v>2.1248750000000003</v>
      </c>
      <c r="N101" s="5">
        <v>36.200000000000003</v>
      </c>
      <c r="O101" s="108">
        <v>0.45499999999999996</v>
      </c>
      <c r="P101" s="5">
        <v>2.6806799336650082E-2</v>
      </c>
      <c r="Q101" s="107">
        <v>327</v>
      </c>
      <c r="R101" s="5">
        <v>26.3688</v>
      </c>
      <c r="S101" s="5">
        <v>0.73499999999999999</v>
      </c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</row>
    <row r="102" spans="1:46" x14ac:dyDescent="0.2">
      <c r="A102" s="104" t="s">
        <v>630</v>
      </c>
      <c r="B102" s="104" t="s">
        <v>631</v>
      </c>
      <c r="C102" s="105" t="s">
        <v>632</v>
      </c>
      <c r="D102" s="105" t="s">
        <v>31</v>
      </c>
      <c r="E102" s="105" t="s">
        <v>32</v>
      </c>
      <c r="F102" s="105" t="s">
        <v>887</v>
      </c>
      <c r="G102" s="105" t="s">
        <v>71</v>
      </c>
      <c r="H102" s="105" t="s">
        <v>28</v>
      </c>
      <c r="J102" s="5">
        <v>80</v>
      </c>
      <c r="K102" s="107">
        <v>5.7</v>
      </c>
      <c r="L102" s="5">
        <v>40</v>
      </c>
      <c r="M102" s="5">
        <v>0.9</v>
      </c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</row>
    <row r="103" spans="1:46" x14ac:dyDescent="0.2">
      <c r="A103" s="104" t="s">
        <v>903</v>
      </c>
      <c r="B103" s="104" t="s">
        <v>1000</v>
      </c>
      <c r="C103" s="105" t="s">
        <v>905</v>
      </c>
      <c r="D103" s="105" t="s">
        <v>31</v>
      </c>
      <c r="E103" s="105" t="s">
        <v>32</v>
      </c>
      <c r="F103" s="105" t="s">
        <v>781</v>
      </c>
      <c r="H103" s="105" t="s">
        <v>28</v>
      </c>
      <c r="J103" s="5">
        <v>85.2</v>
      </c>
      <c r="K103" s="107">
        <v>4.3</v>
      </c>
      <c r="L103" s="5">
        <v>62</v>
      </c>
      <c r="M103" s="109">
        <v>7.9</v>
      </c>
      <c r="O103" s="109">
        <v>3.27</v>
      </c>
      <c r="P103" s="5">
        <v>0.06</v>
      </c>
      <c r="R103" s="5">
        <v>11</v>
      </c>
      <c r="S103" s="5">
        <v>0.54</v>
      </c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</row>
    <row r="104" spans="1:46" s="26" customFormat="1" x14ac:dyDescent="0.2">
      <c r="A104" s="177"/>
      <c r="B104" s="177"/>
      <c r="C104" s="110"/>
      <c r="D104" s="110"/>
      <c r="E104" s="110"/>
      <c r="F104" s="110"/>
      <c r="G104" s="110"/>
      <c r="H104" s="110"/>
      <c r="J104" s="23"/>
      <c r="K104" s="106"/>
      <c r="L104" s="106"/>
      <c r="M104" s="106"/>
      <c r="N104" s="106"/>
      <c r="O104" s="106"/>
      <c r="P104" s="106"/>
      <c r="Q104" s="106"/>
      <c r="R104" s="106"/>
      <c r="S104" s="106"/>
      <c r="T104" s="178"/>
      <c r="U104" s="178"/>
      <c r="V104" s="178"/>
      <c r="W104" s="178"/>
      <c r="X104" s="178"/>
      <c r="Y104" s="178"/>
      <c r="Z104" s="178"/>
      <c r="AA104" s="178"/>
      <c r="AB104" s="178"/>
      <c r="AC104" s="178"/>
      <c r="AD104" s="178"/>
      <c r="AE104" s="178"/>
      <c r="AF104" s="178"/>
      <c r="AG104" s="178"/>
      <c r="AH104" s="178"/>
      <c r="AI104" s="178"/>
      <c r="AJ104" s="178"/>
      <c r="AK104" s="178"/>
      <c r="AL104" s="178"/>
      <c r="AM104" s="178"/>
      <c r="AN104" s="178"/>
      <c r="AO104" s="178"/>
      <c r="AP104" s="178"/>
      <c r="AQ104" s="178"/>
      <c r="AR104" s="178"/>
      <c r="AS104" s="178"/>
      <c r="AT104" s="178"/>
    </row>
    <row r="105" spans="1:46" x14ac:dyDescent="0.2">
      <c r="A105" s="226" t="s">
        <v>1056</v>
      </c>
      <c r="B105" s="227"/>
      <c r="C105" s="228"/>
      <c r="D105" s="228"/>
      <c r="E105" s="228"/>
      <c r="F105" s="228"/>
      <c r="G105" s="228"/>
      <c r="H105" s="229"/>
      <c r="I105" s="230"/>
      <c r="J105" s="231"/>
      <c r="K105" s="232"/>
      <c r="L105" s="232"/>
      <c r="M105" s="232"/>
      <c r="N105" s="233"/>
      <c r="O105" s="232"/>
      <c r="P105" s="232"/>
      <c r="Q105" s="232"/>
      <c r="R105" s="232"/>
      <c r="S105" s="232"/>
      <c r="T105" s="232"/>
      <c r="U105" s="226" t="s">
        <v>1056</v>
      </c>
      <c r="V105" s="227"/>
      <c r="W105" s="228"/>
      <c r="X105" s="232"/>
    </row>
    <row r="106" spans="1:46" x14ac:dyDescent="0.2">
      <c r="A106" s="104" t="s">
        <v>35</v>
      </c>
      <c r="B106" s="104" t="s">
        <v>36</v>
      </c>
      <c r="C106" s="105" t="s">
        <v>38</v>
      </c>
      <c r="D106" s="105" t="s">
        <v>31</v>
      </c>
      <c r="E106" s="105" t="s">
        <v>32</v>
      </c>
      <c r="F106" s="105" t="s">
        <v>781</v>
      </c>
      <c r="H106" s="105" t="s">
        <v>37</v>
      </c>
      <c r="J106" s="5">
        <v>56.8</v>
      </c>
      <c r="K106" s="108">
        <v>3.3</v>
      </c>
      <c r="L106" s="5">
        <v>137</v>
      </c>
      <c r="M106" s="107">
        <v>3.2</v>
      </c>
      <c r="N106" s="108">
        <v>75</v>
      </c>
      <c r="T106" s="5"/>
      <c r="U106" s="197" t="s">
        <v>1047</v>
      </c>
      <c r="V106" s="5">
        <f>(110-104)*9</f>
        <v>54</v>
      </c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</row>
    <row r="107" spans="1:46" x14ac:dyDescent="0.2">
      <c r="A107" s="104" t="s">
        <v>719</v>
      </c>
      <c r="B107" s="104" t="s">
        <v>720</v>
      </c>
      <c r="C107" s="105" t="s">
        <v>865</v>
      </c>
      <c r="D107" s="105" t="s">
        <v>31</v>
      </c>
      <c r="E107" s="105" t="s">
        <v>32</v>
      </c>
      <c r="F107" s="105" t="s">
        <v>781</v>
      </c>
      <c r="H107" s="105" t="s">
        <v>721</v>
      </c>
      <c r="J107" s="5">
        <v>70.5</v>
      </c>
      <c r="K107" s="108">
        <v>2.8</v>
      </c>
      <c r="L107" s="107">
        <v>294</v>
      </c>
      <c r="M107" s="107">
        <v>2.9</v>
      </c>
      <c r="T107" s="5"/>
      <c r="U107" s="197" t="s">
        <v>1048</v>
      </c>
      <c r="V107" s="5">
        <f>COUNTBLANK(K106:S111)</f>
        <v>22</v>
      </c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</row>
    <row r="108" spans="1:46" x14ac:dyDescent="0.2">
      <c r="A108" s="104" t="s">
        <v>192</v>
      </c>
      <c r="B108" s="104" t="s">
        <v>191</v>
      </c>
      <c r="C108" s="105" t="s">
        <v>193</v>
      </c>
      <c r="D108" s="105" t="s">
        <v>25</v>
      </c>
      <c r="E108" s="105" t="s">
        <v>32</v>
      </c>
      <c r="F108" s="105" t="s">
        <v>783</v>
      </c>
      <c r="H108" s="105" t="s">
        <v>37</v>
      </c>
      <c r="J108" s="5">
        <v>68.3</v>
      </c>
      <c r="K108" s="107">
        <v>3.7646666666666668</v>
      </c>
      <c r="L108" s="5">
        <v>35.995925</v>
      </c>
      <c r="M108" s="5">
        <v>1.4055500000000001</v>
      </c>
      <c r="N108" s="108">
        <v>68</v>
      </c>
      <c r="O108" s="109">
        <v>1.625</v>
      </c>
      <c r="P108" s="5">
        <v>8.4706871890547278E-3</v>
      </c>
      <c r="Q108" s="108">
        <v>173</v>
      </c>
      <c r="R108" s="5">
        <v>30.002275000000001</v>
      </c>
      <c r="S108" s="5">
        <v>0.39</v>
      </c>
      <c r="T108" s="5"/>
      <c r="U108" s="197" t="s">
        <v>1049</v>
      </c>
      <c r="V108" s="5">
        <f>V106-V107</f>
        <v>32</v>
      </c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</row>
    <row r="109" spans="1:46" x14ac:dyDescent="0.2">
      <c r="A109" s="104" t="s">
        <v>759</v>
      </c>
      <c r="B109" s="104" t="s">
        <v>310</v>
      </c>
      <c r="C109" s="105" t="s">
        <v>760</v>
      </c>
      <c r="D109" s="105" t="s">
        <v>31</v>
      </c>
      <c r="E109" s="105" t="s">
        <v>32</v>
      </c>
      <c r="F109" s="105" t="s">
        <v>781</v>
      </c>
      <c r="H109" s="105" t="s">
        <v>37</v>
      </c>
      <c r="J109" s="5">
        <v>80</v>
      </c>
      <c r="L109" s="5">
        <v>16</v>
      </c>
      <c r="M109" s="5">
        <v>0.77</v>
      </c>
      <c r="N109" s="5">
        <v>38</v>
      </c>
      <c r="O109" s="108">
        <v>0.56000000000000005</v>
      </c>
      <c r="T109" s="5"/>
      <c r="U109" s="197" t="s">
        <v>1045</v>
      </c>
      <c r="V109" s="5">
        <v>1</v>
      </c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</row>
    <row r="110" spans="1:46" x14ac:dyDescent="0.2">
      <c r="A110" s="104" t="s">
        <v>402</v>
      </c>
      <c r="B110" s="104" t="s">
        <v>245</v>
      </c>
      <c r="C110" s="105" t="s">
        <v>404</v>
      </c>
      <c r="D110" s="105" t="s">
        <v>31</v>
      </c>
      <c r="E110" s="105" t="s">
        <v>32</v>
      </c>
      <c r="F110" s="105" t="s">
        <v>781</v>
      </c>
      <c r="H110" s="105" t="s">
        <v>37</v>
      </c>
      <c r="I110" s="1" t="s">
        <v>0</v>
      </c>
      <c r="J110" s="5">
        <v>71.95</v>
      </c>
      <c r="K110" s="108">
        <v>2.56</v>
      </c>
      <c r="L110" s="5">
        <v>102.285</v>
      </c>
      <c r="M110" s="107">
        <v>2.3449999999999998</v>
      </c>
      <c r="N110" s="5">
        <v>54.9</v>
      </c>
      <c r="O110" s="107">
        <v>0.82</v>
      </c>
      <c r="P110" s="5">
        <v>8.0000000000000002E-3</v>
      </c>
      <c r="R110" s="5">
        <v>40</v>
      </c>
      <c r="T110" s="5"/>
      <c r="U110" s="197" t="s">
        <v>1046</v>
      </c>
      <c r="V110" s="5">
        <v>7</v>
      </c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</row>
    <row r="111" spans="1:46" x14ac:dyDescent="0.2">
      <c r="A111" s="104" t="s">
        <v>493</v>
      </c>
      <c r="B111" s="104" t="s">
        <v>491</v>
      </c>
      <c r="C111" s="105" t="s">
        <v>494</v>
      </c>
      <c r="D111" s="105" t="s">
        <v>31</v>
      </c>
      <c r="E111" s="105" t="s">
        <v>32</v>
      </c>
      <c r="F111" s="105" t="s">
        <v>781</v>
      </c>
      <c r="H111" s="105" t="s">
        <v>37</v>
      </c>
      <c r="J111" s="5">
        <v>70.45</v>
      </c>
      <c r="K111" s="108">
        <v>2.7</v>
      </c>
      <c r="L111" s="5">
        <v>86.666666666666671</v>
      </c>
      <c r="M111" s="107">
        <v>3.0333333333333332</v>
      </c>
      <c r="P111" s="5">
        <v>3.6700000000000003E-2</v>
      </c>
      <c r="R111" s="5">
        <v>17</v>
      </c>
      <c r="T111" s="5"/>
      <c r="U111" s="197" t="s">
        <v>1050</v>
      </c>
      <c r="V111" s="196">
        <f>(V109+V110)/V108</f>
        <v>0.25</v>
      </c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</row>
    <row r="112" spans="1:46" x14ac:dyDescent="0.2">
      <c r="A112" s="1"/>
      <c r="B112" s="1"/>
      <c r="C112" s="1"/>
      <c r="D112" s="1"/>
      <c r="E112" s="1"/>
      <c r="F112" s="1"/>
      <c r="G112" s="1"/>
      <c r="H112" s="1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</row>
    <row r="113" spans="1:42" x14ac:dyDescent="0.2">
      <c r="A113" s="226" t="s">
        <v>1057</v>
      </c>
      <c r="B113" s="227"/>
      <c r="C113" s="228"/>
      <c r="D113" s="228"/>
      <c r="E113" s="228"/>
      <c r="F113" s="228"/>
      <c r="G113" s="228"/>
      <c r="H113" s="229"/>
      <c r="I113" s="230"/>
      <c r="J113" s="231"/>
      <c r="K113" s="232"/>
      <c r="L113" s="232"/>
      <c r="M113" s="232"/>
      <c r="N113" s="233"/>
      <c r="O113" s="232"/>
      <c r="P113" s="232"/>
      <c r="Q113" s="232"/>
      <c r="R113" s="232"/>
      <c r="S113" s="232"/>
      <c r="T113" s="232"/>
      <c r="U113" s="226" t="s">
        <v>1057</v>
      </c>
      <c r="V113" s="232"/>
      <c r="W113" s="232"/>
      <c r="X113" s="232"/>
    </row>
    <row r="114" spans="1:42" x14ac:dyDescent="0.2">
      <c r="A114" s="104" t="s">
        <v>85</v>
      </c>
      <c r="B114" s="104" t="s">
        <v>86</v>
      </c>
      <c r="C114" s="105" t="s">
        <v>87</v>
      </c>
      <c r="D114" s="105" t="s">
        <v>31</v>
      </c>
      <c r="E114" s="105" t="s">
        <v>42</v>
      </c>
      <c r="F114" s="105" t="s">
        <v>784</v>
      </c>
      <c r="H114" s="105" t="s">
        <v>33</v>
      </c>
      <c r="K114" s="5">
        <v>0.46</v>
      </c>
      <c r="L114" s="5">
        <v>153</v>
      </c>
      <c r="M114" s="5">
        <v>1.26</v>
      </c>
      <c r="Q114" s="5">
        <v>14</v>
      </c>
      <c r="R114" s="5">
        <v>36</v>
      </c>
      <c r="S114" s="109">
        <v>6.09</v>
      </c>
      <c r="T114" s="5"/>
      <c r="U114" s="197" t="s">
        <v>1047</v>
      </c>
      <c r="V114" s="5">
        <f>(129-112)*9</f>
        <v>153</v>
      </c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</row>
    <row r="115" spans="1:42" x14ac:dyDescent="0.2">
      <c r="A115" s="104" t="s">
        <v>136</v>
      </c>
      <c r="B115" s="104" t="s">
        <v>137</v>
      </c>
      <c r="C115" s="105" t="s">
        <v>140</v>
      </c>
      <c r="D115" s="105" t="s">
        <v>31</v>
      </c>
      <c r="E115" s="105" t="s">
        <v>42</v>
      </c>
      <c r="F115" s="105" t="s">
        <v>784</v>
      </c>
      <c r="H115" s="105" t="s">
        <v>33</v>
      </c>
      <c r="J115" s="5">
        <v>92.275000000000006</v>
      </c>
      <c r="K115" s="5">
        <v>0.72614999999999996</v>
      </c>
      <c r="L115" s="5">
        <v>107.1519545454545</v>
      </c>
      <c r="M115" s="108">
        <v>1.7700615384615381</v>
      </c>
      <c r="N115" s="5">
        <v>56.5</v>
      </c>
      <c r="O115" s="108">
        <v>0.43</v>
      </c>
      <c r="P115" s="5">
        <v>0.37341885444572004</v>
      </c>
      <c r="Q115" s="5">
        <v>113.75</v>
      </c>
      <c r="R115" s="108">
        <v>82.482223076923063</v>
      </c>
      <c r="S115" s="5">
        <v>1.38</v>
      </c>
      <c r="T115" s="5"/>
      <c r="U115" s="197" t="s">
        <v>1048</v>
      </c>
      <c r="V115" s="5">
        <f>COUNTBLANK(K114:S130)</f>
        <v>57</v>
      </c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</row>
    <row r="116" spans="1:42" x14ac:dyDescent="0.2">
      <c r="A116" s="104" t="s">
        <v>195</v>
      </c>
      <c r="B116" s="104" t="s">
        <v>196</v>
      </c>
      <c r="C116" s="105" t="s">
        <v>197</v>
      </c>
      <c r="D116" s="105" t="s">
        <v>31</v>
      </c>
      <c r="E116" s="105" t="s">
        <v>42</v>
      </c>
      <c r="F116" s="105" t="s">
        <v>32</v>
      </c>
      <c r="H116" s="105" t="s">
        <v>131</v>
      </c>
      <c r="K116" s="5">
        <v>0.77</v>
      </c>
      <c r="L116" s="5">
        <v>79</v>
      </c>
      <c r="M116" s="5">
        <v>1.04</v>
      </c>
      <c r="O116" s="109">
        <v>2.41</v>
      </c>
      <c r="P116" s="5">
        <v>3.3167495854063019E-3</v>
      </c>
      <c r="R116" s="5">
        <v>8</v>
      </c>
      <c r="T116" s="5"/>
      <c r="U116" s="197" t="s">
        <v>1049</v>
      </c>
      <c r="V116" s="5">
        <f>V114-V115</f>
        <v>96</v>
      </c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</row>
    <row r="117" spans="1:42" x14ac:dyDescent="0.2">
      <c r="A117" s="104" t="s">
        <v>236</v>
      </c>
      <c r="B117" s="104" t="s">
        <v>237</v>
      </c>
      <c r="C117" s="105" t="s">
        <v>238</v>
      </c>
      <c r="D117" s="105" t="s">
        <v>31</v>
      </c>
      <c r="E117" s="105" t="s">
        <v>42</v>
      </c>
      <c r="F117" s="105" t="s">
        <v>32</v>
      </c>
      <c r="H117" s="105" t="s">
        <v>33</v>
      </c>
      <c r="J117" s="5">
        <v>90.6</v>
      </c>
      <c r="K117" s="5">
        <v>0.93666666666666665</v>
      </c>
      <c r="L117" s="5">
        <v>59.666666666666664</v>
      </c>
      <c r="M117" s="107">
        <v>2.1825000000000001</v>
      </c>
      <c r="P117" s="108">
        <v>0.51654228855721396</v>
      </c>
      <c r="Q117" s="5">
        <v>98</v>
      </c>
      <c r="R117" s="5">
        <v>51.333333333333336</v>
      </c>
      <c r="S117" s="5">
        <v>1.105</v>
      </c>
      <c r="T117" s="5"/>
      <c r="U117" s="197" t="s">
        <v>1045</v>
      </c>
      <c r="V117" s="5">
        <v>8</v>
      </c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</row>
    <row r="118" spans="1:42" x14ac:dyDescent="0.2">
      <c r="A118" s="104" t="s">
        <v>249</v>
      </c>
      <c r="B118" s="104" t="s">
        <v>250</v>
      </c>
      <c r="C118" s="105" t="s">
        <v>251</v>
      </c>
      <c r="D118" s="105" t="s">
        <v>31</v>
      </c>
      <c r="E118" s="105" t="s">
        <v>42</v>
      </c>
      <c r="F118" s="105" t="s">
        <v>32</v>
      </c>
      <c r="H118" s="105" t="s">
        <v>33</v>
      </c>
      <c r="J118" s="5">
        <v>75</v>
      </c>
      <c r="K118" s="5">
        <v>1.9925999999999999</v>
      </c>
      <c r="L118" s="5">
        <v>104.00880000000001</v>
      </c>
      <c r="P118" s="107">
        <v>0.55541666666666667</v>
      </c>
      <c r="R118" s="5">
        <v>70.011600000000001</v>
      </c>
      <c r="T118" s="5"/>
      <c r="U118" s="197" t="s">
        <v>1046</v>
      </c>
      <c r="V118" s="5">
        <v>18</v>
      </c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</row>
    <row r="119" spans="1:42" x14ac:dyDescent="0.2">
      <c r="A119" s="104" t="s">
        <v>350</v>
      </c>
      <c r="B119" s="104" t="s">
        <v>352</v>
      </c>
      <c r="C119" s="105" t="s">
        <v>353</v>
      </c>
      <c r="D119" s="105" t="s">
        <v>31</v>
      </c>
      <c r="E119" s="105" t="s">
        <v>42</v>
      </c>
      <c r="F119" s="105" t="s">
        <v>32</v>
      </c>
      <c r="H119" s="105" t="s">
        <v>33</v>
      </c>
      <c r="J119" s="5">
        <v>70</v>
      </c>
      <c r="K119" s="107">
        <v>5.4982000000000006</v>
      </c>
      <c r="L119" s="5">
        <v>130.00550000000001</v>
      </c>
      <c r="M119" s="109">
        <v>5.5870000000000006</v>
      </c>
      <c r="R119" s="108">
        <v>99.996100000000013</v>
      </c>
      <c r="T119" s="5"/>
      <c r="U119" s="197" t="s">
        <v>1050</v>
      </c>
      <c r="V119" s="196">
        <f>(V117+V118)/V116</f>
        <v>0.27083333333333331</v>
      </c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</row>
    <row r="120" spans="1:42" x14ac:dyDescent="0.2">
      <c r="A120" s="104" t="s">
        <v>703</v>
      </c>
      <c r="B120" s="104" t="s">
        <v>704</v>
      </c>
      <c r="C120" s="105" t="s">
        <v>705</v>
      </c>
      <c r="D120" s="105" t="s">
        <v>31</v>
      </c>
      <c r="E120" s="105" t="s">
        <v>42</v>
      </c>
      <c r="F120" s="105" t="s">
        <v>784</v>
      </c>
      <c r="H120" s="105" t="s">
        <v>131</v>
      </c>
      <c r="J120" s="5">
        <v>85.8</v>
      </c>
      <c r="K120" s="107">
        <v>4.8499999999999996</v>
      </c>
      <c r="L120" s="5">
        <v>73.5</v>
      </c>
      <c r="M120" s="5">
        <v>0.74</v>
      </c>
      <c r="N120" s="5">
        <v>32.5</v>
      </c>
      <c r="O120" s="107">
        <v>0.97499999999999998</v>
      </c>
      <c r="P120" s="5">
        <v>0.03</v>
      </c>
      <c r="Q120" s="108">
        <v>144</v>
      </c>
      <c r="R120" s="5">
        <v>51.5</v>
      </c>
      <c r="S120" s="109">
        <v>14.42</v>
      </c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</row>
    <row r="121" spans="1:42" x14ac:dyDescent="0.2">
      <c r="A121" s="104" t="s">
        <v>400</v>
      </c>
      <c r="B121" s="104" t="s">
        <v>401</v>
      </c>
      <c r="C121" s="105" t="s">
        <v>878</v>
      </c>
      <c r="D121" s="105" t="s">
        <v>31</v>
      </c>
      <c r="E121" s="105" t="s">
        <v>42</v>
      </c>
      <c r="F121" s="105" t="s">
        <v>784</v>
      </c>
      <c r="H121" s="105" t="s">
        <v>33</v>
      </c>
      <c r="J121" s="5">
        <v>81</v>
      </c>
      <c r="K121" s="107">
        <v>4.7</v>
      </c>
      <c r="L121" s="107">
        <v>417</v>
      </c>
      <c r="P121" s="5">
        <v>0.24575</v>
      </c>
      <c r="R121" s="5">
        <v>78</v>
      </c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</row>
    <row r="122" spans="1:42" x14ac:dyDescent="0.2">
      <c r="A122" s="104" t="s">
        <v>441</v>
      </c>
      <c r="B122" s="104" t="s">
        <v>444</v>
      </c>
      <c r="C122" s="105" t="s">
        <v>445</v>
      </c>
      <c r="D122" s="105" t="s">
        <v>31</v>
      </c>
      <c r="E122" s="105" t="s">
        <v>42</v>
      </c>
      <c r="F122" s="105" t="s">
        <v>32</v>
      </c>
      <c r="H122" s="105" t="s">
        <v>33</v>
      </c>
      <c r="K122" s="5">
        <v>1.7033333333333331</v>
      </c>
      <c r="L122" s="107">
        <v>342.66666666666669</v>
      </c>
      <c r="M122" s="108">
        <v>1.8933333333333333</v>
      </c>
      <c r="O122" s="107">
        <v>0.57666666666666655</v>
      </c>
      <c r="P122" s="107">
        <v>1.0287451630735214</v>
      </c>
      <c r="Q122" s="108">
        <v>141.5</v>
      </c>
      <c r="R122" s="109">
        <v>935.33333333333337</v>
      </c>
      <c r="S122" s="108">
        <v>2.48</v>
      </c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</row>
    <row r="123" spans="1:42" x14ac:dyDescent="0.2">
      <c r="A123" s="104" t="s">
        <v>498</v>
      </c>
      <c r="B123" s="104" t="s">
        <v>499</v>
      </c>
      <c r="C123" s="105" t="s">
        <v>879</v>
      </c>
      <c r="D123" s="105" t="s">
        <v>31</v>
      </c>
      <c r="E123" s="105" t="s">
        <v>42</v>
      </c>
      <c r="F123" s="105" t="s">
        <v>784</v>
      </c>
      <c r="H123" s="105" t="s">
        <v>33</v>
      </c>
      <c r="J123" s="5">
        <v>85</v>
      </c>
      <c r="K123" s="5">
        <v>0.5</v>
      </c>
      <c r="L123" s="107">
        <v>370</v>
      </c>
      <c r="M123" s="109">
        <v>8.75</v>
      </c>
      <c r="N123" s="108">
        <v>78.7</v>
      </c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</row>
    <row r="124" spans="1:42" x14ac:dyDescent="0.2">
      <c r="A124" s="104" t="s">
        <v>540</v>
      </c>
      <c r="B124" s="104" t="s">
        <v>541</v>
      </c>
      <c r="C124" s="105" t="s">
        <v>542</v>
      </c>
      <c r="D124" s="105" t="s">
        <v>31</v>
      </c>
      <c r="E124" s="105" t="s">
        <v>42</v>
      </c>
      <c r="F124" s="105" t="s">
        <v>784</v>
      </c>
      <c r="H124" s="105" t="s">
        <v>33</v>
      </c>
      <c r="J124" s="5">
        <v>82</v>
      </c>
      <c r="L124" s="107">
        <v>565</v>
      </c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</row>
    <row r="125" spans="1:42" x14ac:dyDescent="0.2">
      <c r="A125" s="104" t="s">
        <v>540</v>
      </c>
      <c r="B125" s="104" t="s">
        <v>544</v>
      </c>
      <c r="C125" s="105" t="s">
        <v>545</v>
      </c>
      <c r="D125" s="105" t="s">
        <v>173</v>
      </c>
      <c r="E125" s="105" t="s">
        <v>42</v>
      </c>
      <c r="F125" s="105" t="s">
        <v>784</v>
      </c>
      <c r="H125" s="105" t="s">
        <v>33</v>
      </c>
      <c r="J125" s="5">
        <v>78.929999999999993</v>
      </c>
      <c r="K125" s="108">
        <v>2.9311333333333329</v>
      </c>
      <c r="L125" s="108">
        <v>238.00114999999997</v>
      </c>
      <c r="M125" s="107">
        <v>4.0389999999999997</v>
      </c>
      <c r="N125" s="5">
        <v>8</v>
      </c>
      <c r="O125" s="109">
        <v>1.28</v>
      </c>
      <c r="P125" s="5">
        <v>0.35719444444444443</v>
      </c>
      <c r="Q125" s="5">
        <v>16</v>
      </c>
      <c r="R125" s="5">
        <v>39.664999999999999</v>
      </c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</row>
    <row r="126" spans="1:42" x14ac:dyDescent="0.2">
      <c r="A126" s="104" t="s">
        <v>743</v>
      </c>
      <c r="B126" s="104" t="s">
        <v>203</v>
      </c>
      <c r="C126" s="105" t="s">
        <v>251</v>
      </c>
      <c r="D126" s="105" t="s">
        <v>31</v>
      </c>
      <c r="E126" s="105" t="s">
        <v>42</v>
      </c>
      <c r="F126" s="105" t="s">
        <v>32</v>
      </c>
      <c r="H126" s="105" t="s">
        <v>33</v>
      </c>
      <c r="J126" s="5">
        <v>75.400000000000006</v>
      </c>
      <c r="K126" s="5">
        <v>2</v>
      </c>
      <c r="L126" s="5">
        <v>104</v>
      </c>
      <c r="R126" s="5">
        <v>70</v>
      </c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</row>
    <row r="127" spans="1:42" x14ac:dyDescent="0.2">
      <c r="A127" s="104" t="s">
        <v>581</v>
      </c>
      <c r="B127" s="104" t="s">
        <v>568</v>
      </c>
      <c r="C127" s="105" t="s">
        <v>582</v>
      </c>
      <c r="D127" s="105" t="s">
        <v>31</v>
      </c>
      <c r="E127" s="105" t="s">
        <v>42</v>
      </c>
      <c r="F127" s="105" t="s">
        <v>784</v>
      </c>
      <c r="H127" s="105" t="s">
        <v>33</v>
      </c>
      <c r="J127" s="5">
        <v>89.62</v>
      </c>
      <c r="K127" s="5">
        <v>1.9523166666666665</v>
      </c>
      <c r="L127" s="5">
        <v>55.165883333333319</v>
      </c>
      <c r="M127" s="108">
        <v>1.65242</v>
      </c>
      <c r="O127" s="5">
        <v>0.32</v>
      </c>
      <c r="P127" s="5">
        <v>0.15389054726368162</v>
      </c>
      <c r="R127" s="5">
        <v>15.498916666666664</v>
      </c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</row>
    <row r="128" spans="1:42" x14ac:dyDescent="0.2">
      <c r="A128" s="104" t="s">
        <v>643</v>
      </c>
      <c r="B128" s="104" t="s">
        <v>644</v>
      </c>
      <c r="C128" s="105" t="s">
        <v>645</v>
      </c>
      <c r="D128" s="105" t="s">
        <v>31</v>
      </c>
      <c r="E128" s="105" t="s">
        <v>42</v>
      </c>
      <c r="F128" s="105" t="s">
        <v>784</v>
      </c>
      <c r="H128" s="105" t="s">
        <v>33</v>
      </c>
      <c r="J128" s="5">
        <v>86.266666666666666</v>
      </c>
      <c r="K128" s="5">
        <v>1.7204000000000002</v>
      </c>
      <c r="M128" s="5">
        <v>0.8</v>
      </c>
      <c r="R128" s="108">
        <v>88.644800000000004</v>
      </c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</row>
    <row r="129" spans="1:42" x14ac:dyDescent="0.2">
      <c r="A129" s="104" t="s">
        <v>657</v>
      </c>
      <c r="B129" s="104" t="s">
        <v>446</v>
      </c>
      <c r="C129" s="105" t="s">
        <v>660</v>
      </c>
      <c r="D129" s="105" t="s">
        <v>31</v>
      </c>
      <c r="E129" s="105" t="s">
        <v>42</v>
      </c>
      <c r="F129" s="105" t="s">
        <v>784</v>
      </c>
      <c r="H129" s="105" t="s">
        <v>33</v>
      </c>
      <c r="J129" s="5">
        <v>95</v>
      </c>
      <c r="K129" s="5">
        <v>0.9</v>
      </c>
      <c r="L129" s="5">
        <v>53</v>
      </c>
      <c r="M129" s="5">
        <v>0.2</v>
      </c>
      <c r="P129" s="5">
        <v>0</v>
      </c>
      <c r="R129" s="5">
        <v>6</v>
      </c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</row>
    <row r="130" spans="1:42" x14ac:dyDescent="0.2">
      <c r="A130" s="104" t="s">
        <v>681</v>
      </c>
      <c r="B130" s="104" t="s">
        <v>682</v>
      </c>
      <c r="C130" s="105" t="s">
        <v>683</v>
      </c>
      <c r="D130" s="105" t="s">
        <v>31</v>
      </c>
      <c r="E130" s="105" t="s">
        <v>42</v>
      </c>
      <c r="F130" s="105" t="s">
        <v>32</v>
      </c>
      <c r="H130" s="105" t="s">
        <v>33</v>
      </c>
      <c r="J130" s="5">
        <v>73.319999999999993</v>
      </c>
      <c r="K130" s="109">
        <v>11</v>
      </c>
      <c r="L130" s="107">
        <v>363</v>
      </c>
      <c r="M130" s="107">
        <v>2.63</v>
      </c>
      <c r="N130" s="107">
        <v>95</v>
      </c>
      <c r="O130" s="107">
        <v>0.67</v>
      </c>
      <c r="P130" s="107">
        <v>0.75679999999999992</v>
      </c>
      <c r="Q130" s="5">
        <v>83</v>
      </c>
      <c r="R130" s="5">
        <v>11.1</v>
      </c>
      <c r="S130" s="108">
        <v>2</v>
      </c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</row>
    <row r="131" spans="1:42" x14ac:dyDescent="0.2">
      <c r="A131" s="1"/>
      <c r="B131" s="1"/>
      <c r="C131" s="1"/>
      <c r="D131" s="1"/>
      <c r="E131" s="1"/>
      <c r="F131" s="1"/>
      <c r="G131" s="1"/>
      <c r="H131" s="1"/>
      <c r="K131" s="106"/>
      <c r="L131" s="106"/>
      <c r="M131" s="106"/>
      <c r="N131" s="106"/>
      <c r="O131" s="106"/>
      <c r="P131" s="106"/>
      <c r="Q131" s="106"/>
      <c r="R131" s="106"/>
      <c r="S131" s="106"/>
    </row>
    <row r="132" spans="1:42" x14ac:dyDescent="0.2">
      <c r="A132" s="96"/>
      <c r="B132" s="96"/>
      <c r="C132" s="97"/>
      <c r="D132" s="97"/>
      <c r="E132" s="97"/>
      <c r="F132" s="97"/>
      <c r="G132" s="97"/>
      <c r="H132" s="98"/>
      <c r="I132" s="99"/>
      <c r="J132" s="100"/>
      <c r="K132" s="175"/>
      <c r="L132" s="175"/>
      <c r="M132" s="175"/>
      <c r="N132" s="176"/>
      <c r="O132" s="175"/>
      <c r="P132" s="175"/>
      <c r="Q132" s="175"/>
      <c r="R132" s="175"/>
      <c r="S132" s="175"/>
    </row>
    <row r="133" spans="1:42" x14ac:dyDescent="0.2">
      <c r="A133" s="226" t="s">
        <v>1058</v>
      </c>
      <c r="B133" s="227"/>
      <c r="C133" s="228"/>
      <c r="D133" s="228"/>
      <c r="E133" s="228"/>
      <c r="F133" s="228"/>
      <c r="G133" s="228"/>
      <c r="H133" s="229"/>
      <c r="I133" s="230"/>
      <c r="J133" s="231"/>
      <c r="K133" s="232"/>
      <c r="L133" s="232"/>
      <c r="M133" s="232"/>
      <c r="N133" s="233"/>
      <c r="O133" s="232"/>
      <c r="P133" s="232"/>
      <c r="Q133" s="232"/>
      <c r="R133" s="232"/>
      <c r="S133" s="232"/>
      <c r="T133" s="232"/>
      <c r="U133" s="226" t="s">
        <v>1058</v>
      </c>
      <c r="V133" s="232"/>
      <c r="W133" s="232"/>
      <c r="X133" s="232"/>
    </row>
    <row r="134" spans="1:42" x14ac:dyDescent="0.2">
      <c r="A134" s="104" t="s">
        <v>726</v>
      </c>
      <c r="B134" s="104" t="s">
        <v>727</v>
      </c>
      <c r="C134" s="105" t="s">
        <v>728</v>
      </c>
      <c r="D134" s="105" t="s">
        <v>31</v>
      </c>
      <c r="E134" s="105" t="s">
        <v>42</v>
      </c>
      <c r="F134" s="105" t="s">
        <v>32</v>
      </c>
      <c r="H134" s="105" t="s">
        <v>166</v>
      </c>
      <c r="J134" s="5">
        <v>89.2</v>
      </c>
      <c r="L134" s="5">
        <v>58</v>
      </c>
      <c r="M134" s="5">
        <v>1.1000000000000001</v>
      </c>
      <c r="R134" s="5">
        <v>12</v>
      </c>
      <c r="T134" s="5"/>
      <c r="U134" s="197" t="s">
        <v>1047</v>
      </c>
      <c r="V134" s="5">
        <f>(135-132)*9</f>
        <v>27</v>
      </c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</row>
    <row r="135" spans="1:42" x14ac:dyDescent="0.2">
      <c r="A135" s="104" t="s">
        <v>370</v>
      </c>
      <c r="B135" s="104" t="s">
        <v>376</v>
      </c>
      <c r="C135" s="105" t="s">
        <v>377</v>
      </c>
      <c r="D135" s="105" t="s">
        <v>31</v>
      </c>
      <c r="E135" s="105" t="s">
        <v>42</v>
      </c>
      <c r="F135" s="105" t="s">
        <v>784</v>
      </c>
      <c r="H135" s="105" t="s">
        <v>166</v>
      </c>
      <c r="K135" s="5">
        <v>2</v>
      </c>
      <c r="L135" s="108">
        <v>207.33499999999998</v>
      </c>
      <c r="M135" s="5">
        <v>0.16</v>
      </c>
      <c r="R135" s="5">
        <v>36</v>
      </c>
      <c r="T135" s="5"/>
      <c r="U135" s="197" t="s">
        <v>1048</v>
      </c>
      <c r="V135" s="5">
        <f>COUNTBLANK(K134:S136)</f>
        <v>13</v>
      </c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</row>
    <row r="136" spans="1:42" x14ac:dyDescent="0.2">
      <c r="A136" s="104" t="s">
        <v>646</v>
      </c>
      <c r="B136" s="104" t="s">
        <v>94</v>
      </c>
      <c r="C136" s="105" t="s">
        <v>647</v>
      </c>
      <c r="D136" s="105" t="s">
        <v>31</v>
      </c>
      <c r="E136" s="105" t="s">
        <v>42</v>
      </c>
      <c r="F136" s="105" t="s">
        <v>784</v>
      </c>
      <c r="H136" s="105" t="s">
        <v>166</v>
      </c>
      <c r="K136" s="5">
        <v>1.1833333333333333</v>
      </c>
      <c r="L136" s="5">
        <v>27</v>
      </c>
      <c r="M136" s="5">
        <v>1.3399999999999999</v>
      </c>
      <c r="P136" s="5">
        <v>0.14483139856274185</v>
      </c>
      <c r="Q136" s="5">
        <v>66.5</v>
      </c>
      <c r="R136" s="5">
        <v>71</v>
      </c>
      <c r="S136" s="108">
        <v>2.2549999999999999</v>
      </c>
      <c r="T136" s="5"/>
      <c r="U136" s="197" t="s">
        <v>1049</v>
      </c>
      <c r="V136" s="5">
        <f>V134-V135</f>
        <v>14</v>
      </c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</row>
    <row r="137" spans="1:42" x14ac:dyDescent="0.2">
      <c r="T137" s="5"/>
      <c r="U137" s="197" t="s">
        <v>1045</v>
      </c>
      <c r="V137" s="5">
        <v>0</v>
      </c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</row>
    <row r="138" spans="1:42" x14ac:dyDescent="0.2">
      <c r="T138" s="5"/>
      <c r="U138" s="197" t="s">
        <v>1046</v>
      </c>
      <c r="V138" s="5">
        <v>0</v>
      </c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</row>
    <row r="139" spans="1:42" x14ac:dyDescent="0.2">
      <c r="T139" s="5"/>
      <c r="U139" s="197" t="s">
        <v>1050</v>
      </c>
      <c r="V139" s="196">
        <f>(V137+V138)/V136</f>
        <v>0</v>
      </c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</row>
    <row r="140" spans="1:42" x14ac:dyDescent="0.2"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</row>
    <row r="141" spans="1:42" x14ac:dyDescent="0.2">
      <c r="A141" s="96"/>
      <c r="B141" s="96"/>
      <c r="C141" s="97"/>
      <c r="D141" s="97"/>
      <c r="E141" s="97"/>
      <c r="F141" s="97"/>
      <c r="G141" s="97"/>
      <c r="H141" s="98"/>
      <c r="I141" s="99"/>
      <c r="J141" s="106"/>
      <c r="K141" s="175"/>
      <c r="L141" s="175"/>
      <c r="M141" s="175"/>
      <c r="N141" s="176"/>
      <c r="O141" s="175"/>
      <c r="P141" s="175"/>
      <c r="Q141" s="175"/>
      <c r="R141" s="175"/>
      <c r="S141" s="175"/>
      <c r="U141" s="1"/>
    </row>
    <row r="142" spans="1:42" x14ac:dyDescent="0.2">
      <c r="A142" s="226" t="s">
        <v>1059</v>
      </c>
      <c r="B142" s="227"/>
      <c r="C142" s="228"/>
      <c r="D142" s="228"/>
      <c r="E142" s="228"/>
      <c r="F142" s="228"/>
      <c r="G142" s="228"/>
      <c r="H142" s="229"/>
      <c r="I142" s="230"/>
      <c r="J142" s="231"/>
      <c r="K142" s="232"/>
      <c r="L142" s="232"/>
      <c r="M142" s="232"/>
      <c r="N142" s="233"/>
      <c r="O142" s="232"/>
      <c r="P142" s="232"/>
      <c r="Q142" s="232"/>
      <c r="R142" s="232"/>
      <c r="S142" s="232"/>
      <c r="T142" s="232"/>
      <c r="U142" s="226" t="s">
        <v>1059</v>
      </c>
      <c r="V142" s="232"/>
      <c r="W142" s="232"/>
      <c r="X142" s="232"/>
    </row>
    <row r="143" spans="1:42" x14ac:dyDescent="0.2">
      <c r="A143" s="104" t="s">
        <v>40</v>
      </c>
      <c r="B143" s="104" t="s">
        <v>41</v>
      </c>
      <c r="C143" s="105" t="s">
        <v>43</v>
      </c>
      <c r="D143" s="105" t="s">
        <v>31</v>
      </c>
      <c r="E143" s="105" t="s">
        <v>42</v>
      </c>
      <c r="F143" s="105" t="s">
        <v>784</v>
      </c>
      <c r="H143" s="105" t="s">
        <v>28</v>
      </c>
      <c r="M143" s="107">
        <v>4</v>
      </c>
      <c r="T143" s="5"/>
      <c r="U143" s="197" t="s">
        <v>1047</v>
      </c>
      <c r="V143" s="5">
        <f>(159-141)*9</f>
        <v>162</v>
      </c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</row>
    <row r="144" spans="1:42" x14ac:dyDescent="0.2">
      <c r="A144" s="104" t="s">
        <v>198</v>
      </c>
      <c r="B144" s="104" t="s">
        <v>201</v>
      </c>
      <c r="C144" s="105" t="s">
        <v>202</v>
      </c>
      <c r="D144" s="105" t="s">
        <v>31</v>
      </c>
      <c r="E144" s="105" t="s">
        <v>42</v>
      </c>
      <c r="F144" s="105" t="s">
        <v>784</v>
      </c>
      <c r="H144" s="105" t="s">
        <v>27</v>
      </c>
      <c r="J144" s="5">
        <v>87.066666666666663</v>
      </c>
      <c r="K144" s="5">
        <v>1.9666666666666668</v>
      </c>
      <c r="L144" s="5">
        <v>41</v>
      </c>
      <c r="M144" s="109">
        <v>8.6</v>
      </c>
      <c r="N144" s="5">
        <v>29</v>
      </c>
      <c r="O144" s="107">
        <v>0.84</v>
      </c>
      <c r="P144" s="5">
        <v>1.8499999999999999E-2</v>
      </c>
      <c r="R144" s="5">
        <v>23.5</v>
      </c>
      <c r="S144" s="5">
        <v>0.4</v>
      </c>
      <c r="T144" s="5"/>
      <c r="U144" s="197" t="s">
        <v>1048</v>
      </c>
      <c r="V144" s="5">
        <f>COUNTBLANK(K143:S161)</f>
        <v>57</v>
      </c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</row>
    <row r="145" spans="1:42" x14ac:dyDescent="0.2">
      <c r="A145" s="104" t="s">
        <v>204</v>
      </c>
      <c r="B145" s="104" t="s">
        <v>210</v>
      </c>
      <c r="C145" s="105" t="s">
        <v>211</v>
      </c>
      <c r="D145" s="105" t="s">
        <v>25</v>
      </c>
      <c r="E145" s="105" t="s">
        <v>46</v>
      </c>
      <c r="F145" s="105" t="s">
        <v>783</v>
      </c>
      <c r="H145" s="105" t="s">
        <v>28</v>
      </c>
      <c r="J145" s="5">
        <v>89.15</v>
      </c>
      <c r="K145" s="5">
        <v>0.99509999999999976</v>
      </c>
      <c r="L145" s="5">
        <v>6.0013499999999995</v>
      </c>
      <c r="M145" s="5">
        <v>0.74774999999999991</v>
      </c>
      <c r="P145" s="5">
        <v>2.5000000000000001E-2</v>
      </c>
      <c r="R145" s="5">
        <v>35.494500000000002</v>
      </c>
      <c r="T145" s="5"/>
      <c r="U145" s="197" t="s">
        <v>1049</v>
      </c>
      <c r="V145" s="5">
        <f>V143-V144</f>
        <v>105</v>
      </c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</row>
    <row r="146" spans="1:42" x14ac:dyDescent="0.2">
      <c r="A146" s="104" t="s">
        <v>236</v>
      </c>
      <c r="B146" s="104" t="s">
        <v>237</v>
      </c>
      <c r="C146" s="105" t="s">
        <v>238</v>
      </c>
      <c r="D146" s="105" t="s">
        <v>31</v>
      </c>
      <c r="E146" s="105" t="s">
        <v>42</v>
      </c>
      <c r="F146" s="105" t="s">
        <v>32</v>
      </c>
      <c r="H146" s="105" t="s">
        <v>239</v>
      </c>
      <c r="K146" s="107">
        <v>5.37</v>
      </c>
      <c r="L146" s="5">
        <v>105</v>
      </c>
      <c r="M146" s="108">
        <v>2.06</v>
      </c>
      <c r="P146" s="5">
        <v>0.2321724709784411</v>
      </c>
      <c r="R146" s="5">
        <v>5</v>
      </c>
      <c r="S146" s="109">
        <v>6</v>
      </c>
      <c r="T146" s="5"/>
      <c r="U146" s="197" t="s">
        <v>1045</v>
      </c>
      <c r="V146" s="5">
        <v>6</v>
      </c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</row>
    <row r="147" spans="1:42" x14ac:dyDescent="0.2">
      <c r="A147" s="104" t="s">
        <v>236</v>
      </c>
      <c r="B147" s="104" t="s">
        <v>237</v>
      </c>
      <c r="C147" s="105" t="s">
        <v>238</v>
      </c>
      <c r="D147" s="105" t="s">
        <v>31</v>
      </c>
      <c r="E147" s="105" t="s">
        <v>42</v>
      </c>
      <c r="F147" s="105" t="s">
        <v>32</v>
      </c>
      <c r="H147" s="105" t="s">
        <v>214</v>
      </c>
      <c r="J147" s="5">
        <v>92.833333333333329</v>
      </c>
      <c r="K147" s="108">
        <v>3.0733333333333337</v>
      </c>
      <c r="L147" s="5">
        <v>52.333333333333336</v>
      </c>
      <c r="M147" s="5">
        <v>1.45</v>
      </c>
      <c r="O147" s="108">
        <v>0.5</v>
      </c>
      <c r="P147" s="5">
        <v>3.316749585406302E-2</v>
      </c>
      <c r="Q147" s="5" t="s">
        <v>0</v>
      </c>
      <c r="R147" s="5">
        <v>15</v>
      </c>
      <c r="T147" s="5"/>
      <c r="U147" s="197" t="s">
        <v>1046</v>
      </c>
      <c r="V147" s="5">
        <v>12</v>
      </c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</row>
    <row r="148" spans="1:42" x14ac:dyDescent="0.2">
      <c r="A148" s="104" t="s">
        <v>236</v>
      </c>
      <c r="B148" s="104" t="s">
        <v>240</v>
      </c>
      <c r="C148" s="105" t="s">
        <v>241</v>
      </c>
      <c r="D148" s="105" t="s">
        <v>31</v>
      </c>
      <c r="E148" s="105" t="s">
        <v>42</v>
      </c>
      <c r="F148" s="105" t="s">
        <v>784</v>
      </c>
      <c r="H148" s="105" t="s">
        <v>28</v>
      </c>
      <c r="J148" s="5">
        <v>82.3</v>
      </c>
      <c r="K148" s="5">
        <v>0.75</v>
      </c>
      <c r="L148" s="5">
        <v>37.950000000000003</v>
      </c>
      <c r="M148" s="5">
        <v>1.2000000000000002</v>
      </c>
      <c r="N148" s="5">
        <v>2.2000000000000002</v>
      </c>
      <c r="R148" s="5">
        <v>24.75</v>
      </c>
      <c r="T148" s="5"/>
      <c r="U148" s="197" t="s">
        <v>1050</v>
      </c>
      <c r="V148" s="196">
        <f>(V146+V147)/V145</f>
        <v>0.17142857142857143</v>
      </c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</row>
    <row r="149" spans="1:42" x14ac:dyDescent="0.2">
      <c r="A149" s="104" t="s">
        <v>281</v>
      </c>
      <c r="B149" s="104" t="s">
        <v>282</v>
      </c>
      <c r="C149" s="105" t="s">
        <v>283</v>
      </c>
      <c r="D149" s="105" t="s">
        <v>31</v>
      </c>
      <c r="E149" s="105" t="s">
        <v>42</v>
      </c>
      <c r="F149" s="105" t="s">
        <v>784</v>
      </c>
      <c r="H149" s="105" t="s">
        <v>28</v>
      </c>
      <c r="J149" s="5">
        <v>91.440000000000012</v>
      </c>
      <c r="K149" s="5">
        <v>0.40159999999999985</v>
      </c>
      <c r="L149" s="5">
        <v>22.200319999999998</v>
      </c>
      <c r="M149" s="5">
        <v>0.55079999999999985</v>
      </c>
      <c r="P149" s="5">
        <v>0.20233333333333334</v>
      </c>
      <c r="R149" s="5">
        <v>12.000319999999999</v>
      </c>
      <c r="T149" s="5"/>
      <c r="U149" s="1"/>
      <c r="V149" s="1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</row>
    <row r="150" spans="1:42" x14ac:dyDescent="0.2">
      <c r="A150" s="104" t="s">
        <v>281</v>
      </c>
      <c r="B150" s="104" t="s">
        <v>282</v>
      </c>
      <c r="C150" s="105" t="s">
        <v>283</v>
      </c>
      <c r="D150" s="105" t="s">
        <v>31</v>
      </c>
      <c r="E150" s="105" t="s">
        <v>42</v>
      </c>
      <c r="F150" s="105" t="s">
        <v>784</v>
      </c>
      <c r="H150" s="105" t="s">
        <v>27</v>
      </c>
      <c r="J150" s="5">
        <v>63.042333333333325</v>
      </c>
      <c r="K150" s="5">
        <v>0.29964999999999992</v>
      </c>
      <c r="L150" s="5">
        <v>12.000399999999999</v>
      </c>
      <c r="M150" s="5">
        <v>0.3990333333333333</v>
      </c>
      <c r="R150" s="5">
        <v>32.999099999999991</v>
      </c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</row>
    <row r="151" spans="1:42" x14ac:dyDescent="0.2">
      <c r="A151" s="104" t="s">
        <v>382</v>
      </c>
      <c r="B151" s="104" t="s">
        <v>383</v>
      </c>
      <c r="C151" s="105" t="s">
        <v>384</v>
      </c>
      <c r="D151" s="105" t="s">
        <v>25</v>
      </c>
      <c r="E151" s="105" t="s">
        <v>42</v>
      </c>
      <c r="F151" s="105" t="s">
        <v>784</v>
      </c>
      <c r="H151" s="105" t="s">
        <v>27</v>
      </c>
      <c r="J151" s="5">
        <v>87</v>
      </c>
      <c r="K151" s="5">
        <v>1.6199999999999999</v>
      </c>
      <c r="L151" s="5">
        <v>54.1</v>
      </c>
      <c r="M151" s="108">
        <v>1.68</v>
      </c>
      <c r="N151" s="5">
        <v>37</v>
      </c>
      <c r="O151" s="107">
        <v>0.68666666666666654</v>
      </c>
      <c r="P151" s="5">
        <v>0.14306185737976782</v>
      </c>
      <c r="Q151" s="5">
        <v>41.333333333333336</v>
      </c>
      <c r="R151" s="5">
        <v>17.333333333333332</v>
      </c>
      <c r="S151" s="5">
        <v>0.15</v>
      </c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</row>
    <row r="152" spans="1:42" x14ac:dyDescent="0.2">
      <c r="A152" s="104" t="s">
        <v>429</v>
      </c>
      <c r="B152" s="104" t="s">
        <v>430</v>
      </c>
      <c r="C152" s="105" t="s">
        <v>431</v>
      </c>
      <c r="D152" s="105" t="s">
        <v>31</v>
      </c>
      <c r="E152" s="105" t="s">
        <v>42</v>
      </c>
      <c r="F152" s="105" t="s">
        <v>784</v>
      </c>
      <c r="H152" s="105" t="s">
        <v>28</v>
      </c>
      <c r="J152" s="5">
        <v>79.483333333333334</v>
      </c>
      <c r="K152" s="5">
        <v>0.75</v>
      </c>
      <c r="L152" s="5">
        <v>16.8</v>
      </c>
      <c r="M152" s="107">
        <v>2.58</v>
      </c>
      <c r="N152" s="109">
        <v>172.25</v>
      </c>
      <c r="R152" s="5">
        <v>5</v>
      </c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</row>
    <row r="153" spans="1:42" x14ac:dyDescent="0.2">
      <c r="A153" s="104" t="s">
        <v>441</v>
      </c>
      <c r="B153" s="104" t="s">
        <v>444</v>
      </c>
      <c r="C153" s="105" t="s">
        <v>445</v>
      </c>
      <c r="D153" s="105" t="s">
        <v>31</v>
      </c>
      <c r="E153" s="105" t="s">
        <v>42</v>
      </c>
      <c r="F153" s="105" t="s">
        <v>32</v>
      </c>
      <c r="H153" s="105" t="s">
        <v>28</v>
      </c>
      <c r="J153" s="5">
        <v>87.1</v>
      </c>
      <c r="K153" s="108">
        <v>3.3119999999999998</v>
      </c>
      <c r="L153" s="5">
        <v>26.733333333333338</v>
      </c>
      <c r="M153" s="107">
        <v>2.6120000000000001</v>
      </c>
      <c r="O153" s="5">
        <v>0.3</v>
      </c>
      <c r="P153" s="5">
        <v>7.6208540630182425E-2</v>
      </c>
      <c r="Q153" s="5">
        <v>9</v>
      </c>
      <c r="R153" s="109">
        <v>258.86800000000005</v>
      </c>
      <c r="S153" s="107">
        <v>2.94</v>
      </c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</row>
    <row r="154" spans="1:42" x14ac:dyDescent="0.2">
      <c r="A154" s="104" t="s">
        <v>441</v>
      </c>
      <c r="B154" s="104" t="s">
        <v>444</v>
      </c>
      <c r="C154" s="105" t="s">
        <v>445</v>
      </c>
      <c r="D154" s="105" t="s">
        <v>31</v>
      </c>
      <c r="E154" s="105" t="s">
        <v>42</v>
      </c>
      <c r="F154" s="105" t="s">
        <v>32</v>
      </c>
      <c r="H154" s="105" t="s">
        <v>27</v>
      </c>
      <c r="K154" s="5">
        <v>1.665</v>
      </c>
      <c r="L154" s="5">
        <v>35.5</v>
      </c>
      <c r="M154" s="5">
        <v>0.60499999999999998</v>
      </c>
      <c r="O154" s="5">
        <v>0.28999999999999998</v>
      </c>
      <c r="P154" s="5">
        <v>9.1210613598673301E-3</v>
      </c>
      <c r="Q154" s="5">
        <v>6</v>
      </c>
      <c r="R154" s="107">
        <v>118.5</v>
      </c>
      <c r="S154" s="109">
        <v>5.0999999999999996</v>
      </c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</row>
    <row r="155" spans="1:42" x14ac:dyDescent="0.2">
      <c r="A155" s="104" t="s">
        <v>441</v>
      </c>
      <c r="B155" s="104" t="s">
        <v>446</v>
      </c>
      <c r="C155" s="105" t="s">
        <v>447</v>
      </c>
      <c r="D155" s="105" t="s">
        <v>31</v>
      </c>
      <c r="E155" s="105" t="s">
        <v>42</v>
      </c>
      <c r="F155" s="105" t="s">
        <v>784</v>
      </c>
      <c r="H155" s="105" t="s">
        <v>27</v>
      </c>
      <c r="J155" s="5">
        <v>84.05</v>
      </c>
      <c r="K155" s="108">
        <v>3.0120000000000005</v>
      </c>
      <c r="L155" s="5">
        <v>27.068000000000001</v>
      </c>
      <c r="M155" s="107">
        <v>3.6120000000000001</v>
      </c>
      <c r="O155" s="5" t="s">
        <v>0</v>
      </c>
      <c r="P155" s="5" t="s">
        <v>0</v>
      </c>
      <c r="R155" s="109">
        <v>248.56000000000006</v>
      </c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</row>
    <row r="156" spans="1:42" x14ac:dyDescent="0.2">
      <c r="A156" s="104" t="s">
        <v>505</v>
      </c>
      <c r="B156" s="104" t="s">
        <v>506</v>
      </c>
      <c r="C156" s="105" t="s">
        <v>507</v>
      </c>
      <c r="D156" s="105" t="s">
        <v>173</v>
      </c>
      <c r="E156" s="105" t="s">
        <v>42</v>
      </c>
      <c r="F156" s="105" t="s">
        <v>784</v>
      </c>
      <c r="H156" s="105" t="s">
        <v>27</v>
      </c>
      <c r="J156" s="5">
        <v>58</v>
      </c>
      <c r="K156" s="5">
        <v>1.9182000000000001</v>
      </c>
      <c r="L156" s="5">
        <v>49.998300000000008</v>
      </c>
      <c r="M156" s="107">
        <v>2.5854000000000004</v>
      </c>
      <c r="P156" s="5">
        <v>2.8333333333333335E-3</v>
      </c>
      <c r="R156" s="5">
        <v>26.979900000000004</v>
      </c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</row>
    <row r="157" spans="1:42" x14ac:dyDescent="0.2">
      <c r="A157" s="104" t="s">
        <v>540</v>
      </c>
      <c r="B157" s="104" t="s">
        <v>541</v>
      </c>
      <c r="C157" s="105" t="s">
        <v>542</v>
      </c>
      <c r="D157" s="105" t="s">
        <v>31</v>
      </c>
      <c r="E157" s="105" t="s">
        <v>42</v>
      </c>
      <c r="F157" s="105" t="s">
        <v>784</v>
      </c>
      <c r="H157" s="105" t="s">
        <v>27</v>
      </c>
      <c r="J157" s="5">
        <v>87</v>
      </c>
      <c r="L157" s="107">
        <v>297</v>
      </c>
      <c r="M157" s="5">
        <v>0.8</v>
      </c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</row>
    <row r="158" spans="1:42" x14ac:dyDescent="0.2">
      <c r="A158" s="104" t="s">
        <v>540</v>
      </c>
      <c r="B158" s="104" t="s">
        <v>544</v>
      </c>
      <c r="C158" s="105" t="s">
        <v>545</v>
      </c>
      <c r="D158" s="105" t="s">
        <v>173</v>
      </c>
      <c r="E158" s="105" t="s">
        <v>42</v>
      </c>
      <c r="F158" s="105" t="s">
        <v>784</v>
      </c>
      <c r="H158" s="105" t="s">
        <v>27</v>
      </c>
      <c r="J158" s="5">
        <v>90</v>
      </c>
      <c r="K158" s="5">
        <v>1.5814999999999999</v>
      </c>
      <c r="L158" s="5">
        <v>63.250999999999998</v>
      </c>
      <c r="M158" s="5">
        <v>1.3373749999999998</v>
      </c>
      <c r="N158" s="5">
        <v>34</v>
      </c>
      <c r="O158" s="108">
        <v>0.53</v>
      </c>
      <c r="P158" s="5">
        <v>2.2466666666666666E-2</v>
      </c>
      <c r="R158" s="5">
        <v>17.5</v>
      </c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</row>
    <row r="159" spans="1:42" x14ac:dyDescent="0.2">
      <c r="A159" s="104" t="s">
        <v>581</v>
      </c>
      <c r="B159" s="104" t="s">
        <v>568</v>
      </c>
      <c r="C159" s="105" t="s">
        <v>582</v>
      </c>
      <c r="D159" s="105" t="s">
        <v>31</v>
      </c>
      <c r="E159" s="105" t="s">
        <v>42</v>
      </c>
      <c r="F159" s="105" t="s">
        <v>784</v>
      </c>
      <c r="H159" s="105" t="s">
        <v>28</v>
      </c>
      <c r="J159" s="5">
        <v>91.826363636363638</v>
      </c>
      <c r="K159" s="5">
        <v>1.1885000000000001</v>
      </c>
      <c r="L159" s="5">
        <v>17.15316923076923</v>
      </c>
      <c r="M159" s="5">
        <v>0.82670769230769237</v>
      </c>
      <c r="N159" s="5">
        <v>13.333333333333334</v>
      </c>
      <c r="O159" s="107">
        <v>1.0333333333333334</v>
      </c>
      <c r="P159" s="5">
        <v>1.6703703703703702E-3</v>
      </c>
      <c r="Q159" s="5">
        <v>93</v>
      </c>
      <c r="R159" s="5">
        <v>13.723184615384614</v>
      </c>
      <c r="S159" s="5">
        <v>6.5000000000000002E-2</v>
      </c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</row>
    <row r="160" spans="1:42" x14ac:dyDescent="0.2">
      <c r="A160" s="104" t="s">
        <v>598</v>
      </c>
      <c r="B160" s="104" t="s">
        <v>599</v>
      </c>
      <c r="C160" s="105" t="s">
        <v>600</v>
      </c>
      <c r="D160" s="105" t="s">
        <v>31</v>
      </c>
      <c r="E160" s="105" t="s">
        <v>42</v>
      </c>
      <c r="F160" s="105" t="s">
        <v>784</v>
      </c>
      <c r="H160" s="105" t="s">
        <v>27</v>
      </c>
      <c r="J160" s="5">
        <v>87</v>
      </c>
      <c r="K160" s="5">
        <v>0.79380000000000006</v>
      </c>
      <c r="L160" s="5">
        <v>30.995999999999999</v>
      </c>
      <c r="M160" s="5">
        <v>0.6048</v>
      </c>
      <c r="P160" s="5">
        <v>8.3333333333333332E-3</v>
      </c>
      <c r="R160" s="5">
        <v>16.001999999999999</v>
      </c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</row>
    <row r="161" spans="1:42" x14ac:dyDescent="0.2">
      <c r="A161" s="104" t="s">
        <v>657</v>
      </c>
      <c r="B161" s="104" t="s">
        <v>446</v>
      </c>
      <c r="C161" s="105" t="s">
        <v>660</v>
      </c>
      <c r="D161" s="105" t="s">
        <v>31</v>
      </c>
      <c r="E161" s="105" t="s">
        <v>42</v>
      </c>
      <c r="F161" s="105" t="s">
        <v>784</v>
      </c>
      <c r="H161" s="105" t="s">
        <v>28</v>
      </c>
      <c r="J161" s="5">
        <v>92</v>
      </c>
      <c r="K161" s="108">
        <v>2.8699999999999997</v>
      </c>
      <c r="L161" s="5">
        <v>30.233333333333331</v>
      </c>
      <c r="M161" s="5">
        <v>1.301333333333333</v>
      </c>
      <c r="N161" s="5">
        <v>24.5</v>
      </c>
      <c r="O161" s="5">
        <v>0.23</v>
      </c>
      <c r="P161" s="5">
        <v>1.2749999999999999E-2</v>
      </c>
      <c r="Q161" s="5">
        <v>19.96</v>
      </c>
      <c r="R161" s="5">
        <v>25.746666666666659</v>
      </c>
      <c r="S161" s="5">
        <v>0.04</v>
      </c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</row>
    <row r="162" spans="1:42" x14ac:dyDescent="0.2">
      <c r="A162" s="1"/>
      <c r="B162" s="1"/>
      <c r="C162" s="1"/>
      <c r="D162" s="1"/>
      <c r="E162" s="1"/>
      <c r="F162" s="1"/>
      <c r="G162" s="1"/>
      <c r="H162" s="1"/>
      <c r="I162" s="99"/>
      <c r="J162" s="100"/>
      <c r="K162" s="175"/>
      <c r="L162" s="175"/>
      <c r="M162" s="175"/>
      <c r="N162" s="176"/>
      <c r="O162" s="175"/>
      <c r="P162" s="175"/>
      <c r="Q162" s="175"/>
      <c r="R162" s="175"/>
      <c r="S162" s="175"/>
    </row>
    <row r="163" spans="1:42" x14ac:dyDescent="0.2">
      <c r="A163" s="226" t="s">
        <v>1060</v>
      </c>
      <c r="B163" s="227"/>
      <c r="C163" s="228"/>
      <c r="D163" s="228"/>
      <c r="E163" s="228"/>
      <c r="F163" s="228"/>
      <c r="G163" s="228"/>
      <c r="H163" s="229"/>
      <c r="I163" s="230"/>
      <c r="J163" s="231"/>
      <c r="K163" s="232"/>
      <c r="L163" s="232"/>
      <c r="M163" s="232"/>
      <c r="N163" s="233"/>
      <c r="O163" s="232"/>
      <c r="P163" s="232"/>
      <c r="Q163" s="232"/>
      <c r="R163" s="232"/>
      <c r="S163" s="232"/>
      <c r="T163" s="232"/>
      <c r="U163" s="226" t="s">
        <v>1060</v>
      </c>
      <c r="V163" s="227"/>
      <c r="W163" s="232"/>
      <c r="X163" s="232"/>
    </row>
    <row r="164" spans="1:42" x14ac:dyDescent="0.2">
      <c r="A164" s="104" t="s">
        <v>198</v>
      </c>
      <c r="B164" s="104" t="s">
        <v>201</v>
      </c>
      <c r="C164" s="105" t="s">
        <v>202</v>
      </c>
      <c r="D164" s="105" t="s">
        <v>31</v>
      </c>
      <c r="E164" s="105" t="s">
        <v>42</v>
      </c>
      <c r="F164" s="105" t="s">
        <v>784</v>
      </c>
      <c r="H164" s="105" t="s">
        <v>37</v>
      </c>
      <c r="J164" s="5">
        <v>89</v>
      </c>
      <c r="K164" s="5">
        <v>1.5029999999999999</v>
      </c>
      <c r="P164" s="5">
        <v>2E-3</v>
      </c>
      <c r="T164" s="5"/>
      <c r="U164" s="197" t="s">
        <v>1047</v>
      </c>
      <c r="V164" s="5">
        <f>(167-161)*9</f>
        <v>54</v>
      </c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</row>
    <row r="165" spans="1:42" x14ac:dyDescent="0.2">
      <c r="A165" s="104" t="s">
        <v>382</v>
      </c>
      <c r="B165" s="104" t="s">
        <v>383</v>
      </c>
      <c r="C165" s="105" t="s">
        <v>384</v>
      </c>
      <c r="D165" s="105" t="s">
        <v>25</v>
      </c>
      <c r="E165" s="105" t="s">
        <v>42</v>
      </c>
      <c r="F165" s="105" t="s">
        <v>784</v>
      </c>
      <c r="H165" s="105" t="s">
        <v>37</v>
      </c>
      <c r="J165" s="5">
        <v>87.885000000000005</v>
      </c>
      <c r="K165" s="108">
        <v>3.3</v>
      </c>
      <c r="L165" s="5">
        <v>50</v>
      </c>
      <c r="M165" s="5">
        <v>0.97</v>
      </c>
      <c r="N165" s="5">
        <v>40</v>
      </c>
      <c r="O165" s="5">
        <v>0.37</v>
      </c>
      <c r="P165" s="5">
        <v>3.7750000000000001E-3</v>
      </c>
      <c r="Q165" s="5">
        <v>62</v>
      </c>
      <c r="R165" s="5">
        <v>12.9</v>
      </c>
      <c r="S165" s="5">
        <v>0.51</v>
      </c>
      <c r="T165" s="5"/>
      <c r="U165" s="197" t="s">
        <v>1048</v>
      </c>
      <c r="V165" s="5">
        <f>COUNTBLANK(K164:S169)</f>
        <v>21</v>
      </c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</row>
    <row r="166" spans="1:42" x14ac:dyDescent="0.2">
      <c r="A166" s="104" t="s">
        <v>391</v>
      </c>
      <c r="B166" s="104" t="s">
        <v>392</v>
      </c>
      <c r="C166" s="105" t="s">
        <v>393</v>
      </c>
      <c r="D166" s="105" t="s">
        <v>31</v>
      </c>
      <c r="E166" s="105" t="s">
        <v>42</v>
      </c>
      <c r="F166" s="105" t="s">
        <v>784</v>
      </c>
      <c r="H166" s="105" t="s">
        <v>37</v>
      </c>
      <c r="J166" s="4">
        <v>68</v>
      </c>
      <c r="T166" s="5"/>
      <c r="U166" s="197" t="s">
        <v>1049</v>
      </c>
      <c r="V166" s="5">
        <f>V164-V165</f>
        <v>33</v>
      </c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</row>
    <row r="167" spans="1:42" x14ac:dyDescent="0.2">
      <c r="A167" s="104" t="s">
        <v>505</v>
      </c>
      <c r="B167" s="104" t="s">
        <v>506</v>
      </c>
      <c r="C167" s="105" t="s">
        <v>507</v>
      </c>
      <c r="D167" s="105" t="s">
        <v>173</v>
      </c>
      <c r="E167" s="105" t="s">
        <v>42</v>
      </c>
      <c r="F167" s="105" t="s">
        <v>784</v>
      </c>
      <c r="H167" s="105" t="s">
        <v>37</v>
      </c>
      <c r="J167" s="5">
        <v>34.1</v>
      </c>
      <c r="K167" s="109">
        <v>12.186499999999999</v>
      </c>
      <c r="L167" s="5">
        <v>60.9983</v>
      </c>
      <c r="M167" s="107">
        <v>4.0897999999999994</v>
      </c>
      <c r="P167" s="5">
        <v>2.5000000000000001E-3</v>
      </c>
      <c r="R167" s="5">
        <v>0</v>
      </c>
      <c r="T167" s="5"/>
      <c r="U167" s="197" t="s">
        <v>1045</v>
      </c>
      <c r="V167" s="5">
        <v>1</v>
      </c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</row>
    <row r="168" spans="1:42" x14ac:dyDescent="0.2">
      <c r="A168" s="104" t="s">
        <v>505</v>
      </c>
      <c r="B168" s="104" t="s">
        <v>508</v>
      </c>
      <c r="C168" s="105" t="s">
        <v>509</v>
      </c>
      <c r="D168" s="105" t="s">
        <v>173</v>
      </c>
      <c r="E168" s="105" t="s">
        <v>42</v>
      </c>
      <c r="F168" s="105" t="s">
        <v>784</v>
      </c>
      <c r="H168" s="105" t="s">
        <v>37</v>
      </c>
      <c r="J168" s="5">
        <v>66.756666666666675</v>
      </c>
      <c r="K168" s="108">
        <v>2.8028499999999994</v>
      </c>
      <c r="L168" s="5">
        <v>50.49736</v>
      </c>
      <c r="M168" s="107">
        <v>2.8913799999999998</v>
      </c>
      <c r="N168" s="5">
        <v>54.5</v>
      </c>
      <c r="O168" s="107">
        <v>0.78</v>
      </c>
      <c r="P168" s="5">
        <v>1.5273333333333333E-2</v>
      </c>
      <c r="Q168" s="5">
        <v>34</v>
      </c>
      <c r="R168" s="5">
        <v>24.212759999999996</v>
      </c>
      <c r="S168" s="5">
        <v>0.32</v>
      </c>
      <c r="T168" s="5"/>
      <c r="U168" s="197" t="s">
        <v>1046</v>
      </c>
      <c r="V168" s="5">
        <v>3</v>
      </c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</row>
    <row r="169" spans="1:42" x14ac:dyDescent="0.2">
      <c r="A169" s="104" t="s">
        <v>540</v>
      </c>
      <c r="B169" s="104" t="s">
        <v>544</v>
      </c>
      <c r="C169" s="105" t="s">
        <v>545</v>
      </c>
      <c r="D169" s="105" t="s">
        <v>173</v>
      </c>
      <c r="E169" s="105" t="s">
        <v>42</v>
      </c>
      <c r="F169" s="105" t="s">
        <v>784</v>
      </c>
      <c r="H169" s="105" t="s">
        <v>37</v>
      </c>
      <c r="J169" s="5">
        <v>89.52000000000001</v>
      </c>
      <c r="K169" s="5">
        <v>1.7003999999999992</v>
      </c>
      <c r="L169" s="5">
        <v>84</v>
      </c>
      <c r="M169" s="5">
        <v>1.5</v>
      </c>
      <c r="N169" s="5">
        <v>34</v>
      </c>
      <c r="O169" s="5">
        <v>0.39</v>
      </c>
      <c r="P169" s="5">
        <v>6.4000000000000003E-3</v>
      </c>
      <c r="Q169" s="5">
        <v>66</v>
      </c>
      <c r="R169" s="5">
        <v>18.3</v>
      </c>
      <c r="T169" s="5"/>
      <c r="U169" s="197" t="s">
        <v>1050</v>
      </c>
      <c r="V169" s="196">
        <f>(V167+V168)/V166</f>
        <v>0.12121212121212122</v>
      </c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</row>
    <row r="170" spans="1:42" x14ac:dyDescent="0.2">
      <c r="A170" s="96"/>
      <c r="B170" s="96"/>
      <c r="C170" s="97"/>
      <c r="D170" s="97"/>
      <c r="E170" s="97"/>
      <c r="F170" s="97"/>
      <c r="G170" s="97"/>
      <c r="H170" s="98"/>
      <c r="I170" s="99"/>
      <c r="J170" s="100"/>
      <c r="K170" s="106"/>
      <c r="L170" s="106"/>
      <c r="M170" s="106"/>
      <c r="N170" s="106"/>
      <c r="O170" s="106"/>
      <c r="P170" s="106"/>
      <c r="Q170" s="106"/>
      <c r="R170" s="106"/>
      <c r="S170" s="106"/>
    </row>
    <row r="171" spans="1:42" x14ac:dyDescent="0.2">
      <c r="A171" s="226" t="s">
        <v>1061</v>
      </c>
      <c r="B171" s="227"/>
      <c r="C171" s="228"/>
      <c r="D171" s="228"/>
      <c r="E171" s="228"/>
      <c r="F171" s="228"/>
      <c r="G171" s="228"/>
      <c r="H171" s="229"/>
      <c r="I171" s="230"/>
      <c r="J171" s="231"/>
      <c r="K171" s="232"/>
      <c r="L171" s="232"/>
      <c r="M171" s="232"/>
      <c r="N171" s="233"/>
      <c r="O171" s="232"/>
      <c r="P171" s="232"/>
      <c r="Q171" s="232"/>
      <c r="R171" s="232"/>
      <c r="S171" s="232"/>
      <c r="T171" s="232"/>
      <c r="U171" s="226" t="s">
        <v>1061</v>
      </c>
      <c r="V171" s="232"/>
      <c r="W171" s="232"/>
      <c r="X171" s="232"/>
    </row>
    <row r="172" spans="1:42" x14ac:dyDescent="0.2">
      <c r="A172" s="104" t="s">
        <v>44</v>
      </c>
      <c r="B172" s="104" t="s">
        <v>45</v>
      </c>
      <c r="C172" s="105" t="s">
        <v>47</v>
      </c>
      <c r="D172" s="105" t="s">
        <v>31</v>
      </c>
      <c r="E172" s="105" t="s">
        <v>46</v>
      </c>
      <c r="F172" s="105" t="s">
        <v>782</v>
      </c>
      <c r="H172" s="105" t="s">
        <v>33</v>
      </c>
      <c r="J172" s="5">
        <v>90.333333333333329</v>
      </c>
      <c r="L172" s="108">
        <v>162</v>
      </c>
      <c r="M172" s="107">
        <v>4</v>
      </c>
      <c r="P172" s="5">
        <v>0.19500000000000001</v>
      </c>
      <c r="R172" s="5">
        <v>20</v>
      </c>
      <c r="T172" s="5"/>
      <c r="U172" s="197" t="s">
        <v>1047</v>
      </c>
      <c r="V172" s="5">
        <f>(268-171)*9</f>
        <v>873</v>
      </c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</row>
    <row r="173" spans="1:42" x14ac:dyDescent="0.2">
      <c r="A173" s="104" t="s">
        <v>756</v>
      </c>
      <c r="B173" s="104" t="s">
        <v>757</v>
      </c>
      <c r="C173" s="105" t="s">
        <v>758</v>
      </c>
      <c r="D173" s="105" t="s">
        <v>31</v>
      </c>
      <c r="E173" s="105" t="s">
        <v>46</v>
      </c>
      <c r="F173" s="105" t="s">
        <v>782</v>
      </c>
      <c r="H173" s="105" t="s">
        <v>33</v>
      </c>
      <c r="J173" s="5">
        <v>82.2</v>
      </c>
      <c r="L173" s="5">
        <v>132</v>
      </c>
      <c r="M173" s="107">
        <v>2.9</v>
      </c>
      <c r="N173" s="5">
        <v>35</v>
      </c>
      <c r="O173" s="107">
        <v>1</v>
      </c>
      <c r="P173" s="5" t="s">
        <v>0</v>
      </c>
      <c r="R173" s="107">
        <v>142</v>
      </c>
      <c r="T173" s="5"/>
      <c r="U173" s="197" t="s">
        <v>1048</v>
      </c>
      <c r="V173" s="5">
        <f>COUNTBLANK(K172:S268)</f>
        <v>283</v>
      </c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</row>
    <row r="174" spans="1:42" x14ac:dyDescent="0.2">
      <c r="A174" s="104" t="s">
        <v>51</v>
      </c>
      <c r="B174" s="104" t="s">
        <v>53</v>
      </c>
      <c r="C174" s="105" t="s">
        <v>54</v>
      </c>
      <c r="D174" s="105" t="s">
        <v>25</v>
      </c>
      <c r="E174" s="105" t="s">
        <v>46</v>
      </c>
      <c r="F174" s="105" t="s">
        <v>782</v>
      </c>
      <c r="H174" s="105" t="s">
        <v>33</v>
      </c>
      <c r="J174" s="5">
        <v>84.716666666666669</v>
      </c>
      <c r="K174" s="5">
        <v>1.9451600000000002</v>
      </c>
      <c r="L174" s="5">
        <v>59.934733333333327</v>
      </c>
      <c r="M174" s="5">
        <v>1.5229999999999999</v>
      </c>
      <c r="N174" s="5">
        <v>23.366666666666664</v>
      </c>
      <c r="O174" s="108">
        <v>0.436</v>
      </c>
      <c r="P174" s="5">
        <v>7.3004166666666662E-2</v>
      </c>
      <c r="Q174" s="108">
        <v>145</v>
      </c>
      <c r="R174" s="5">
        <v>13.785966666666665</v>
      </c>
      <c r="S174" s="5">
        <v>0.05</v>
      </c>
      <c r="T174" s="5"/>
      <c r="U174" s="197" t="s">
        <v>1049</v>
      </c>
      <c r="V174" s="5">
        <f>V172-V173</f>
        <v>590</v>
      </c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</row>
    <row r="175" spans="1:42" x14ac:dyDescent="0.2">
      <c r="A175" s="104" t="s">
        <v>51</v>
      </c>
      <c r="B175" s="104" t="s">
        <v>57</v>
      </c>
      <c r="C175" s="105" t="s">
        <v>58</v>
      </c>
      <c r="D175" s="105" t="s">
        <v>25</v>
      </c>
      <c r="E175" s="105" t="s">
        <v>46</v>
      </c>
      <c r="F175" s="105" t="s">
        <v>782</v>
      </c>
      <c r="H175" s="105" t="s">
        <v>33</v>
      </c>
      <c r="J175" s="5" t="s">
        <v>0</v>
      </c>
      <c r="L175" s="5">
        <v>91</v>
      </c>
      <c r="M175" s="107">
        <v>3</v>
      </c>
      <c r="P175" s="5">
        <v>2.5000000000000001E-2</v>
      </c>
      <c r="Q175" s="5" t="s">
        <v>0</v>
      </c>
      <c r="R175" s="5">
        <v>39</v>
      </c>
      <c r="T175" s="5"/>
      <c r="U175" s="197" t="s">
        <v>1045</v>
      </c>
      <c r="V175" s="5">
        <v>31</v>
      </c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</row>
    <row r="176" spans="1:42" x14ac:dyDescent="0.2">
      <c r="A176" s="104" t="s">
        <v>51</v>
      </c>
      <c r="B176" s="104" t="s">
        <v>60</v>
      </c>
      <c r="C176" s="105" t="s">
        <v>61</v>
      </c>
      <c r="D176" s="105" t="s">
        <v>25</v>
      </c>
      <c r="E176" s="105" t="s">
        <v>46</v>
      </c>
      <c r="F176" s="105" t="s">
        <v>782</v>
      </c>
      <c r="H176" s="105" t="s">
        <v>33</v>
      </c>
      <c r="J176" s="5">
        <v>91</v>
      </c>
      <c r="K176" s="5">
        <v>1.0833333333333335</v>
      </c>
      <c r="L176" s="5">
        <v>70.857142857142861</v>
      </c>
      <c r="M176" s="5">
        <v>1.4633333333333332</v>
      </c>
      <c r="N176" s="5">
        <v>23</v>
      </c>
      <c r="O176" s="5">
        <v>0.34199999999999997</v>
      </c>
      <c r="P176" s="5">
        <v>3.3666666666666671E-2</v>
      </c>
      <c r="Q176" s="5">
        <v>16</v>
      </c>
      <c r="R176" s="5">
        <v>30.857142857142858</v>
      </c>
      <c r="S176" s="5">
        <v>0.22499999999999998</v>
      </c>
      <c r="T176" s="5"/>
      <c r="U176" s="197" t="s">
        <v>1046</v>
      </c>
      <c r="V176" s="5">
        <v>108</v>
      </c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</row>
    <row r="177" spans="1:42" x14ac:dyDescent="0.2">
      <c r="A177" s="104" t="s">
        <v>51</v>
      </c>
      <c r="B177" s="104" t="s">
        <v>925</v>
      </c>
      <c r="C177" s="105" t="s">
        <v>926</v>
      </c>
      <c r="D177" s="105" t="s">
        <v>31</v>
      </c>
      <c r="E177" s="105" t="s">
        <v>46</v>
      </c>
      <c r="F177" s="105" t="s">
        <v>782</v>
      </c>
      <c r="H177" s="105" t="s">
        <v>33</v>
      </c>
      <c r="J177" s="5">
        <v>39.9</v>
      </c>
      <c r="K177" s="5">
        <v>0.96</v>
      </c>
      <c r="L177" s="5">
        <v>41.7</v>
      </c>
      <c r="M177" s="108">
        <v>2.08</v>
      </c>
      <c r="N177" s="5">
        <v>50.8</v>
      </c>
      <c r="O177" s="108">
        <v>0.49</v>
      </c>
      <c r="P177" s="5">
        <v>0</v>
      </c>
      <c r="Q177" s="108">
        <v>177</v>
      </c>
      <c r="R177" s="5">
        <v>0.71</v>
      </c>
      <c r="S177" s="5">
        <v>0.37</v>
      </c>
      <c r="T177" s="5"/>
      <c r="U177" s="197" t="s">
        <v>1050</v>
      </c>
      <c r="V177" s="196">
        <f>(V176+V175)/V174</f>
        <v>0.23559322033898306</v>
      </c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</row>
    <row r="178" spans="1:42" x14ac:dyDescent="0.2">
      <c r="A178" s="104" t="s">
        <v>51</v>
      </c>
      <c r="B178" s="104" t="s">
        <v>62</v>
      </c>
      <c r="C178" s="105" t="s">
        <v>63</v>
      </c>
      <c r="D178" s="105" t="s">
        <v>31</v>
      </c>
      <c r="E178" s="105" t="s">
        <v>46</v>
      </c>
      <c r="F178" s="105" t="s">
        <v>782</v>
      </c>
      <c r="H178" s="105" t="s">
        <v>33</v>
      </c>
      <c r="J178" s="5">
        <v>92.240000000000009</v>
      </c>
      <c r="K178" s="5">
        <v>1.3149999999999999</v>
      </c>
      <c r="L178" s="5">
        <v>56.944444444444443</v>
      </c>
      <c r="M178" s="5">
        <v>1.3355555555555556</v>
      </c>
      <c r="N178" s="5">
        <v>36.93333333333333</v>
      </c>
      <c r="O178" s="5">
        <v>0.29749999999999999</v>
      </c>
      <c r="P178" s="5">
        <v>0.09</v>
      </c>
      <c r="Q178" s="5">
        <v>108.1</v>
      </c>
      <c r="R178" s="5">
        <v>22.905000000000001</v>
      </c>
      <c r="S178" s="108">
        <v>1.4933333333333334</v>
      </c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</row>
    <row r="179" spans="1:42" x14ac:dyDescent="0.2">
      <c r="A179" s="104" t="s">
        <v>51</v>
      </c>
      <c r="B179" s="104" t="s">
        <v>62</v>
      </c>
      <c r="C179" s="105" t="s">
        <v>63</v>
      </c>
      <c r="D179" s="105" t="s">
        <v>31</v>
      </c>
      <c r="E179" s="105" t="s">
        <v>46</v>
      </c>
      <c r="F179" s="105" t="s">
        <v>782</v>
      </c>
      <c r="H179" s="105" t="s">
        <v>930</v>
      </c>
      <c r="J179" s="5">
        <v>94</v>
      </c>
      <c r="K179" s="5">
        <v>1.95</v>
      </c>
      <c r="L179" s="5">
        <v>13</v>
      </c>
      <c r="M179" s="107">
        <v>2.4500000000000002</v>
      </c>
      <c r="N179" s="5">
        <v>16.5</v>
      </c>
      <c r="O179" s="107">
        <v>0.77</v>
      </c>
      <c r="P179" s="5">
        <v>0.08</v>
      </c>
      <c r="Q179" s="5">
        <v>76</v>
      </c>
      <c r="R179" s="5">
        <v>8</v>
      </c>
      <c r="S179" s="5">
        <v>0.63</v>
      </c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</row>
    <row r="180" spans="1:42" x14ac:dyDescent="0.2">
      <c r="A180" s="104" t="s">
        <v>59</v>
      </c>
      <c r="B180" s="104" t="s">
        <v>52</v>
      </c>
      <c r="C180" s="105" t="s">
        <v>718</v>
      </c>
      <c r="D180" s="105" t="s">
        <v>31</v>
      </c>
      <c r="E180" s="105" t="s">
        <v>46</v>
      </c>
      <c r="F180" s="105" t="s">
        <v>782</v>
      </c>
      <c r="H180" s="105" t="s">
        <v>33</v>
      </c>
      <c r="J180" s="5">
        <v>82.6</v>
      </c>
      <c r="K180" s="5">
        <v>1.4</v>
      </c>
      <c r="L180" s="5">
        <v>117</v>
      </c>
      <c r="N180" s="5">
        <v>36</v>
      </c>
      <c r="R180" s="5">
        <v>18</v>
      </c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</row>
    <row r="181" spans="1:42" x14ac:dyDescent="0.2">
      <c r="A181" s="104" t="s">
        <v>59</v>
      </c>
      <c r="B181" s="104" t="s">
        <v>64</v>
      </c>
      <c r="C181" s="105" t="s">
        <v>65</v>
      </c>
      <c r="D181" s="105" t="s">
        <v>31</v>
      </c>
      <c r="E181" s="105" t="s">
        <v>46</v>
      </c>
      <c r="F181" s="105" t="s">
        <v>782</v>
      </c>
      <c r="H181" s="105" t="s">
        <v>33</v>
      </c>
      <c r="R181" s="5">
        <v>16.7</v>
      </c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</row>
    <row r="182" spans="1:42" x14ac:dyDescent="0.2">
      <c r="A182" s="104" t="s">
        <v>59</v>
      </c>
      <c r="B182" s="104" t="s">
        <v>754</v>
      </c>
      <c r="C182" s="105" t="s">
        <v>755</v>
      </c>
      <c r="D182" s="105" t="s">
        <v>31</v>
      </c>
      <c r="E182" s="105" t="s">
        <v>46</v>
      </c>
      <c r="F182" s="105" t="s">
        <v>782</v>
      </c>
      <c r="H182" s="105" t="s">
        <v>33</v>
      </c>
      <c r="J182" s="5">
        <v>89.4</v>
      </c>
      <c r="K182" s="5">
        <v>2.1800000000000002</v>
      </c>
      <c r="L182" s="5">
        <v>76</v>
      </c>
      <c r="M182" s="107">
        <v>2.9</v>
      </c>
      <c r="N182" s="5">
        <v>22</v>
      </c>
      <c r="O182" s="5">
        <v>0.27</v>
      </c>
      <c r="R182" s="107">
        <v>150</v>
      </c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</row>
    <row r="183" spans="1:42" x14ac:dyDescent="0.2">
      <c r="A183" s="104" t="s">
        <v>72</v>
      </c>
      <c r="B183" s="104" t="s">
        <v>70</v>
      </c>
      <c r="C183" s="105" t="s">
        <v>863</v>
      </c>
      <c r="D183" s="105" t="s">
        <v>31</v>
      </c>
      <c r="E183" s="105" t="s">
        <v>46</v>
      </c>
      <c r="F183" s="105" t="s">
        <v>782</v>
      </c>
      <c r="H183" s="105" t="s">
        <v>33</v>
      </c>
      <c r="J183" s="5">
        <v>79.25333333333333</v>
      </c>
      <c r="K183" s="107">
        <v>3.646266666666667</v>
      </c>
      <c r="L183" s="108">
        <v>226.66839999999999</v>
      </c>
      <c r="M183" s="107">
        <v>2.2399999999999998</v>
      </c>
      <c r="N183" s="108">
        <v>80.900000000000006</v>
      </c>
      <c r="O183" s="107">
        <v>0.99</v>
      </c>
      <c r="Q183" s="5">
        <v>48.42</v>
      </c>
      <c r="R183" s="108">
        <v>103</v>
      </c>
      <c r="S183" s="5">
        <v>0.54</v>
      </c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</row>
    <row r="184" spans="1:42" x14ac:dyDescent="0.2">
      <c r="A184" s="104" t="s">
        <v>82</v>
      </c>
      <c r="B184" s="104" t="s">
        <v>83</v>
      </c>
      <c r="C184" s="105" t="s">
        <v>84</v>
      </c>
      <c r="D184" s="105" t="s">
        <v>25</v>
      </c>
      <c r="E184" s="105" t="s">
        <v>46</v>
      </c>
      <c r="F184" s="105" t="s">
        <v>782</v>
      </c>
      <c r="H184" s="105" t="s">
        <v>33</v>
      </c>
      <c r="J184" s="5">
        <v>88.6</v>
      </c>
      <c r="K184" s="5">
        <v>2.335</v>
      </c>
      <c r="L184" s="107">
        <v>298</v>
      </c>
      <c r="M184" s="5">
        <v>1.5474999999999999</v>
      </c>
      <c r="N184" s="5">
        <v>26</v>
      </c>
      <c r="O184" s="107">
        <v>0.96666666666666667</v>
      </c>
      <c r="Q184" s="5">
        <v>69.75</v>
      </c>
      <c r="R184" s="5">
        <v>71.75</v>
      </c>
      <c r="S184" s="109">
        <v>7.5975000000000001</v>
      </c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</row>
    <row r="185" spans="1:42" x14ac:dyDescent="0.2">
      <c r="A185" s="104" t="s">
        <v>93</v>
      </c>
      <c r="B185" s="104" t="s">
        <v>94</v>
      </c>
      <c r="C185" s="105" t="s">
        <v>95</v>
      </c>
      <c r="D185" s="105" t="s">
        <v>31</v>
      </c>
      <c r="E185" s="105" t="s">
        <v>46</v>
      </c>
      <c r="F185" s="105" t="s">
        <v>782</v>
      </c>
      <c r="H185" s="105" t="s">
        <v>33</v>
      </c>
      <c r="J185" s="5">
        <v>94.899999999999991</v>
      </c>
      <c r="K185" s="5">
        <v>0.7994</v>
      </c>
      <c r="L185" s="5">
        <v>11.000066666666671</v>
      </c>
      <c r="M185" s="5">
        <v>0.26693333333333347</v>
      </c>
      <c r="N185" s="5">
        <v>9</v>
      </c>
      <c r="O185" s="5">
        <v>0.1</v>
      </c>
      <c r="Q185" s="5">
        <v>19</v>
      </c>
      <c r="R185" s="5">
        <v>4.6669333333333354</v>
      </c>
      <c r="S185" s="5">
        <v>0.2</v>
      </c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</row>
    <row r="186" spans="1:42" x14ac:dyDescent="0.2">
      <c r="A186" s="104" t="s">
        <v>98</v>
      </c>
      <c r="B186" s="104" t="s">
        <v>99</v>
      </c>
      <c r="C186" s="105" t="s">
        <v>100</v>
      </c>
      <c r="D186" s="105" t="s">
        <v>31</v>
      </c>
      <c r="E186" s="105" t="s">
        <v>46</v>
      </c>
      <c r="F186" s="105" t="s">
        <v>782</v>
      </c>
      <c r="H186" s="105" t="s">
        <v>33</v>
      </c>
      <c r="J186" s="5">
        <v>88</v>
      </c>
      <c r="K186" s="5">
        <v>1.2280666666666666</v>
      </c>
      <c r="L186" s="5">
        <v>104.00193333333334</v>
      </c>
      <c r="M186" s="108">
        <v>2.0371666666666663</v>
      </c>
      <c r="O186" s="5">
        <v>0.24</v>
      </c>
      <c r="P186" s="5">
        <v>0.22500000000000001</v>
      </c>
      <c r="R186" s="5">
        <v>27.998749999999998</v>
      </c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</row>
    <row r="187" spans="1:42" x14ac:dyDescent="0.2">
      <c r="A187" s="104" t="s">
        <v>98</v>
      </c>
      <c r="B187" s="104" t="s">
        <v>101</v>
      </c>
      <c r="C187" s="105" t="s">
        <v>102</v>
      </c>
      <c r="D187" s="105" t="s">
        <v>31</v>
      </c>
      <c r="E187" s="105" t="s">
        <v>46</v>
      </c>
      <c r="F187" s="105" t="s">
        <v>782</v>
      </c>
      <c r="H187" s="105" t="s">
        <v>33</v>
      </c>
      <c r="K187" s="108">
        <v>3</v>
      </c>
      <c r="L187" s="108">
        <v>230</v>
      </c>
      <c r="M187" s="107">
        <v>3.2</v>
      </c>
      <c r="O187" s="5">
        <v>0.3</v>
      </c>
      <c r="R187" s="5">
        <v>44</v>
      </c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</row>
    <row r="188" spans="1:42" x14ac:dyDescent="0.2">
      <c r="A188" s="104" t="s">
        <v>103</v>
      </c>
      <c r="B188" s="104" t="s">
        <v>104</v>
      </c>
      <c r="C188" s="105" t="s">
        <v>106</v>
      </c>
      <c r="D188" s="105" t="s">
        <v>31</v>
      </c>
      <c r="E188" s="105" t="s">
        <v>46</v>
      </c>
      <c r="F188" s="105" t="s">
        <v>782</v>
      </c>
      <c r="H188" s="105" t="s">
        <v>33</v>
      </c>
      <c r="J188" s="5">
        <v>80</v>
      </c>
      <c r="L188" s="107">
        <v>437</v>
      </c>
      <c r="M188" s="109">
        <v>6.3</v>
      </c>
      <c r="P188" s="107">
        <v>0.60499999999999998</v>
      </c>
      <c r="R188" s="109">
        <v>391</v>
      </c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</row>
    <row r="189" spans="1:42" x14ac:dyDescent="0.2">
      <c r="A189" s="104" t="s">
        <v>113</v>
      </c>
      <c r="B189" s="104" t="s">
        <v>114</v>
      </c>
      <c r="C189" s="105" t="s">
        <v>115</v>
      </c>
      <c r="D189" s="105" t="s">
        <v>31</v>
      </c>
      <c r="E189" s="105" t="s">
        <v>46</v>
      </c>
      <c r="F189" s="105" t="s">
        <v>782</v>
      </c>
      <c r="H189" s="105" t="s">
        <v>33</v>
      </c>
      <c r="K189" s="5">
        <v>1.3966666666666667</v>
      </c>
      <c r="L189" s="5">
        <v>151.66666666666666</v>
      </c>
      <c r="M189" s="107">
        <v>2.1266666666666665</v>
      </c>
      <c r="O189" s="5">
        <v>0.28999999999999998</v>
      </c>
      <c r="P189" s="107">
        <v>0.84632393587617472</v>
      </c>
      <c r="Q189" s="5">
        <v>27</v>
      </c>
      <c r="R189" s="5">
        <v>37.666666666666664</v>
      </c>
      <c r="S189" s="107">
        <v>2.98</v>
      </c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</row>
    <row r="190" spans="1:42" x14ac:dyDescent="0.2">
      <c r="A190" s="104" t="s">
        <v>921</v>
      </c>
      <c r="B190" s="104" t="s">
        <v>922</v>
      </c>
      <c r="C190" s="105" t="s">
        <v>923</v>
      </c>
      <c r="D190" s="105" t="s">
        <v>31</v>
      </c>
      <c r="E190" s="105" t="s">
        <v>46</v>
      </c>
      <c r="F190" s="105" t="s">
        <v>782</v>
      </c>
      <c r="H190" s="105" t="s">
        <v>33</v>
      </c>
      <c r="L190" s="108">
        <v>190</v>
      </c>
      <c r="M190" s="107">
        <v>2.7</v>
      </c>
      <c r="N190" s="5">
        <v>33</v>
      </c>
      <c r="P190" s="5">
        <v>1.3333333333333334E-2</v>
      </c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</row>
    <row r="191" spans="1:42" x14ac:dyDescent="0.2">
      <c r="A191" s="104" t="s">
        <v>145</v>
      </c>
      <c r="B191" s="104" t="s">
        <v>1084</v>
      </c>
      <c r="C191" s="105" t="s">
        <v>150</v>
      </c>
      <c r="D191" s="105" t="s">
        <v>31</v>
      </c>
      <c r="E191" s="105" t="s">
        <v>46</v>
      </c>
      <c r="F191" s="105" t="s">
        <v>782</v>
      </c>
      <c r="H191" s="105" t="s">
        <v>33</v>
      </c>
      <c r="I191" s="1" t="s">
        <v>0</v>
      </c>
      <c r="J191" s="5">
        <v>88.15</v>
      </c>
      <c r="K191" s="107">
        <v>3.99</v>
      </c>
      <c r="L191" s="5">
        <v>128.55000000000001</v>
      </c>
      <c r="M191" s="107">
        <v>3.44</v>
      </c>
      <c r="N191" s="5">
        <v>61.95</v>
      </c>
      <c r="O191" s="108">
        <v>0.53749999999999998</v>
      </c>
      <c r="Q191" s="107">
        <v>302</v>
      </c>
      <c r="R191" s="5">
        <v>36.4</v>
      </c>
      <c r="S191" s="5">
        <v>0.67</v>
      </c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</row>
    <row r="192" spans="1:42" x14ac:dyDescent="0.2">
      <c r="A192" s="104" t="s">
        <v>158</v>
      </c>
      <c r="B192" s="104" t="s">
        <v>159</v>
      </c>
      <c r="C192" s="105" t="s">
        <v>160</v>
      </c>
      <c r="D192" s="105" t="s">
        <v>31</v>
      </c>
      <c r="E192" s="105" t="s">
        <v>46</v>
      </c>
      <c r="F192" s="105" t="s">
        <v>782</v>
      </c>
      <c r="G192" s="105" t="s">
        <v>71</v>
      </c>
      <c r="H192" s="105" t="s">
        <v>33</v>
      </c>
      <c r="J192" s="5">
        <v>98.6</v>
      </c>
      <c r="K192" s="5">
        <v>1</v>
      </c>
      <c r="L192" s="5">
        <v>4</v>
      </c>
      <c r="M192" s="5">
        <v>0</v>
      </c>
      <c r="N192" s="5">
        <v>2</v>
      </c>
      <c r="O192" s="5">
        <v>0.2</v>
      </c>
      <c r="Q192" s="5">
        <v>3</v>
      </c>
      <c r="R192" s="5">
        <v>0</v>
      </c>
      <c r="S192" s="5">
        <v>0.1</v>
      </c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</row>
    <row r="193" spans="1:50" x14ac:dyDescent="0.2">
      <c r="A193" s="104" t="s">
        <v>161</v>
      </c>
      <c r="B193" s="104" t="s">
        <v>168</v>
      </c>
      <c r="C193" s="105" t="s">
        <v>169</v>
      </c>
      <c r="D193" s="105" t="s">
        <v>25</v>
      </c>
      <c r="E193" s="105" t="s">
        <v>46</v>
      </c>
      <c r="F193" s="105" t="s">
        <v>782</v>
      </c>
      <c r="H193" s="105" t="s">
        <v>33</v>
      </c>
      <c r="J193" s="5" t="s">
        <v>0</v>
      </c>
      <c r="K193" s="5">
        <v>1.3766666666666667</v>
      </c>
      <c r="L193" s="5">
        <v>157</v>
      </c>
      <c r="M193" s="5">
        <v>1.3333333333333333</v>
      </c>
      <c r="O193" s="107">
        <v>0.92</v>
      </c>
      <c r="P193" s="5">
        <v>0.15257048092868988</v>
      </c>
      <c r="Q193" s="5">
        <v>86.5</v>
      </c>
      <c r="R193" s="107">
        <v>157</v>
      </c>
      <c r="S193" s="5">
        <v>1.2566666666666666</v>
      </c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</row>
    <row r="194" spans="1:50" x14ac:dyDescent="0.2">
      <c r="A194" s="104" t="s">
        <v>161</v>
      </c>
      <c r="B194" s="104" t="s">
        <v>172</v>
      </c>
      <c r="C194" s="105" t="s">
        <v>174</v>
      </c>
      <c r="D194" s="105" t="s">
        <v>25</v>
      </c>
      <c r="E194" s="105" t="s">
        <v>46</v>
      </c>
      <c r="F194" s="105" t="s">
        <v>782</v>
      </c>
      <c r="H194" s="105" t="s">
        <v>33</v>
      </c>
      <c r="J194" s="5">
        <v>87</v>
      </c>
      <c r="K194" s="5">
        <v>1.23</v>
      </c>
      <c r="L194" s="108">
        <v>205</v>
      </c>
      <c r="M194" s="107">
        <v>3</v>
      </c>
      <c r="N194" s="107">
        <v>88</v>
      </c>
      <c r="P194" s="5">
        <v>0.155</v>
      </c>
      <c r="Q194" s="5" t="s">
        <v>0</v>
      </c>
      <c r="R194" s="107">
        <v>130</v>
      </c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</row>
    <row r="195" spans="1:50" x14ac:dyDescent="0.2">
      <c r="A195" s="104" t="s">
        <v>161</v>
      </c>
      <c r="B195" s="104" t="s">
        <v>45</v>
      </c>
      <c r="C195" s="105" t="s">
        <v>175</v>
      </c>
      <c r="D195" s="105" t="s">
        <v>25</v>
      </c>
      <c r="E195" s="105" t="s">
        <v>46</v>
      </c>
      <c r="F195" s="105" t="s">
        <v>782</v>
      </c>
      <c r="H195" s="105" t="s">
        <v>33</v>
      </c>
      <c r="J195" s="5">
        <v>87.56</v>
      </c>
      <c r="K195" s="5">
        <v>1.6049999999999998</v>
      </c>
      <c r="L195" s="108">
        <v>238.7</v>
      </c>
      <c r="M195" s="5">
        <v>1.5509999999999999</v>
      </c>
      <c r="N195" s="5">
        <v>51.75</v>
      </c>
      <c r="O195" s="5">
        <v>0.32124999999999998</v>
      </c>
      <c r="P195" s="5">
        <v>0.2635935634328358</v>
      </c>
      <c r="Q195" s="5">
        <v>99.333333333333329</v>
      </c>
      <c r="R195" s="108">
        <v>91.33</v>
      </c>
      <c r="S195" s="108">
        <v>1.51</v>
      </c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</row>
    <row r="196" spans="1:50" x14ac:dyDescent="0.2">
      <c r="A196" s="104" t="s">
        <v>204</v>
      </c>
      <c r="B196" s="104" t="s">
        <v>205</v>
      </c>
      <c r="C196" s="105" t="s">
        <v>206</v>
      </c>
      <c r="D196" s="105" t="s">
        <v>25</v>
      </c>
      <c r="E196" s="105" t="s">
        <v>46</v>
      </c>
      <c r="F196" s="105" t="s">
        <v>783</v>
      </c>
      <c r="H196" s="105" t="s">
        <v>33</v>
      </c>
      <c r="K196" s="5">
        <v>1.2349999999999999</v>
      </c>
      <c r="L196" s="108">
        <v>216</v>
      </c>
      <c r="M196" s="108">
        <v>2.08</v>
      </c>
      <c r="O196" s="108">
        <v>0.48000000000000004</v>
      </c>
      <c r="P196" s="108">
        <v>0.40132669983416247</v>
      </c>
      <c r="Q196" s="5">
        <v>53</v>
      </c>
      <c r="R196" s="5">
        <v>70.5</v>
      </c>
      <c r="S196" s="5">
        <v>0.4</v>
      </c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</row>
    <row r="197" spans="1:50" x14ac:dyDescent="0.2">
      <c r="A197" s="104" t="s">
        <v>218</v>
      </c>
      <c r="B197" s="104" t="s">
        <v>219</v>
      </c>
      <c r="C197" s="105" t="s">
        <v>220</v>
      </c>
      <c r="D197" s="105" t="s">
        <v>31</v>
      </c>
      <c r="E197" s="105" t="s">
        <v>46</v>
      </c>
      <c r="F197" s="105" t="s">
        <v>782</v>
      </c>
      <c r="H197" s="105" t="s">
        <v>33</v>
      </c>
      <c r="J197" s="5">
        <v>88.166666666666671</v>
      </c>
      <c r="K197" s="108">
        <v>2.7002999999999999</v>
      </c>
      <c r="L197" s="5">
        <v>139.50039999999998</v>
      </c>
      <c r="M197" s="109">
        <v>5.1007499999999997</v>
      </c>
      <c r="P197" s="108">
        <v>0.39161111111111113</v>
      </c>
      <c r="R197" s="5">
        <v>15.000450000000001</v>
      </c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</row>
    <row r="198" spans="1:50" x14ac:dyDescent="0.2">
      <c r="A198" s="104" t="s">
        <v>221</v>
      </c>
      <c r="B198" s="104" t="s">
        <v>222</v>
      </c>
      <c r="C198" s="105" t="s">
        <v>223</v>
      </c>
      <c r="D198" s="105" t="s">
        <v>31</v>
      </c>
      <c r="E198" s="105" t="s">
        <v>46</v>
      </c>
      <c r="F198" s="105" t="s">
        <v>782</v>
      </c>
      <c r="H198" s="105" t="s">
        <v>33</v>
      </c>
      <c r="J198" s="5">
        <v>82.3</v>
      </c>
      <c r="L198" s="5">
        <v>120</v>
      </c>
      <c r="M198" s="107">
        <v>3.2</v>
      </c>
      <c r="N198" s="5">
        <v>58.5</v>
      </c>
      <c r="O198" s="107">
        <v>0.9</v>
      </c>
      <c r="R198" s="107">
        <v>201.5</v>
      </c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</row>
    <row r="199" spans="1:50" x14ac:dyDescent="0.2">
      <c r="A199" s="25" t="s">
        <v>914</v>
      </c>
      <c r="B199" s="25" t="s">
        <v>250</v>
      </c>
      <c r="C199" s="110" t="s">
        <v>1001</v>
      </c>
      <c r="D199" s="26" t="s">
        <v>31</v>
      </c>
      <c r="E199" s="26" t="s">
        <v>46</v>
      </c>
      <c r="F199" s="110" t="s">
        <v>782</v>
      </c>
      <c r="G199" s="26"/>
      <c r="H199" s="26" t="s">
        <v>33</v>
      </c>
      <c r="J199" s="23"/>
      <c r="K199" s="23"/>
      <c r="L199" s="23">
        <v>14.14</v>
      </c>
      <c r="M199" s="23">
        <v>1.51</v>
      </c>
      <c r="N199" s="23">
        <v>2.7</v>
      </c>
      <c r="O199" s="109">
        <v>7.8</v>
      </c>
      <c r="P199" s="23"/>
      <c r="Q199" s="23"/>
      <c r="R199" s="23"/>
      <c r="S199" s="23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</row>
    <row r="200" spans="1:50" x14ac:dyDescent="0.2">
      <c r="A200" s="104" t="s">
        <v>225</v>
      </c>
      <c r="B200" s="104" t="s">
        <v>228</v>
      </c>
      <c r="C200" s="105" t="s">
        <v>229</v>
      </c>
      <c r="D200" s="105" t="s">
        <v>25</v>
      </c>
      <c r="E200" s="105" t="s">
        <v>46</v>
      </c>
      <c r="F200" s="105" t="s">
        <v>782</v>
      </c>
      <c r="H200" s="105" t="s">
        <v>33</v>
      </c>
      <c r="J200" s="5">
        <v>92.44285714285715</v>
      </c>
      <c r="K200" s="5">
        <v>1.8928333333333331</v>
      </c>
      <c r="L200" s="5">
        <v>78.999728571428577</v>
      </c>
      <c r="M200" s="5">
        <v>0.98962857142857141</v>
      </c>
      <c r="N200" s="5">
        <v>19.559999999999999</v>
      </c>
      <c r="O200" s="5">
        <v>0.31766666666666665</v>
      </c>
      <c r="P200" s="5">
        <v>0.27022734936428966</v>
      </c>
      <c r="Q200" s="108">
        <v>137.66666666666666</v>
      </c>
      <c r="R200" s="5">
        <v>19.333099999999998</v>
      </c>
      <c r="S200" s="108">
        <v>2.3049999999999997</v>
      </c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</row>
    <row r="201" spans="1:50" x14ac:dyDescent="0.2">
      <c r="A201" s="198" t="s">
        <v>242</v>
      </c>
      <c r="B201" s="198" t="s">
        <v>243</v>
      </c>
      <c r="C201" s="199" t="s">
        <v>244</v>
      </c>
      <c r="D201" s="199" t="s">
        <v>31</v>
      </c>
      <c r="E201" s="199" t="s">
        <v>46</v>
      </c>
      <c r="F201" s="199" t="s">
        <v>782</v>
      </c>
      <c r="G201" s="199"/>
      <c r="H201" s="199" t="s">
        <v>91</v>
      </c>
      <c r="I201" s="142"/>
      <c r="J201" s="200" t="s">
        <v>0</v>
      </c>
      <c r="K201" s="200">
        <v>0.66</v>
      </c>
      <c r="L201" s="200">
        <v>16</v>
      </c>
      <c r="M201" s="200">
        <v>0.42</v>
      </c>
      <c r="N201" s="200"/>
      <c r="O201" s="200"/>
      <c r="P201" s="200">
        <v>0.06</v>
      </c>
      <c r="Q201" s="200"/>
      <c r="R201" s="200">
        <v>3</v>
      </c>
      <c r="S201" s="200">
        <v>0.06</v>
      </c>
      <c r="T201" s="200"/>
      <c r="U201" s="5"/>
      <c r="V201" s="5"/>
      <c r="W201" s="200"/>
      <c r="X201" s="200"/>
      <c r="Y201" s="200"/>
      <c r="Z201" s="200"/>
      <c r="AA201" s="200"/>
      <c r="AB201" s="200"/>
      <c r="AC201" s="200"/>
      <c r="AD201" s="200"/>
      <c r="AE201" s="200"/>
      <c r="AF201" s="200"/>
      <c r="AG201" s="200"/>
      <c r="AH201" s="200"/>
      <c r="AI201" s="200"/>
      <c r="AJ201" s="200"/>
      <c r="AK201" s="200"/>
      <c r="AL201" s="200"/>
      <c r="AM201" s="200"/>
      <c r="AN201" s="200"/>
      <c r="AO201" s="200"/>
      <c r="AP201" s="200"/>
      <c r="AQ201" s="201"/>
      <c r="AR201" s="201"/>
      <c r="AS201" s="201"/>
      <c r="AT201" s="201"/>
      <c r="AU201" s="142"/>
      <c r="AV201" s="142"/>
      <c r="AW201" s="142"/>
      <c r="AX201" s="142"/>
    </row>
    <row r="202" spans="1:50" x14ac:dyDescent="0.2">
      <c r="A202" s="198" t="s">
        <v>242</v>
      </c>
      <c r="B202" s="198" t="s">
        <v>245</v>
      </c>
      <c r="C202" s="199" t="s">
        <v>246</v>
      </c>
      <c r="D202" s="199" t="s">
        <v>31</v>
      </c>
      <c r="E202" s="199" t="s">
        <v>46</v>
      </c>
      <c r="F202" s="199" t="s">
        <v>782</v>
      </c>
      <c r="G202" s="199"/>
      <c r="H202" s="199" t="s">
        <v>91</v>
      </c>
      <c r="I202" s="142"/>
      <c r="J202" s="200">
        <v>93.67</v>
      </c>
      <c r="K202" s="200">
        <v>1.05</v>
      </c>
      <c r="L202" s="200">
        <v>53</v>
      </c>
      <c r="M202" s="200">
        <v>0.65</v>
      </c>
      <c r="N202" s="200">
        <v>28</v>
      </c>
      <c r="O202" s="202">
        <v>0.47</v>
      </c>
      <c r="P202" s="200">
        <v>0.02</v>
      </c>
      <c r="Q202" s="200"/>
      <c r="R202" s="200">
        <v>5.33</v>
      </c>
      <c r="S202" s="200">
        <v>0.1</v>
      </c>
      <c r="T202" s="200"/>
      <c r="U202" s="5"/>
      <c r="V202" s="5"/>
      <c r="W202" s="200"/>
      <c r="X202" s="200"/>
      <c r="Y202" s="200"/>
      <c r="Z202" s="200"/>
      <c r="AA202" s="200"/>
      <c r="AB202" s="200"/>
      <c r="AC202" s="200"/>
      <c r="AD202" s="200"/>
      <c r="AE202" s="200"/>
      <c r="AF202" s="200"/>
      <c r="AG202" s="200"/>
      <c r="AH202" s="200"/>
      <c r="AI202" s="200"/>
      <c r="AJ202" s="200"/>
      <c r="AK202" s="200"/>
      <c r="AL202" s="200"/>
      <c r="AM202" s="200"/>
      <c r="AN202" s="200"/>
      <c r="AO202" s="200"/>
      <c r="AP202" s="200"/>
      <c r="AQ202" s="201"/>
      <c r="AR202" s="201"/>
      <c r="AS202" s="201"/>
      <c r="AT202" s="201"/>
      <c r="AU202" s="142"/>
      <c r="AV202" s="142"/>
      <c r="AW202" s="142"/>
      <c r="AX202" s="142"/>
    </row>
    <row r="203" spans="1:50" x14ac:dyDescent="0.2">
      <c r="A203" s="104" t="s">
        <v>247</v>
      </c>
      <c r="B203" s="104" t="s">
        <v>248</v>
      </c>
      <c r="C203" s="105" t="s">
        <v>246</v>
      </c>
      <c r="D203" s="105" t="s">
        <v>31</v>
      </c>
      <c r="E203" s="105" t="s">
        <v>46</v>
      </c>
      <c r="F203" s="105" t="s">
        <v>782</v>
      </c>
      <c r="H203" s="105" t="s">
        <v>33</v>
      </c>
      <c r="J203" s="5">
        <v>86.037500000000009</v>
      </c>
      <c r="K203" s="108">
        <v>2.684275</v>
      </c>
      <c r="L203" s="5">
        <v>140.71605714285715</v>
      </c>
      <c r="M203" s="107">
        <v>2.5065999999999997</v>
      </c>
      <c r="N203" s="5">
        <v>45.4</v>
      </c>
      <c r="O203" s="108">
        <v>0.47000000000000003</v>
      </c>
      <c r="P203" s="5">
        <v>0.24850291666666666</v>
      </c>
      <c r="Q203" s="5">
        <v>104.25</v>
      </c>
      <c r="R203" s="5">
        <v>56.4</v>
      </c>
      <c r="S203" s="108">
        <v>1.5074999999999998</v>
      </c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</row>
    <row r="204" spans="1:50" x14ac:dyDescent="0.2">
      <c r="A204" s="104" t="s">
        <v>252</v>
      </c>
      <c r="B204" s="104" t="s">
        <v>253</v>
      </c>
      <c r="C204" s="105" t="s">
        <v>255</v>
      </c>
      <c r="D204" s="105" t="s">
        <v>31</v>
      </c>
      <c r="E204" s="105" t="s">
        <v>46</v>
      </c>
      <c r="F204" s="105" t="s">
        <v>782</v>
      </c>
      <c r="H204" s="105" t="s">
        <v>33</v>
      </c>
      <c r="J204" s="5">
        <v>89.15</v>
      </c>
      <c r="K204" s="5">
        <v>1.9005999999999998</v>
      </c>
      <c r="L204" s="5">
        <v>161.4973</v>
      </c>
      <c r="M204" s="109">
        <v>7.1</v>
      </c>
      <c r="N204" s="108">
        <v>77</v>
      </c>
      <c r="O204" s="107">
        <v>0.63</v>
      </c>
      <c r="R204" s="5">
        <v>20</v>
      </c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</row>
    <row r="205" spans="1:50" x14ac:dyDescent="0.2">
      <c r="A205" s="104" t="s">
        <v>263</v>
      </c>
      <c r="B205" s="104" t="s">
        <v>264</v>
      </c>
      <c r="C205" s="105" t="s">
        <v>265</v>
      </c>
      <c r="D205" s="105" t="s">
        <v>31</v>
      </c>
      <c r="E205" s="105" t="s">
        <v>46</v>
      </c>
      <c r="F205" s="105" t="s">
        <v>782</v>
      </c>
      <c r="H205" s="105" t="s">
        <v>33</v>
      </c>
      <c r="J205" s="5">
        <v>94</v>
      </c>
      <c r="L205" s="5">
        <v>35</v>
      </c>
      <c r="M205" s="5">
        <v>0.5</v>
      </c>
      <c r="P205" s="5">
        <v>5.0000000000000001E-3</v>
      </c>
      <c r="R205" s="5">
        <v>26</v>
      </c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</row>
    <row r="206" spans="1:50" x14ac:dyDescent="0.2">
      <c r="A206" s="104" t="s">
        <v>702</v>
      </c>
      <c r="B206" s="104" t="s">
        <v>699</v>
      </c>
      <c r="C206" s="105" t="s">
        <v>700</v>
      </c>
      <c r="D206" s="105" t="s">
        <v>31</v>
      </c>
      <c r="E206" s="105" t="s">
        <v>46</v>
      </c>
      <c r="F206" s="105" t="s">
        <v>782</v>
      </c>
      <c r="H206" s="105" t="s">
        <v>33</v>
      </c>
      <c r="J206" s="5">
        <v>86.9</v>
      </c>
      <c r="K206" s="107">
        <v>5.14</v>
      </c>
      <c r="L206" s="108">
        <v>164</v>
      </c>
      <c r="M206" s="107">
        <v>2.9950000000000001</v>
      </c>
      <c r="N206" s="107">
        <v>86.8</v>
      </c>
      <c r="O206" s="107">
        <v>0.58250000000000002</v>
      </c>
      <c r="R206" s="5">
        <v>53.5</v>
      </c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</row>
    <row r="207" spans="1:50" x14ac:dyDescent="0.2">
      <c r="A207" s="198" t="s">
        <v>300</v>
      </c>
      <c r="B207" s="198" t="s">
        <v>299</v>
      </c>
      <c r="C207" s="199" t="s">
        <v>301</v>
      </c>
      <c r="D207" s="199" t="s">
        <v>25</v>
      </c>
      <c r="E207" s="199" t="s">
        <v>46</v>
      </c>
      <c r="F207" s="199" t="s">
        <v>782</v>
      </c>
      <c r="G207" s="199"/>
      <c r="H207" s="199" t="s">
        <v>91</v>
      </c>
      <c r="I207" s="142"/>
      <c r="J207" s="200">
        <v>94</v>
      </c>
      <c r="K207" s="200">
        <v>1.3</v>
      </c>
      <c r="L207" s="200">
        <v>69</v>
      </c>
      <c r="M207" s="200">
        <v>1.1000000000000001</v>
      </c>
      <c r="N207" s="200">
        <v>21.35</v>
      </c>
      <c r="O207" s="200">
        <v>0.17</v>
      </c>
      <c r="P207" s="200">
        <v>0.01</v>
      </c>
      <c r="Q207" s="200">
        <v>68</v>
      </c>
      <c r="R207" s="200">
        <v>1.67</v>
      </c>
      <c r="S207" s="200"/>
      <c r="T207" s="200"/>
      <c r="U207" s="5"/>
      <c r="V207" s="5"/>
      <c r="W207" s="200"/>
      <c r="X207" s="200"/>
      <c r="Y207" s="200"/>
      <c r="Z207" s="200"/>
      <c r="AA207" s="200"/>
      <c r="AB207" s="200"/>
      <c r="AC207" s="200"/>
      <c r="AD207" s="200"/>
      <c r="AE207" s="200"/>
      <c r="AF207" s="200"/>
      <c r="AG207" s="200"/>
      <c r="AH207" s="200"/>
      <c r="AI207" s="200"/>
      <c r="AJ207" s="200"/>
      <c r="AK207" s="200"/>
      <c r="AL207" s="200"/>
      <c r="AM207" s="200"/>
      <c r="AN207" s="200"/>
      <c r="AO207" s="200"/>
      <c r="AP207" s="200"/>
      <c r="AQ207" s="201"/>
      <c r="AR207" s="201"/>
      <c r="AS207" s="201"/>
      <c r="AT207" s="201"/>
      <c r="AU207" s="142"/>
      <c r="AV207" s="142"/>
      <c r="AW207" s="142"/>
      <c r="AX207" s="142"/>
    </row>
    <row r="208" spans="1:50" x14ac:dyDescent="0.2">
      <c r="A208" s="104" t="s">
        <v>307</v>
      </c>
      <c r="B208" s="104" t="s">
        <v>308</v>
      </c>
      <c r="C208" s="105" t="s">
        <v>68</v>
      </c>
      <c r="D208" s="105" t="s">
        <v>31</v>
      </c>
      <c r="E208" s="105" t="s">
        <v>46</v>
      </c>
      <c r="F208" s="105" t="s">
        <v>782</v>
      </c>
      <c r="H208" s="105" t="s">
        <v>33</v>
      </c>
      <c r="J208" s="5">
        <v>86</v>
      </c>
      <c r="K208" s="5">
        <v>1.5</v>
      </c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</row>
    <row r="209" spans="1:42" x14ac:dyDescent="0.2">
      <c r="A209" s="104" t="s">
        <v>312</v>
      </c>
      <c r="B209" s="104" t="s">
        <v>313</v>
      </c>
      <c r="C209" s="105" t="s">
        <v>314</v>
      </c>
      <c r="D209" s="105" t="s">
        <v>31</v>
      </c>
      <c r="E209" s="105" t="s">
        <v>46</v>
      </c>
      <c r="F209" s="105" t="s">
        <v>782</v>
      </c>
      <c r="H209" s="105" t="s">
        <v>33</v>
      </c>
      <c r="K209" s="5">
        <v>1.7</v>
      </c>
      <c r="L209" s="107">
        <v>464</v>
      </c>
      <c r="M209" s="107">
        <v>2.13</v>
      </c>
      <c r="P209" s="107">
        <v>0.73134328358208955</v>
      </c>
      <c r="Q209" s="5">
        <v>34</v>
      </c>
      <c r="R209" s="5">
        <v>42</v>
      </c>
      <c r="S209" s="109">
        <v>5.0999999999999996</v>
      </c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</row>
    <row r="210" spans="1:42" x14ac:dyDescent="0.2">
      <c r="A210" s="104" t="s">
        <v>775</v>
      </c>
      <c r="B210" s="104" t="s">
        <v>776</v>
      </c>
      <c r="C210" s="105" t="s">
        <v>871</v>
      </c>
      <c r="D210" s="105" t="s">
        <v>31</v>
      </c>
      <c r="E210" s="105" t="s">
        <v>46</v>
      </c>
      <c r="F210" s="105" t="s">
        <v>782</v>
      </c>
      <c r="H210" s="105" t="s">
        <v>33</v>
      </c>
      <c r="P210" s="5">
        <v>0.2456268656716418</v>
      </c>
      <c r="R210" s="107">
        <v>144</v>
      </c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</row>
    <row r="211" spans="1:42" x14ac:dyDescent="0.2">
      <c r="A211" s="104" t="s">
        <v>319</v>
      </c>
      <c r="B211" s="104" t="s">
        <v>320</v>
      </c>
      <c r="C211" s="105" t="s">
        <v>322</v>
      </c>
      <c r="D211" s="105" t="s">
        <v>31</v>
      </c>
      <c r="E211" s="105" t="s">
        <v>46</v>
      </c>
      <c r="F211" s="105" t="s">
        <v>782</v>
      </c>
      <c r="H211" s="105" t="s">
        <v>33</v>
      </c>
      <c r="J211" s="5">
        <v>73</v>
      </c>
      <c r="K211" s="107">
        <v>5.85</v>
      </c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</row>
    <row r="212" spans="1:42" x14ac:dyDescent="0.2">
      <c r="A212" s="104" t="s">
        <v>325</v>
      </c>
      <c r="B212" s="104" t="s">
        <v>326</v>
      </c>
      <c r="C212" s="105" t="s">
        <v>873</v>
      </c>
      <c r="D212" s="105" t="s">
        <v>31</v>
      </c>
      <c r="E212" s="105" t="s">
        <v>46</v>
      </c>
      <c r="F212" s="105" t="s">
        <v>782</v>
      </c>
      <c r="G212" s="105" t="s">
        <v>71</v>
      </c>
      <c r="H212" s="105" t="s">
        <v>33</v>
      </c>
      <c r="J212" s="5">
        <v>92.2</v>
      </c>
      <c r="K212" s="5">
        <v>1.3</v>
      </c>
      <c r="M212" s="109">
        <v>5.6</v>
      </c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</row>
    <row r="213" spans="1:42" x14ac:dyDescent="0.2">
      <c r="A213" s="104" t="s">
        <v>327</v>
      </c>
      <c r="B213" s="104" t="s">
        <v>328</v>
      </c>
      <c r="C213" s="105" t="s">
        <v>329</v>
      </c>
      <c r="D213" s="105" t="s">
        <v>31</v>
      </c>
      <c r="E213" s="105" t="s">
        <v>46</v>
      </c>
      <c r="F213" s="105" t="s">
        <v>782</v>
      </c>
      <c r="H213" s="105" t="s">
        <v>33</v>
      </c>
      <c r="J213" s="5">
        <v>82.7</v>
      </c>
      <c r="K213" s="108">
        <v>3.5250000000000004</v>
      </c>
      <c r="L213" s="108">
        <v>163.6</v>
      </c>
      <c r="M213" s="108">
        <v>1.6800000000000002</v>
      </c>
      <c r="N213" s="107">
        <v>85.666666666666671</v>
      </c>
      <c r="O213" s="109">
        <v>1.6800000000000002</v>
      </c>
      <c r="P213" s="5">
        <v>6.430000000000001E-2</v>
      </c>
      <c r="Q213" s="5">
        <v>112</v>
      </c>
      <c r="R213" s="107">
        <v>147.06666666666666</v>
      </c>
      <c r="S213" s="5">
        <v>0</v>
      </c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</row>
    <row r="214" spans="1:42" x14ac:dyDescent="0.2">
      <c r="A214" s="104" t="s">
        <v>335</v>
      </c>
      <c r="B214" s="104" t="s">
        <v>336</v>
      </c>
      <c r="C214" s="105" t="s">
        <v>337</v>
      </c>
      <c r="D214" s="105" t="s">
        <v>31</v>
      </c>
      <c r="E214" s="105" t="s">
        <v>46</v>
      </c>
      <c r="F214" s="105" t="s">
        <v>782</v>
      </c>
      <c r="G214" s="105" t="s">
        <v>71</v>
      </c>
      <c r="H214" s="105" t="s">
        <v>33</v>
      </c>
      <c r="J214" s="5">
        <v>86</v>
      </c>
      <c r="K214" s="5">
        <v>2.0020000000000002</v>
      </c>
      <c r="L214" s="107">
        <v>294.99470000000002</v>
      </c>
      <c r="M214" s="109">
        <v>5.7057000000000002</v>
      </c>
      <c r="P214" s="5">
        <v>0.27666666666666667</v>
      </c>
      <c r="R214" s="5">
        <v>27.999400000000005</v>
      </c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</row>
    <row r="215" spans="1:42" x14ac:dyDescent="0.2">
      <c r="A215" s="104" t="s">
        <v>335</v>
      </c>
      <c r="B215" s="104" t="s">
        <v>725</v>
      </c>
      <c r="C215" s="105" t="s">
        <v>875</v>
      </c>
      <c r="D215" s="105" t="s">
        <v>31</v>
      </c>
      <c r="E215" s="105" t="s">
        <v>46</v>
      </c>
      <c r="F215" s="105" t="s">
        <v>782</v>
      </c>
      <c r="H215" s="105" t="s">
        <v>33</v>
      </c>
      <c r="J215" s="5">
        <v>88.7</v>
      </c>
      <c r="K215" s="5">
        <v>2.1</v>
      </c>
      <c r="L215" s="5">
        <v>37</v>
      </c>
      <c r="M215" s="5">
        <v>0.6</v>
      </c>
      <c r="N215" s="5">
        <v>22</v>
      </c>
      <c r="R215" s="5">
        <v>2</v>
      </c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</row>
    <row r="216" spans="1:42" x14ac:dyDescent="0.2">
      <c r="A216" s="104" t="s">
        <v>710</v>
      </c>
      <c r="B216" s="104" t="s">
        <v>711</v>
      </c>
      <c r="C216" s="105" t="s">
        <v>876</v>
      </c>
      <c r="D216" s="105" t="s">
        <v>31</v>
      </c>
      <c r="E216" s="105" t="s">
        <v>46</v>
      </c>
      <c r="F216" s="105" t="s">
        <v>782</v>
      </c>
      <c r="H216" s="105" t="s">
        <v>33</v>
      </c>
      <c r="J216" s="5">
        <v>95.3</v>
      </c>
      <c r="K216" s="5">
        <v>0.5</v>
      </c>
      <c r="L216" s="5">
        <v>63</v>
      </c>
      <c r="M216" s="5">
        <v>0.8</v>
      </c>
      <c r="R216" s="5">
        <v>3</v>
      </c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</row>
    <row r="217" spans="1:42" x14ac:dyDescent="0.2">
      <c r="A217" s="104" t="s">
        <v>356</v>
      </c>
      <c r="B217" s="104" t="s">
        <v>357</v>
      </c>
      <c r="C217" s="105" t="s">
        <v>360</v>
      </c>
      <c r="D217" s="105" t="s">
        <v>31</v>
      </c>
      <c r="E217" s="105" t="s">
        <v>46</v>
      </c>
      <c r="F217" s="105" t="s">
        <v>782</v>
      </c>
      <c r="H217" s="105" t="s">
        <v>33</v>
      </c>
      <c r="K217" s="5">
        <v>0.78333333333333333</v>
      </c>
      <c r="L217" s="5">
        <v>128.66666666666666</v>
      </c>
      <c r="M217" s="109">
        <v>4.2333333333333334</v>
      </c>
      <c r="O217" s="5">
        <v>0.06</v>
      </c>
      <c r="P217" s="5">
        <v>0.31509121061359863</v>
      </c>
      <c r="R217" s="5">
        <v>13.666666666666666</v>
      </c>
      <c r="S217" s="5">
        <v>0.52</v>
      </c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</row>
    <row r="218" spans="1:42" x14ac:dyDescent="0.2">
      <c r="A218" s="104" t="s">
        <v>731</v>
      </c>
      <c r="B218" s="104" t="s">
        <v>732</v>
      </c>
      <c r="C218" s="105" t="s">
        <v>734</v>
      </c>
      <c r="D218" s="105" t="s">
        <v>31</v>
      </c>
      <c r="E218" s="105" t="s">
        <v>46</v>
      </c>
      <c r="F218" s="105" t="s">
        <v>782</v>
      </c>
      <c r="H218" s="105" t="s">
        <v>733</v>
      </c>
      <c r="J218" s="5">
        <v>95</v>
      </c>
      <c r="K218" s="5">
        <v>1.1499999999999999</v>
      </c>
      <c r="L218" s="5">
        <v>26.5</v>
      </c>
      <c r="M218" s="5">
        <v>0.2</v>
      </c>
      <c r="N218" s="5">
        <v>11</v>
      </c>
      <c r="O218" s="5">
        <v>0.4</v>
      </c>
      <c r="Q218" s="5">
        <v>16.100000000000001</v>
      </c>
      <c r="R218" s="5">
        <v>3.5</v>
      </c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</row>
    <row r="219" spans="1:42" x14ac:dyDescent="0.2">
      <c r="A219" s="104" t="s">
        <v>713</v>
      </c>
      <c r="B219" s="104" t="s">
        <v>716</v>
      </c>
      <c r="C219" s="105" t="s">
        <v>877</v>
      </c>
      <c r="D219" s="105" t="s">
        <v>31</v>
      </c>
      <c r="E219" s="105" t="s">
        <v>46</v>
      </c>
      <c r="F219" s="105" t="s">
        <v>782</v>
      </c>
      <c r="H219" s="105" t="s">
        <v>33</v>
      </c>
      <c r="J219" s="5">
        <v>84.4</v>
      </c>
      <c r="L219" s="107">
        <v>312.00000000000006</v>
      </c>
      <c r="M219" s="5">
        <v>0.78000000000000014</v>
      </c>
      <c r="N219" s="5">
        <v>8.8296000000000028</v>
      </c>
      <c r="O219" s="109">
        <v>3.5880000000000005</v>
      </c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</row>
    <row r="220" spans="1:42" x14ac:dyDescent="0.2">
      <c r="A220" s="104" t="s">
        <v>713</v>
      </c>
      <c r="B220" s="104" t="s">
        <v>714</v>
      </c>
      <c r="C220" s="105" t="s">
        <v>877</v>
      </c>
      <c r="D220" s="105" t="s">
        <v>31</v>
      </c>
      <c r="E220" s="105" t="s">
        <v>46</v>
      </c>
      <c r="F220" s="105" t="s">
        <v>782</v>
      </c>
      <c r="H220" s="105" t="s">
        <v>33</v>
      </c>
      <c r="J220" s="5">
        <v>84.4</v>
      </c>
      <c r="L220" s="107">
        <v>304.20000000000005</v>
      </c>
      <c r="M220" s="5">
        <v>0.55380000000000007</v>
      </c>
      <c r="N220" s="5">
        <v>8.9388000000000005</v>
      </c>
      <c r="O220" s="109">
        <v>3.7440000000000007</v>
      </c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</row>
    <row r="221" spans="1:42" x14ac:dyDescent="0.2">
      <c r="A221" s="104" t="s">
        <v>713</v>
      </c>
      <c r="B221" s="104" t="s">
        <v>717</v>
      </c>
      <c r="C221" s="105" t="s">
        <v>877</v>
      </c>
      <c r="D221" s="105" t="s">
        <v>31</v>
      </c>
      <c r="E221" s="105" t="s">
        <v>46</v>
      </c>
      <c r="F221" s="105" t="s">
        <v>782</v>
      </c>
      <c r="H221" s="105" t="s">
        <v>33</v>
      </c>
      <c r="J221" s="5">
        <v>84.4</v>
      </c>
      <c r="L221" s="107">
        <v>342.5</v>
      </c>
      <c r="M221" s="107">
        <v>2.27</v>
      </c>
      <c r="N221" s="5">
        <v>9.43</v>
      </c>
      <c r="O221" s="109">
        <v>4.2050000000000001</v>
      </c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</row>
    <row r="222" spans="1:42" x14ac:dyDescent="0.2">
      <c r="A222" s="104" t="s">
        <v>368</v>
      </c>
      <c r="B222" s="104" t="s">
        <v>94</v>
      </c>
      <c r="C222" s="105" t="s">
        <v>369</v>
      </c>
      <c r="D222" s="105" t="s">
        <v>31</v>
      </c>
      <c r="E222" s="105" t="s">
        <v>46</v>
      </c>
      <c r="F222" s="105" t="s">
        <v>782</v>
      </c>
      <c r="H222" s="105" t="s">
        <v>33</v>
      </c>
      <c r="J222" s="5" t="s">
        <v>0</v>
      </c>
      <c r="K222" s="5">
        <v>2.0299999999999998</v>
      </c>
      <c r="L222" s="108">
        <v>184.33333333333334</v>
      </c>
      <c r="M222" s="107">
        <v>3.9633333333333334</v>
      </c>
      <c r="O222" s="5">
        <v>0.39</v>
      </c>
      <c r="P222" s="107">
        <v>0.65892758430071863</v>
      </c>
      <c r="Q222" s="5">
        <v>22</v>
      </c>
      <c r="R222" s="5">
        <v>71.333333333333329</v>
      </c>
      <c r="S222" s="107">
        <v>3.21</v>
      </c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</row>
    <row r="223" spans="1:42" x14ac:dyDescent="0.2">
      <c r="A223" s="104" t="s">
        <v>370</v>
      </c>
      <c r="B223" s="104" t="s">
        <v>371</v>
      </c>
      <c r="C223" s="105" t="s">
        <v>373</v>
      </c>
      <c r="D223" s="105" t="s">
        <v>25</v>
      </c>
      <c r="E223" s="105" t="s">
        <v>46</v>
      </c>
      <c r="F223" s="105" t="s">
        <v>782</v>
      </c>
      <c r="G223" s="105" t="s">
        <v>71</v>
      </c>
      <c r="H223" s="105" t="s">
        <v>33</v>
      </c>
      <c r="J223" s="5">
        <v>89.52500000000002</v>
      </c>
      <c r="K223" s="5">
        <v>1.2421499999999999</v>
      </c>
      <c r="L223" s="5">
        <v>126.73543571428571</v>
      </c>
      <c r="M223" s="107">
        <v>3.6589916666666671</v>
      </c>
      <c r="N223" s="5">
        <v>60</v>
      </c>
      <c r="O223" s="5">
        <v>0.42125000000000001</v>
      </c>
      <c r="P223" s="5">
        <v>0.33588946793808733</v>
      </c>
      <c r="Q223" s="5">
        <v>29.666666666666668</v>
      </c>
      <c r="R223" s="5">
        <v>48.160806666666666</v>
      </c>
      <c r="S223" s="108">
        <v>1.4387500000000002</v>
      </c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</row>
    <row r="224" spans="1:42" x14ac:dyDescent="0.2">
      <c r="A224" s="104" t="s">
        <v>370</v>
      </c>
      <c r="B224" s="104" t="s">
        <v>374</v>
      </c>
      <c r="C224" s="105" t="s">
        <v>375</v>
      </c>
      <c r="D224" s="105" t="s">
        <v>25</v>
      </c>
      <c r="E224" s="105" t="s">
        <v>46</v>
      </c>
      <c r="F224" s="105" t="s">
        <v>782</v>
      </c>
      <c r="H224" s="105" t="s">
        <v>33</v>
      </c>
      <c r="J224" s="5">
        <v>86.7</v>
      </c>
      <c r="K224" s="5">
        <v>1.6890750000000001</v>
      </c>
      <c r="L224" s="5">
        <v>124.41626666666667</v>
      </c>
      <c r="M224" s="107">
        <v>2.3142714285714283</v>
      </c>
      <c r="N224" s="5">
        <v>55.333333333333336</v>
      </c>
      <c r="O224" s="5">
        <v>0.38166666666666665</v>
      </c>
      <c r="P224" s="5">
        <v>0.36125286661928452</v>
      </c>
      <c r="Q224" s="5">
        <v>47.666666666666664</v>
      </c>
      <c r="R224" s="5">
        <v>29.923576923076926</v>
      </c>
      <c r="S224" s="108">
        <v>1.6557142857142859</v>
      </c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</row>
    <row r="225" spans="1:42" x14ac:dyDescent="0.2">
      <c r="A225" s="104" t="s">
        <v>379</v>
      </c>
      <c r="B225" s="104" t="s">
        <v>380</v>
      </c>
      <c r="C225" s="105" t="s">
        <v>381</v>
      </c>
      <c r="D225" s="105" t="s">
        <v>31</v>
      </c>
      <c r="E225" s="105" t="s">
        <v>46</v>
      </c>
      <c r="F225" s="105" t="s">
        <v>782</v>
      </c>
      <c r="H225" s="105" t="s">
        <v>33</v>
      </c>
      <c r="J225" s="5">
        <v>91.1</v>
      </c>
      <c r="R225" s="5">
        <v>11</v>
      </c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</row>
    <row r="226" spans="1:42" x14ac:dyDescent="0.2">
      <c r="A226" s="104" t="s">
        <v>708</v>
      </c>
      <c r="B226" s="104" t="s">
        <v>203</v>
      </c>
      <c r="C226" s="105" t="s">
        <v>709</v>
      </c>
      <c r="D226" s="105" t="s">
        <v>31</v>
      </c>
      <c r="E226" s="105" t="s">
        <v>46</v>
      </c>
      <c r="F226" s="105" t="s">
        <v>782</v>
      </c>
      <c r="H226" s="105" t="s">
        <v>33</v>
      </c>
      <c r="J226" s="5">
        <v>88</v>
      </c>
      <c r="K226" s="107">
        <v>4.7</v>
      </c>
      <c r="L226" s="5">
        <v>88.5</v>
      </c>
      <c r="M226" s="107">
        <v>3.05</v>
      </c>
      <c r="N226" s="5">
        <v>28</v>
      </c>
      <c r="O226" s="107">
        <v>0.78499999999999992</v>
      </c>
      <c r="P226" s="5">
        <v>0.17</v>
      </c>
      <c r="Q226" s="108">
        <v>170</v>
      </c>
      <c r="R226" s="5">
        <v>34</v>
      </c>
      <c r="S226" s="108">
        <v>2.46</v>
      </c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</row>
    <row r="227" spans="1:42" x14ac:dyDescent="0.2">
      <c r="A227" s="104" t="s">
        <v>394</v>
      </c>
      <c r="B227" s="104" t="s">
        <v>395</v>
      </c>
      <c r="C227" s="105" t="s">
        <v>396</v>
      </c>
      <c r="D227" s="105" t="s">
        <v>31</v>
      </c>
      <c r="E227" s="105" t="s">
        <v>46</v>
      </c>
      <c r="F227" s="105" t="s">
        <v>782</v>
      </c>
      <c r="H227" s="105" t="s">
        <v>33</v>
      </c>
      <c r="J227" s="5">
        <v>93</v>
      </c>
      <c r="L227" s="5">
        <v>141.99759999999989</v>
      </c>
      <c r="P227" s="5">
        <v>9.3333333333333324E-2</v>
      </c>
      <c r="R227" s="5">
        <v>4.9979999999999967</v>
      </c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</row>
    <row r="228" spans="1:42" x14ac:dyDescent="0.2">
      <c r="A228" s="104" t="s">
        <v>394</v>
      </c>
      <c r="B228" s="104" t="s">
        <v>79</v>
      </c>
      <c r="C228" s="105" t="s">
        <v>396</v>
      </c>
      <c r="D228" s="105" t="s">
        <v>31</v>
      </c>
      <c r="E228" s="105" t="s">
        <v>46</v>
      </c>
      <c r="F228" s="105" t="s">
        <v>782</v>
      </c>
      <c r="G228" s="105" t="s">
        <v>71</v>
      </c>
      <c r="H228" s="105" t="s">
        <v>33</v>
      </c>
      <c r="J228" s="5">
        <v>94.4</v>
      </c>
      <c r="K228" s="5">
        <v>0.73</v>
      </c>
      <c r="L228" s="5">
        <v>113.68</v>
      </c>
      <c r="M228" s="109">
        <v>30.27</v>
      </c>
      <c r="O228" s="107">
        <v>0.94</v>
      </c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</row>
    <row r="229" spans="1:42" x14ac:dyDescent="0.2">
      <c r="A229" s="104" t="s">
        <v>405</v>
      </c>
      <c r="B229" s="104" t="s">
        <v>406</v>
      </c>
      <c r="C229" s="105" t="s">
        <v>407</v>
      </c>
      <c r="D229" s="105" t="s">
        <v>31</v>
      </c>
      <c r="E229" s="105" t="s">
        <v>46</v>
      </c>
      <c r="F229" s="105" t="s">
        <v>782</v>
      </c>
      <c r="G229" s="105" t="s">
        <v>71</v>
      </c>
      <c r="H229" s="105" t="s">
        <v>183</v>
      </c>
      <c r="K229" s="5">
        <v>2.0699999999999998</v>
      </c>
      <c r="L229" s="107">
        <v>273</v>
      </c>
      <c r="M229" s="5">
        <v>0.88</v>
      </c>
      <c r="O229" s="5">
        <v>0.33</v>
      </c>
      <c r="P229" s="108">
        <v>0.40132669983416247</v>
      </c>
      <c r="Q229" s="5">
        <v>14</v>
      </c>
      <c r="R229" s="5">
        <v>60</v>
      </c>
      <c r="S229" s="5">
        <v>0.89</v>
      </c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</row>
    <row r="230" spans="1:42" x14ac:dyDescent="0.2">
      <c r="A230" s="104" t="s">
        <v>408</v>
      </c>
      <c r="B230" s="104" t="s">
        <v>406</v>
      </c>
      <c r="C230" s="105" t="s">
        <v>407</v>
      </c>
      <c r="D230" s="105" t="s">
        <v>31</v>
      </c>
      <c r="E230" s="105" t="s">
        <v>46</v>
      </c>
      <c r="F230" s="105" t="s">
        <v>782</v>
      </c>
      <c r="G230" s="105" t="s">
        <v>71</v>
      </c>
      <c r="H230" s="105" t="s">
        <v>33</v>
      </c>
      <c r="J230" s="5">
        <v>90</v>
      </c>
      <c r="L230" s="5">
        <v>47.499999999999993</v>
      </c>
      <c r="M230" s="107">
        <v>3.1</v>
      </c>
      <c r="P230" s="5">
        <v>0.22999999999999998</v>
      </c>
      <c r="R230" s="5">
        <v>53.999999999999993</v>
      </c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</row>
    <row r="231" spans="1:42" x14ac:dyDescent="0.2">
      <c r="A231" s="104" t="s">
        <v>409</v>
      </c>
      <c r="B231" s="104" t="s">
        <v>410</v>
      </c>
      <c r="C231" s="105" t="s">
        <v>411</v>
      </c>
      <c r="D231" s="105" t="s">
        <v>31</v>
      </c>
      <c r="E231" s="105" t="s">
        <v>46</v>
      </c>
      <c r="F231" s="105" t="s">
        <v>782</v>
      </c>
      <c r="G231" s="105" t="s">
        <v>71</v>
      </c>
      <c r="H231" s="105" t="s">
        <v>33</v>
      </c>
      <c r="J231" s="5" t="s">
        <v>0</v>
      </c>
      <c r="K231" s="5">
        <v>1.8049999999999999</v>
      </c>
      <c r="L231" s="108">
        <v>224</v>
      </c>
      <c r="M231" s="109">
        <v>8.24</v>
      </c>
      <c r="O231" s="107">
        <v>0.76</v>
      </c>
      <c r="P231" s="5">
        <v>0.20149253731343281</v>
      </c>
      <c r="Q231" s="5">
        <v>11</v>
      </c>
      <c r="R231" s="5">
        <v>29</v>
      </c>
      <c r="S231" s="107">
        <v>3.74</v>
      </c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</row>
    <row r="232" spans="1:42" x14ac:dyDescent="0.2">
      <c r="A232" s="104" t="s">
        <v>422</v>
      </c>
      <c r="B232" s="104" t="s">
        <v>288</v>
      </c>
      <c r="C232" s="105" t="s">
        <v>423</v>
      </c>
      <c r="D232" s="105" t="s">
        <v>31</v>
      </c>
      <c r="E232" s="105" t="s">
        <v>46</v>
      </c>
      <c r="F232" s="105" t="s">
        <v>782</v>
      </c>
      <c r="H232" s="105" t="s">
        <v>33</v>
      </c>
      <c r="J232" s="4" t="str">
        <f>J231</f>
        <v xml:space="preserve"> </v>
      </c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</row>
    <row r="233" spans="1:42" x14ac:dyDescent="0.2">
      <c r="A233" s="104" t="s">
        <v>422</v>
      </c>
      <c r="B233" s="104" t="s">
        <v>424</v>
      </c>
      <c r="C233" s="105" t="s">
        <v>423</v>
      </c>
      <c r="D233" s="105" t="s">
        <v>25</v>
      </c>
      <c r="E233" s="105" t="s">
        <v>46</v>
      </c>
      <c r="F233" s="105" t="s">
        <v>782</v>
      </c>
      <c r="H233" s="105" t="s">
        <v>33</v>
      </c>
      <c r="J233" s="5">
        <v>85.65</v>
      </c>
      <c r="K233" s="5">
        <v>2.1844000000000001</v>
      </c>
      <c r="L233" s="108">
        <v>226.49939999999995</v>
      </c>
      <c r="M233" s="109">
        <v>5.299999999999998</v>
      </c>
      <c r="N233" s="108">
        <v>82</v>
      </c>
      <c r="O233" s="109">
        <v>2.2000000000000002</v>
      </c>
      <c r="P233" s="5">
        <v>0.1473888888888889</v>
      </c>
      <c r="R233" s="5">
        <v>75.33293333333333</v>
      </c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</row>
    <row r="234" spans="1:42" x14ac:dyDescent="0.2">
      <c r="A234" s="104" t="s">
        <v>438</v>
      </c>
      <c r="B234" s="104" t="s">
        <v>439</v>
      </c>
      <c r="C234" s="105" t="s">
        <v>440</v>
      </c>
      <c r="D234" s="105" t="s">
        <v>31</v>
      </c>
      <c r="E234" s="105" t="s">
        <v>46</v>
      </c>
      <c r="F234" s="105" t="s">
        <v>782</v>
      </c>
      <c r="H234" s="105" t="s">
        <v>33</v>
      </c>
      <c r="J234" s="5">
        <v>94</v>
      </c>
      <c r="L234" s="5">
        <v>90</v>
      </c>
      <c r="M234" s="5">
        <v>0.6</v>
      </c>
      <c r="P234" s="5">
        <v>0.1</v>
      </c>
      <c r="R234" s="5">
        <v>23</v>
      </c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</row>
    <row r="235" spans="1:42" x14ac:dyDescent="0.2">
      <c r="A235" s="104" t="s">
        <v>448</v>
      </c>
      <c r="B235" s="104" t="s">
        <v>449</v>
      </c>
      <c r="C235" s="105" t="s">
        <v>450</v>
      </c>
      <c r="D235" s="105" t="s">
        <v>31</v>
      </c>
      <c r="E235" s="105" t="s">
        <v>46</v>
      </c>
      <c r="F235" s="105" t="s">
        <v>782</v>
      </c>
      <c r="G235" s="105" t="s">
        <v>71</v>
      </c>
      <c r="H235" s="105" t="s">
        <v>33</v>
      </c>
      <c r="J235" s="5">
        <v>90.533333333333346</v>
      </c>
      <c r="K235" s="5">
        <v>1.8733333333333333</v>
      </c>
      <c r="L235" s="5">
        <v>79.5</v>
      </c>
      <c r="M235" s="107">
        <v>3.1100000000000008</v>
      </c>
      <c r="O235" s="107">
        <v>0.60000000000000009</v>
      </c>
      <c r="P235" s="107">
        <v>0.65926616915422886</v>
      </c>
      <c r="Q235" s="5">
        <v>36</v>
      </c>
      <c r="R235" s="5">
        <v>46.333333333333336</v>
      </c>
      <c r="S235" s="107">
        <v>3.7366666666666664</v>
      </c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</row>
    <row r="236" spans="1:42" x14ac:dyDescent="0.2">
      <c r="A236" s="104" t="s">
        <v>464</v>
      </c>
      <c r="B236" s="104" t="s">
        <v>466</v>
      </c>
      <c r="C236" s="105" t="s">
        <v>467</v>
      </c>
      <c r="D236" s="105" t="s">
        <v>25</v>
      </c>
      <c r="E236" s="105" t="s">
        <v>46</v>
      </c>
      <c r="F236" s="105" t="s">
        <v>782</v>
      </c>
      <c r="G236" s="105" t="s">
        <v>71</v>
      </c>
      <c r="H236" s="105" t="s">
        <v>33</v>
      </c>
      <c r="J236" s="5">
        <v>92.960999999999999</v>
      </c>
      <c r="K236" s="5">
        <v>0.92139999999999989</v>
      </c>
      <c r="L236" s="5">
        <v>141.93904999999998</v>
      </c>
      <c r="M236" s="108">
        <v>1.7313454545454545</v>
      </c>
      <c r="N236" s="5">
        <v>20.25</v>
      </c>
      <c r="O236" s="107">
        <v>0.59500000000000008</v>
      </c>
      <c r="P236" s="5">
        <v>0.2190030661088497</v>
      </c>
      <c r="Q236" s="5">
        <v>9</v>
      </c>
      <c r="R236" s="5">
        <v>60.318579999999997</v>
      </c>
      <c r="S236" s="5">
        <v>1</v>
      </c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</row>
    <row r="237" spans="1:42" x14ac:dyDescent="0.2">
      <c r="A237" s="104" t="s">
        <v>468</v>
      </c>
      <c r="B237" s="104" t="s">
        <v>45</v>
      </c>
      <c r="C237" s="105" t="s">
        <v>469</v>
      </c>
      <c r="D237" s="105" t="s">
        <v>31</v>
      </c>
      <c r="E237" s="105" t="s">
        <v>46</v>
      </c>
      <c r="F237" s="105" t="s">
        <v>782</v>
      </c>
      <c r="G237" s="105" t="s">
        <v>71</v>
      </c>
      <c r="H237" s="105" t="s">
        <v>33</v>
      </c>
      <c r="J237" s="5">
        <v>87.75</v>
      </c>
      <c r="K237" s="107">
        <v>3.9300000000000006</v>
      </c>
      <c r="L237" s="108">
        <v>162.001</v>
      </c>
      <c r="M237" s="107">
        <v>3.6150000000000002</v>
      </c>
      <c r="N237" s="5">
        <v>53.4</v>
      </c>
      <c r="O237" s="107">
        <v>0.67500000000000004</v>
      </c>
      <c r="P237" s="5">
        <v>0.27700000000000002</v>
      </c>
      <c r="Q237" s="5">
        <v>119</v>
      </c>
      <c r="R237" s="5">
        <v>13.030249999999999</v>
      </c>
      <c r="S237" s="5">
        <v>1.33</v>
      </c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</row>
    <row r="238" spans="1:42" x14ac:dyDescent="0.2">
      <c r="A238" s="104" t="s">
        <v>472</v>
      </c>
      <c r="B238" s="104" t="s">
        <v>471</v>
      </c>
      <c r="C238" s="105" t="s">
        <v>473</v>
      </c>
      <c r="D238" s="105" t="s">
        <v>31</v>
      </c>
      <c r="E238" s="105" t="s">
        <v>46</v>
      </c>
      <c r="F238" s="105" t="s">
        <v>782</v>
      </c>
      <c r="G238" s="105" t="s">
        <v>71</v>
      </c>
      <c r="H238" s="105" t="s">
        <v>33</v>
      </c>
      <c r="J238" s="5">
        <v>90.88</v>
      </c>
      <c r="K238" s="5">
        <v>1.2676000000000001</v>
      </c>
      <c r="L238" s="5">
        <v>144.99962857142856</v>
      </c>
      <c r="M238" s="107">
        <v>3.4097666666666666</v>
      </c>
      <c r="N238" s="5">
        <v>55.1</v>
      </c>
      <c r="O238" s="108">
        <v>0.53333333333333333</v>
      </c>
      <c r="P238" s="108">
        <v>0.48011919568822553</v>
      </c>
      <c r="Q238" s="5">
        <v>118</v>
      </c>
      <c r="R238" s="5">
        <v>29.652371428571428</v>
      </c>
      <c r="S238" s="5">
        <v>0.99</v>
      </c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</row>
    <row r="239" spans="1:42" x14ac:dyDescent="0.2">
      <c r="A239" s="104" t="s">
        <v>487</v>
      </c>
      <c r="B239" s="104" t="s">
        <v>488</v>
      </c>
      <c r="C239" s="105" t="s">
        <v>489</v>
      </c>
      <c r="D239" s="105" t="s">
        <v>31</v>
      </c>
      <c r="E239" s="105" t="s">
        <v>46</v>
      </c>
      <c r="F239" s="105" t="s">
        <v>782</v>
      </c>
      <c r="H239" s="105" t="s">
        <v>33</v>
      </c>
      <c r="J239" s="5">
        <v>87</v>
      </c>
      <c r="L239" s="5">
        <v>116</v>
      </c>
      <c r="M239" s="107">
        <v>3.2</v>
      </c>
      <c r="N239" s="108">
        <v>75</v>
      </c>
      <c r="O239" s="107">
        <v>0.6</v>
      </c>
      <c r="P239" s="108">
        <v>0.44500000000000001</v>
      </c>
      <c r="R239" s="5">
        <v>40.784999999999997</v>
      </c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</row>
    <row r="240" spans="1:42" x14ac:dyDescent="0.2">
      <c r="A240" s="21" t="s">
        <v>927</v>
      </c>
      <c r="B240" s="21" t="s">
        <v>928</v>
      </c>
      <c r="C240" s="22" t="s">
        <v>1003</v>
      </c>
      <c r="D240" s="22" t="s">
        <v>31</v>
      </c>
      <c r="E240" s="22" t="s">
        <v>46</v>
      </c>
      <c r="F240" s="110" t="s">
        <v>782</v>
      </c>
      <c r="G240" s="22"/>
      <c r="H240" s="22" t="s">
        <v>33</v>
      </c>
      <c r="J240" s="5">
        <v>84.5</v>
      </c>
      <c r="K240" s="107">
        <v>4.37</v>
      </c>
      <c r="L240" s="5">
        <v>130</v>
      </c>
      <c r="M240" s="109">
        <v>7.23</v>
      </c>
      <c r="N240" s="107">
        <v>160</v>
      </c>
      <c r="O240" s="107">
        <v>0.96</v>
      </c>
      <c r="Q240" s="107">
        <v>287</v>
      </c>
      <c r="R240" s="5">
        <v>22.4</v>
      </c>
      <c r="S240" s="5">
        <v>0.89</v>
      </c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</row>
    <row r="241" spans="1:50" x14ac:dyDescent="0.2">
      <c r="A241" s="104" t="s">
        <v>521</v>
      </c>
      <c r="B241" s="104" t="s">
        <v>522</v>
      </c>
      <c r="C241" s="105" t="s">
        <v>523</v>
      </c>
      <c r="D241" s="105" t="s">
        <v>31</v>
      </c>
      <c r="E241" s="105" t="s">
        <v>46</v>
      </c>
      <c r="F241" s="105" t="s">
        <v>782</v>
      </c>
      <c r="H241" s="105" t="s">
        <v>33</v>
      </c>
      <c r="J241" s="5">
        <v>70</v>
      </c>
      <c r="K241" s="107">
        <v>4.6055000000000001</v>
      </c>
      <c r="L241" s="107">
        <v>601.00250000000005</v>
      </c>
      <c r="M241" s="109">
        <v>7.5945000000000009</v>
      </c>
      <c r="P241" s="108">
        <v>0.4408333333333333</v>
      </c>
      <c r="R241" s="5">
        <v>10.004000000000001</v>
      </c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</row>
    <row r="242" spans="1:50" x14ac:dyDescent="0.2">
      <c r="A242" s="104" t="s">
        <v>527</v>
      </c>
      <c r="B242" s="104" t="s">
        <v>528</v>
      </c>
      <c r="C242" s="105" t="s">
        <v>529</v>
      </c>
      <c r="D242" s="105" t="s">
        <v>31</v>
      </c>
      <c r="E242" s="105" t="s">
        <v>46</v>
      </c>
      <c r="F242" s="105" t="s">
        <v>782</v>
      </c>
      <c r="H242" s="105" t="s">
        <v>33</v>
      </c>
      <c r="J242" s="5">
        <v>82.100000000000009</v>
      </c>
      <c r="L242" s="107">
        <v>259.99706666666668</v>
      </c>
      <c r="M242" s="107">
        <v>2.2363333333333335</v>
      </c>
      <c r="P242" s="5">
        <v>0.21</v>
      </c>
      <c r="R242" s="5">
        <v>34.666000000000004</v>
      </c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</row>
    <row r="243" spans="1:50" x14ac:dyDescent="0.2">
      <c r="A243" s="104" t="s">
        <v>530</v>
      </c>
      <c r="B243" s="104" t="s">
        <v>203</v>
      </c>
      <c r="C243" s="105" t="s">
        <v>531</v>
      </c>
      <c r="D243" s="105" t="s">
        <v>31</v>
      </c>
      <c r="E243" s="105" t="s">
        <v>46</v>
      </c>
      <c r="F243" s="105" t="s">
        <v>782</v>
      </c>
      <c r="H243" s="105" t="s">
        <v>33</v>
      </c>
      <c r="J243" s="5">
        <v>86</v>
      </c>
      <c r="L243" s="5">
        <v>152.5</v>
      </c>
      <c r="M243" s="109">
        <v>5.8</v>
      </c>
      <c r="P243" s="5">
        <v>0.19900000000000001</v>
      </c>
      <c r="R243" s="5">
        <v>19</v>
      </c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</row>
    <row r="244" spans="1:50" x14ac:dyDescent="0.2">
      <c r="A244" s="104" t="s">
        <v>532</v>
      </c>
      <c r="B244" s="104" t="s">
        <v>533</v>
      </c>
      <c r="C244" s="105" t="s">
        <v>534</v>
      </c>
      <c r="D244" s="105" t="s">
        <v>31</v>
      </c>
      <c r="E244" s="105" t="s">
        <v>46</v>
      </c>
      <c r="F244" s="105" t="s">
        <v>782</v>
      </c>
      <c r="H244" s="105" t="s">
        <v>33</v>
      </c>
      <c r="J244" s="5">
        <v>85</v>
      </c>
      <c r="K244" s="5" t="s">
        <v>0</v>
      </c>
      <c r="L244" s="5">
        <v>111</v>
      </c>
      <c r="M244" s="107">
        <v>3.15</v>
      </c>
      <c r="N244" s="5">
        <v>61.5</v>
      </c>
      <c r="O244" s="109">
        <v>1.2</v>
      </c>
      <c r="P244" s="5">
        <v>0</v>
      </c>
      <c r="R244" s="107">
        <v>167.5</v>
      </c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</row>
    <row r="245" spans="1:50" x14ac:dyDescent="0.2">
      <c r="A245" s="198" t="s">
        <v>551</v>
      </c>
      <c r="B245" s="198" t="s">
        <v>465</v>
      </c>
      <c r="C245" s="199" t="s">
        <v>552</v>
      </c>
      <c r="D245" s="199" t="s">
        <v>31</v>
      </c>
      <c r="E245" s="199" t="s">
        <v>46</v>
      </c>
      <c r="F245" s="199" t="s">
        <v>782</v>
      </c>
      <c r="G245" s="199"/>
      <c r="H245" s="199" t="s">
        <v>91</v>
      </c>
      <c r="I245" s="142"/>
      <c r="J245" s="200">
        <v>95</v>
      </c>
      <c r="K245" s="200">
        <v>0.7</v>
      </c>
      <c r="L245" s="200">
        <v>51</v>
      </c>
      <c r="M245" s="200">
        <v>0.5</v>
      </c>
      <c r="N245" s="200"/>
      <c r="O245" s="200"/>
      <c r="P245" s="200"/>
      <c r="Q245" s="200"/>
      <c r="R245" s="200">
        <v>10</v>
      </c>
      <c r="S245" s="200"/>
      <c r="T245" s="200"/>
      <c r="U245" s="5"/>
      <c r="V245" s="5"/>
      <c r="W245" s="200"/>
      <c r="X245" s="200"/>
      <c r="Y245" s="200"/>
      <c r="Z245" s="200"/>
      <c r="AA245" s="200"/>
      <c r="AB245" s="200"/>
      <c r="AC245" s="200"/>
      <c r="AD245" s="200"/>
      <c r="AE245" s="200"/>
      <c r="AF245" s="200"/>
      <c r="AG245" s="200"/>
      <c r="AH245" s="200"/>
      <c r="AI245" s="200"/>
      <c r="AJ245" s="200"/>
      <c r="AK245" s="200"/>
      <c r="AL245" s="200"/>
      <c r="AM245" s="200"/>
      <c r="AN245" s="200"/>
      <c r="AO245" s="200"/>
      <c r="AP245" s="200"/>
      <c r="AQ245" s="201"/>
      <c r="AR245" s="201"/>
      <c r="AS245" s="201"/>
      <c r="AT245" s="201"/>
      <c r="AU245" s="142"/>
      <c r="AV245" s="142"/>
      <c r="AW245" s="142"/>
      <c r="AX245" s="142"/>
    </row>
    <row r="246" spans="1:50" x14ac:dyDescent="0.2">
      <c r="A246" s="198" t="s">
        <v>551</v>
      </c>
      <c r="B246" s="198" t="s">
        <v>1088</v>
      </c>
      <c r="C246" s="199" t="s">
        <v>552</v>
      </c>
      <c r="D246" s="199" t="s">
        <v>31</v>
      </c>
      <c r="E246" s="199" t="s">
        <v>46</v>
      </c>
      <c r="F246" s="199" t="s">
        <v>782</v>
      </c>
      <c r="G246" s="199"/>
      <c r="H246" s="199" t="s">
        <v>91</v>
      </c>
      <c r="I246" s="142"/>
      <c r="J246" s="200">
        <v>93.67</v>
      </c>
      <c r="K246" s="200">
        <v>1.1399999999999999</v>
      </c>
      <c r="L246" s="200">
        <v>89.6</v>
      </c>
      <c r="M246" s="200">
        <v>0.67</v>
      </c>
      <c r="N246" s="200">
        <v>16</v>
      </c>
      <c r="O246" s="200"/>
      <c r="P246" s="200">
        <v>0</v>
      </c>
      <c r="Q246" s="200">
        <v>0</v>
      </c>
      <c r="R246" s="200">
        <v>11</v>
      </c>
      <c r="S246" s="200">
        <v>0.25</v>
      </c>
      <c r="T246" s="200"/>
      <c r="U246" s="5"/>
      <c r="V246" s="5"/>
      <c r="W246" s="200"/>
      <c r="X246" s="200"/>
      <c r="Y246" s="200"/>
      <c r="Z246" s="200"/>
      <c r="AA246" s="200"/>
      <c r="AB246" s="200"/>
      <c r="AC246" s="200"/>
      <c r="AD246" s="200"/>
      <c r="AE246" s="200"/>
      <c r="AF246" s="200"/>
      <c r="AG246" s="200"/>
      <c r="AH246" s="200"/>
      <c r="AI246" s="200"/>
      <c r="AJ246" s="200"/>
      <c r="AK246" s="200"/>
      <c r="AL246" s="200"/>
      <c r="AM246" s="200"/>
      <c r="AN246" s="200"/>
      <c r="AO246" s="200"/>
      <c r="AP246" s="200"/>
      <c r="AQ246" s="201"/>
      <c r="AR246" s="201"/>
      <c r="AS246" s="201"/>
      <c r="AT246" s="201"/>
      <c r="AU246" s="142"/>
      <c r="AV246" s="142"/>
      <c r="AW246" s="142"/>
      <c r="AX246" s="142"/>
    </row>
    <row r="247" spans="1:50" x14ac:dyDescent="0.2">
      <c r="A247" s="104" t="s">
        <v>553</v>
      </c>
      <c r="B247" s="104" t="s">
        <v>554</v>
      </c>
      <c r="C247" s="105" t="s">
        <v>555</v>
      </c>
      <c r="D247" s="105" t="s">
        <v>31</v>
      </c>
      <c r="E247" s="105" t="s">
        <v>46</v>
      </c>
      <c r="F247" s="105" t="s">
        <v>782</v>
      </c>
      <c r="H247" s="105" t="s">
        <v>33</v>
      </c>
      <c r="J247" s="5">
        <v>91</v>
      </c>
      <c r="K247" s="5">
        <v>1.0925</v>
      </c>
      <c r="L247" s="5">
        <v>53.75</v>
      </c>
      <c r="M247" s="5">
        <v>1.3149999999999999</v>
      </c>
      <c r="N247" s="108">
        <v>68</v>
      </c>
      <c r="O247" s="5">
        <v>0.41333333333333333</v>
      </c>
      <c r="P247" s="5">
        <v>0.13443891652846876</v>
      </c>
      <c r="Q247" s="5">
        <v>16</v>
      </c>
      <c r="R247" s="5">
        <v>53.75</v>
      </c>
      <c r="S247" s="5">
        <v>0.8</v>
      </c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</row>
    <row r="248" spans="1:50" x14ac:dyDescent="0.2">
      <c r="A248" s="104" t="s">
        <v>553</v>
      </c>
      <c r="B248" s="104" t="s">
        <v>556</v>
      </c>
      <c r="C248" s="105" t="s">
        <v>557</v>
      </c>
      <c r="D248" s="105" t="s">
        <v>31</v>
      </c>
      <c r="E248" s="105" t="s">
        <v>46</v>
      </c>
      <c r="F248" s="105" t="s">
        <v>782</v>
      </c>
      <c r="H248" s="105" t="s">
        <v>33</v>
      </c>
      <c r="J248" s="5">
        <v>88</v>
      </c>
      <c r="K248" s="5">
        <v>1.1000000000000001</v>
      </c>
      <c r="L248" s="5">
        <v>57</v>
      </c>
      <c r="M248" s="107">
        <v>2.2999999999999998</v>
      </c>
      <c r="N248" s="5">
        <v>31</v>
      </c>
      <c r="O248" s="109">
        <v>1.2</v>
      </c>
      <c r="P248" s="5">
        <v>0.28000000000000003</v>
      </c>
      <c r="R248" s="5">
        <v>33.5</v>
      </c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</row>
    <row r="249" spans="1:50" x14ac:dyDescent="0.2">
      <c r="A249" s="104" t="s">
        <v>553</v>
      </c>
      <c r="B249" s="104" t="s">
        <v>562</v>
      </c>
      <c r="C249" s="105" t="s">
        <v>563</v>
      </c>
      <c r="D249" s="105" t="s">
        <v>31</v>
      </c>
      <c r="E249" s="105" t="s">
        <v>46</v>
      </c>
      <c r="F249" s="105" t="s">
        <v>782</v>
      </c>
      <c r="H249" s="105" t="s">
        <v>33</v>
      </c>
      <c r="R249" s="5">
        <v>25.4</v>
      </c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</row>
    <row r="250" spans="1:50" x14ac:dyDescent="0.2">
      <c r="A250" s="104" t="s">
        <v>559</v>
      </c>
      <c r="B250" s="104" t="s">
        <v>558</v>
      </c>
      <c r="C250" s="105" t="s">
        <v>560</v>
      </c>
      <c r="D250" s="105" t="s">
        <v>31</v>
      </c>
      <c r="E250" s="105" t="s">
        <v>46</v>
      </c>
      <c r="F250" s="105" t="s">
        <v>782</v>
      </c>
      <c r="H250" s="105" t="s">
        <v>561</v>
      </c>
      <c r="J250" s="5">
        <v>89.85</v>
      </c>
      <c r="K250" s="5">
        <v>1.1000000000000001</v>
      </c>
      <c r="L250" s="5">
        <v>2</v>
      </c>
      <c r="M250" s="5">
        <v>0.8</v>
      </c>
      <c r="P250" s="107">
        <v>0.59499999999999997</v>
      </c>
      <c r="R250" s="5">
        <v>68</v>
      </c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</row>
    <row r="251" spans="1:50" x14ac:dyDescent="0.2">
      <c r="A251" s="104" t="s">
        <v>564</v>
      </c>
      <c r="B251" s="104" t="s">
        <v>565</v>
      </c>
      <c r="C251" s="105" t="s">
        <v>566</v>
      </c>
      <c r="D251" s="105" t="s">
        <v>31</v>
      </c>
      <c r="E251" s="105" t="s">
        <v>46</v>
      </c>
      <c r="F251" s="105" t="s">
        <v>782</v>
      </c>
      <c r="H251" s="105" t="s">
        <v>33</v>
      </c>
      <c r="J251" s="5">
        <v>87.9</v>
      </c>
      <c r="L251" s="107">
        <v>272</v>
      </c>
      <c r="M251" s="5">
        <v>0.4</v>
      </c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</row>
    <row r="252" spans="1:50" x14ac:dyDescent="0.2">
      <c r="A252" s="104" t="s">
        <v>571</v>
      </c>
      <c r="B252" s="104" t="s">
        <v>572</v>
      </c>
      <c r="C252" s="105" t="s">
        <v>573</v>
      </c>
      <c r="D252" s="105" t="s">
        <v>31</v>
      </c>
      <c r="E252" s="105" t="s">
        <v>46</v>
      </c>
      <c r="F252" s="105" t="s">
        <v>782</v>
      </c>
      <c r="G252" s="105" t="s">
        <v>71</v>
      </c>
      <c r="H252" s="105" t="s">
        <v>33</v>
      </c>
      <c r="L252" s="5">
        <v>6.5</v>
      </c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</row>
    <row r="253" spans="1:50" x14ac:dyDescent="0.2">
      <c r="A253" s="104" t="s">
        <v>583</v>
      </c>
      <c r="B253" s="104" t="s">
        <v>584</v>
      </c>
      <c r="C253" s="105" t="s">
        <v>585</v>
      </c>
      <c r="D253" s="105" t="s">
        <v>31</v>
      </c>
      <c r="E253" s="105" t="s">
        <v>46</v>
      </c>
      <c r="F253" s="105" t="s">
        <v>782</v>
      </c>
      <c r="H253" s="105" t="s">
        <v>33</v>
      </c>
      <c r="J253" s="5">
        <v>89</v>
      </c>
      <c r="K253" s="5">
        <v>0.7</v>
      </c>
      <c r="L253" s="5">
        <v>132</v>
      </c>
      <c r="M253" s="5">
        <v>0.6</v>
      </c>
      <c r="P253" s="5">
        <v>0.25900000000000001</v>
      </c>
      <c r="R253" s="5">
        <v>64</v>
      </c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</row>
    <row r="254" spans="1:50" x14ac:dyDescent="0.2">
      <c r="A254" s="104" t="s">
        <v>595</v>
      </c>
      <c r="B254" s="104" t="s">
        <v>596</v>
      </c>
      <c r="C254" s="105" t="s">
        <v>597</v>
      </c>
      <c r="D254" s="105" t="s">
        <v>31</v>
      </c>
      <c r="E254" s="105" t="s">
        <v>46</v>
      </c>
      <c r="F254" s="105" t="s">
        <v>782</v>
      </c>
      <c r="H254" s="105" t="s">
        <v>33</v>
      </c>
      <c r="K254" s="5">
        <v>0.80299999999999994</v>
      </c>
      <c r="L254" s="5">
        <v>68.001999999999995</v>
      </c>
      <c r="M254" s="109">
        <v>6.302999999999999</v>
      </c>
      <c r="P254" s="5">
        <v>0.15416666666666665</v>
      </c>
      <c r="R254" s="5">
        <v>27.004999999999995</v>
      </c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</row>
    <row r="255" spans="1:50" x14ac:dyDescent="0.2">
      <c r="A255" s="104" t="s">
        <v>706</v>
      </c>
      <c r="B255" s="104" t="s">
        <v>146</v>
      </c>
      <c r="C255" s="105" t="s">
        <v>707</v>
      </c>
      <c r="D255" s="105" t="s">
        <v>31</v>
      </c>
      <c r="E255" s="105" t="s">
        <v>46</v>
      </c>
      <c r="F255" s="105" t="s">
        <v>782</v>
      </c>
      <c r="H255" s="105" t="s">
        <v>33</v>
      </c>
      <c r="J255" s="5">
        <v>85.9</v>
      </c>
      <c r="K255" s="107">
        <v>4.3600000000000003</v>
      </c>
      <c r="L255" s="5">
        <v>160</v>
      </c>
      <c r="M255" s="108">
        <v>1.93</v>
      </c>
      <c r="N255" s="5">
        <v>50.4</v>
      </c>
      <c r="O255" s="5">
        <v>0.40800000000000003</v>
      </c>
      <c r="P255" s="107">
        <v>0.81</v>
      </c>
      <c r="Q255" s="107">
        <v>267</v>
      </c>
      <c r="R255" s="5">
        <v>25.5</v>
      </c>
      <c r="S255" s="109">
        <v>11.32</v>
      </c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</row>
    <row r="256" spans="1:50" x14ac:dyDescent="0.2">
      <c r="A256" s="104" t="s">
        <v>601</v>
      </c>
      <c r="B256" s="104" t="s">
        <v>602</v>
      </c>
      <c r="C256" s="105" t="s">
        <v>603</v>
      </c>
      <c r="D256" s="105" t="s">
        <v>25</v>
      </c>
      <c r="E256" s="105" t="s">
        <v>46</v>
      </c>
      <c r="F256" s="105" t="s">
        <v>782</v>
      </c>
      <c r="H256" s="105" t="s">
        <v>33</v>
      </c>
      <c r="J256" s="5">
        <v>83.3</v>
      </c>
      <c r="K256" s="5">
        <v>2.1862000000000004</v>
      </c>
      <c r="L256" s="107">
        <v>523.00110000000006</v>
      </c>
      <c r="M256" s="109">
        <v>4.2582500000000012</v>
      </c>
      <c r="O256" s="107">
        <v>0.81</v>
      </c>
      <c r="P256" s="107">
        <v>0.75345494748479824</v>
      </c>
      <c r="R256" s="5">
        <v>59.333233333333339</v>
      </c>
      <c r="S256" s="109">
        <v>7.31</v>
      </c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</row>
    <row r="257" spans="1:42" x14ac:dyDescent="0.2">
      <c r="A257" s="104" t="s">
        <v>601</v>
      </c>
      <c r="B257" s="104" t="s">
        <v>604</v>
      </c>
      <c r="C257" s="105" t="s">
        <v>605</v>
      </c>
      <c r="D257" s="105" t="s">
        <v>25</v>
      </c>
      <c r="E257" s="105" t="s">
        <v>46</v>
      </c>
      <c r="F257" s="105" t="s">
        <v>782</v>
      </c>
      <c r="H257" s="105" t="s">
        <v>33</v>
      </c>
      <c r="J257" s="5">
        <v>85</v>
      </c>
      <c r="K257" s="5">
        <v>1.0900000000000001</v>
      </c>
      <c r="L257" s="108">
        <v>213.5</v>
      </c>
      <c r="M257" s="109">
        <v>4.2249999999999996</v>
      </c>
      <c r="O257" s="5">
        <v>0.28000000000000003</v>
      </c>
      <c r="P257" s="109">
        <v>1.1990049751243781</v>
      </c>
      <c r="R257" s="5">
        <v>51</v>
      </c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</row>
    <row r="258" spans="1:42" x14ac:dyDescent="0.2">
      <c r="A258" s="104" t="s">
        <v>601</v>
      </c>
      <c r="B258" s="104" t="s">
        <v>616</v>
      </c>
      <c r="C258" s="105" t="s">
        <v>617</v>
      </c>
      <c r="D258" s="105" t="s">
        <v>25</v>
      </c>
      <c r="E258" s="105" t="s">
        <v>46</v>
      </c>
      <c r="F258" s="105" t="s">
        <v>782</v>
      </c>
      <c r="H258" s="105" t="s">
        <v>33</v>
      </c>
      <c r="J258" s="5">
        <v>85.866666666666674</v>
      </c>
      <c r="K258" s="5">
        <v>1.599466666666667</v>
      </c>
      <c r="L258" s="107">
        <v>391.0010666666667</v>
      </c>
      <c r="M258" s="5">
        <v>0.3</v>
      </c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</row>
    <row r="259" spans="1:42" x14ac:dyDescent="0.2">
      <c r="A259" s="104" t="s">
        <v>601</v>
      </c>
      <c r="B259" s="104" t="s">
        <v>622</v>
      </c>
      <c r="C259" s="105" t="s">
        <v>605</v>
      </c>
      <c r="D259" s="105" t="s">
        <v>25</v>
      </c>
      <c r="E259" s="105" t="s">
        <v>46</v>
      </c>
      <c r="F259" s="105" t="s">
        <v>782</v>
      </c>
      <c r="H259" s="105" t="s">
        <v>33</v>
      </c>
      <c r="J259" s="5">
        <v>87.8</v>
      </c>
      <c r="K259" s="5">
        <v>1.37</v>
      </c>
      <c r="L259" s="108">
        <v>196.33333333333334</v>
      </c>
      <c r="M259" s="107">
        <v>3.5500000000000003</v>
      </c>
      <c r="O259" s="107">
        <v>0.93</v>
      </c>
      <c r="P259" s="107">
        <v>0.84079601990049746</v>
      </c>
      <c r="Q259" s="5">
        <v>69.5</v>
      </c>
      <c r="R259" s="108">
        <v>91.666666666666671</v>
      </c>
      <c r="S259" s="108">
        <v>2.35</v>
      </c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</row>
    <row r="260" spans="1:42" x14ac:dyDescent="0.2">
      <c r="A260" s="104" t="s">
        <v>601</v>
      </c>
      <c r="B260" s="104" t="s">
        <v>625</v>
      </c>
      <c r="C260" s="105" t="s">
        <v>626</v>
      </c>
      <c r="D260" s="105" t="s">
        <v>25</v>
      </c>
      <c r="E260" s="105" t="s">
        <v>46</v>
      </c>
      <c r="F260" s="105" t="s">
        <v>782</v>
      </c>
      <c r="H260" s="105" t="s">
        <v>33</v>
      </c>
      <c r="K260" s="5">
        <v>1.31</v>
      </c>
      <c r="L260" s="108">
        <v>175</v>
      </c>
      <c r="M260" s="107">
        <v>3.26</v>
      </c>
      <c r="O260" s="107">
        <v>0.8</v>
      </c>
      <c r="P260" s="108">
        <v>0.48922056384742951</v>
      </c>
      <c r="Q260" s="5">
        <v>61</v>
      </c>
      <c r="R260" s="5">
        <v>79</v>
      </c>
      <c r="S260" s="108">
        <v>2.14</v>
      </c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</row>
    <row r="261" spans="1:42" x14ac:dyDescent="0.2">
      <c r="A261" s="104" t="s">
        <v>895</v>
      </c>
      <c r="B261" s="104" t="s">
        <v>894</v>
      </c>
      <c r="C261" s="105" t="s">
        <v>896</v>
      </c>
      <c r="D261" s="105" t="s">
        <v>31</v>
      </c>
      <c r="E261" s="105" t="s">
        <v>46</v>
      </c>
      <c r="F261" s="105" t="s">
        <v>782</v>
      </c>
      <c r="H261" s="105" t="s">
        <v>33</v>
      </c>
      <c r="J261" s="5">
        <v>90.7</v>
      </c>
      <c r="K261" s="5">
        <v>1.32</v>
      </c>
      <c r="L261" s="5">
        <v>18</v>
      </c>
      <c r="M261" s="5">
        <v>0.51</v>
      </c>
      <c r="N261" s="5">
        <v>10</v>
      </c>
      <c r="O261" s="5">
        <v>7.0000000000000007E-2</v>
      </c>
      <c r="P261" s="5">
        <v>3.2000000000000001E-2</v>
      </c>
      <c r="Q261" s="5">
        <v>7.35</v>
      </c>
      <c r="R261" s="5">
        <v>23.4</v>
      </c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</row>
    <row r="262" spans="1:42" x14ac:dyDescent="0.2">
      <c r="A262" s="104" t="s">
        <v>635</v>
      </c>
      <c r="B262" s="104" t="s">
        <v>638</v>
      </c>
      <c r="C262" s="105" t="s">
        <v>639</v>
      </c>
      <c r="D262" s="105" t="s">
        <v>31</v>
      </c>
      <c r="E262" s="105" t="s">
        <v>46</v>
      </c>
      <c r="F262" s="105" t="s">
        <v>782</v>
      </c>
      <c r="H262" s="105" t="s">
        <v>33</v>
      </c>
      <c r="J262" s="5">
        <v>90.86</v>
      </c>
      <c r="K262" s="5">
        <v>0.80013333333333314</v>
      </c>
      <c r="L262" s="5">
        <v>99.714799999999983</v>
      </c>
      <c r="M262" s="107">
        <v>3.2777199999999995</v>
      </c>
      <c r="P262" s="108">
        <v>0.54560530679933661</v>
      </c>
      <c r="R262" s="5">
        <v>39.540316666666662</v>
      </c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</row>
    <row r="263" spans="1:42" x14ac:dyDescent="0.2">
      <c r="A263" s="104" t="s">
        <v>635</v>
      </c>
      <c r="B263" s="104" t="s">
        <v>636</v>
      </c>
      <c r="C263" s="105" t="s">
        <v>637</v>
      </c>
      <c r="D263" s="105" t="s">
        <v>31</v>
      </c>
      <c r="E263" s="105" t="s">
        <v>46</v>
      </c>
      <c r="F263" s="105" t="s">
        <v>782</v>
      </c>
      <c r="H263" s="105" t="s">
        <v>33</v>
      </c>
      <c r="K263" s="5">
        <v>0.76</v>
      </c>
      <c r="L263" s="5">
        <v>72</v>
      </c>
      <c r="M263" s="5">
        <v>0.94</v>
      </c>
      <c r="O263" s="5">
        <v>0.14000000000000001</v>
      </c>
      <c r="P263" s="5">
        <v>0.12437810945273631</v>
      </c>
      <c r="R263" s="5">
        <v>26</v>
      </c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</row>
    <row r="264" spans="1:42" x14ac:dyDescent="0.2">
      <c r="A264" s="104" t="s">
        <v>640</v>
      </c>
      <c r="B264" s="104" t="s">
        <v>641</v>
      </c>
      <c r="C264" s="105" t="s">
        <v>642</v>
      </c>
      <c r="D264" s="105" t="s">
        <v>31</v>
      </c>
      <c r="E264" s="105" t="s">
        <v>46</v>
      </c>
      <c r="F264" s="105" t="s">
        <v>782</v>
      </c>
      <c r="H264" s="105" t="s">
        <v>33</v>
      </c>
      <c r="J264" s="5">
        <v>87.45714285714287</v>
      </c>
      <c r="K264" s="5">
        <v>1.8804571428571428</v>
      </c>
      <c r="L264" s="108">
        <v>201.21449999999999</v>
      </c>
      <c r="M264" s="107">
        <v>3.1471666666666667</v>
      </c>
      <c r="N264" s="5">
        <v>32.25</v>
      </c>
      <c r="O264" s="108">
        <v>0.42879999999999996</v>
      </c>
      <c r="P264" s="107">
        <v>0.60051122512437805</v>
      </c>
      <c r="Q264" s="5">
        <v>20.5</v>
      </c>
      <c r="R264" s="5">
        <v>46.024924999999996</v>
      </c>
      <c r="S264" s="107">
        <v>3.085</v>
      </c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</row>
    <row r="265" spans="1:42" x14ac:dyDescent="0.2">
      <c r="A265" s="104" t="s">
        <v>648</v>
      </c>
      <c r="B265" s="104" t="s">
        <v>649</v>
      </c>
      <c r="C265" s="105" t="s">
        <v>650</v>
      </c>
      <c r="D265" s="105" t="s">
        <v>25</v>
      </c>
      <c r="E265" s="105" t="s">
        <v>46</v>
      </c>
      <c r="F265" s="105" t="s">
        <v>782</v>
      </c>
      <c r="H265" s="105" t="s">
        <v>33</v>
      </c>
      <c r="J265" s="5">
        <v>93</v>
      </c>
      <c r="K265" s="5">
        <v>1.0126099999999993</v>
      </c>
      <c r="L265" s="5">
        <v>104.80676999999996</v>
      </c>
      <c r="M265" s="107">
        <v>2.2304499999999998</v>
      </c>
      <c r="N265" s="5">
        <v>39.333333333333336</v>
      </c>
      <c r="O265" s="5">
        <v>0.36</v>
      </c>
      <c r="P265" s="5">
        <v>0.31052690713101161</v>
      </c>
      <c r="Q265" s="5">
        <v>32.666666666666664</v>
      </c>
      <c r="R265" s="5">
        <v>31.636439999999993</v>
      </c>
      <c r="S265" s="108">
        <v>1.5633333333333332</v>
      </c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</row>
    <row r="266" spans="1:42" x14ac:dyDescent="0.2">
      <c r="A266" s="104" t="s">
        <v>655</v>
      </c>
      <c r="B266" s="104" t="s">
        <v>656</v>
      </c>
      <c r="C266" s="105" t="s">
        <v>883</v>
      </c>
      <c r="D266" s="105" t="s">
        <v>31</v>
      </c>
      <c r="E266" s="105" t="s">
        <v>46</v>
      </c>
      <c r="F266" s="105" t="s">
        <v>782</v>
      </c>
      <c r="H266" s="105" t="s">
        <v>33</v>
      </c>
      <c r="J266" s="5">
        <v>84.9</v>
      </c>
      <c r="K266" s="5">
        <v>0.5</v>
      </c>
      <c r="L266" s="108">
        <v>165</v>
      </c>
      <c r="M266" s="107">
        <v>4.2</v>
      </c>
      <c r="N266" s="5">
        <v>56.7</v>
      </c>
      <c r="R266" s="108">
        <v>96.2</v>
      </c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</row>
    <row r="267" spans="1:42" x14ac:dyDescent="0.2">
      <c r="A267" s="104" t="s">
        <v>666</v>
      </c>
      <c r="B267" s="104" t="s">
        <v>446</v>
      </c>
      <c r="C267" s="105" t="s">
        <v>667</v>
      </c>
      <c r="D267" s="105" t="s">
        <v>31</v>
      </c>
      <c r="E267" s="105" t="s">
        <v>46</v>
      </c>
      <c r="F267" s="105" t="s">
        <v>782</v>
      </c>
      <c r="H267" s="105" t="s">
        <v>33</v>
      </c>
      <c r="J267" s="5">
        <v>86.373999999999995</v>
      </c>
      <c r="K267" s="108">
        <v>2.8616666666666664</v>
      </c>
      <c r="L267" s="107">
        <v>454.85714285714283</v>
      </c>
      <c r="M267" s="107">
        <v>3.9859999999999998</v>
      </c>
      <c r="N267" s="108">
        <v>75.585714285714289</v>
      </c>
      <c r="O267" s="109">
        <v>1.4964999999999999</v>
      </c>
      <c r="P267" s="5">
        <v>0.18280555555555555</v>
      </c>
      <c r="Q267" s="5">
        <v>14</v>
      </c>
      <c r="R267" s="107">
        <v>208.45999999999998</v>
      </c>
      <c r="S267" s="109">
        <v>14.4</v>
      </c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</row>
    <row r="268" spans="1:42" x14ac:dyDescent="0.2">
      <c r="A268" s="104" t="s">
        <v>684</v>
      </c>
      <c r="B268" s="104" t="s">
        <v>686</v>
      </c>
      <c r="C268" s="105" t="s">
        <v>687</v>
      </c>
      <c r="D268" s="105" t="s">
        <v>31</v>
      </c>
      <c r="E268" s="105" t="s">
        <v>46</v>
      </c>
      <c r="F268" s="105" t="s">
        <v>782</v>
      </c>
      <c r="H268" s="105" t="s">
        <v>33</v>
      </c>
      <c r="J268" s="5">
        <v>88.86666666666666</v>
      </c>
      <c r="K268" s="108">
        <v>2.5438999999999998</v>
      </c>
      <c r="L268" s="108">
        <v>216.83333333333334</v>
      </c>
      <c r="M268" s="107">
        <v>2.46</v>
      </c>
      <c r="N268" s="108">
        <v>70.666666666666671</v>
      </c>
      <c r="O268" s="5">
        <v>0.41</v>
      </c>
      <c r="R268" s="5">
        <v>30.633333333333336</v>
      </c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</row>
    <row r="269" spans="1:42" x14ac:dyDescent="0.2">
      <c r="A269" s="1"/>
      <c r="B269" s="1"/>
      <c r="C269" s="1"/>
      <c r="D269" s="1"/>
      <c r="E269" s="1"/>
      <c r="F269" s="1"/>
      <c r="G269" s="1"/>
      <c r="H269" s="1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</row>
    <row r="270" spans="1:42" x14ac:dyDescent="0.2">
      <c r="A270" s="226" t="s">
        <v>1062</v>
      </c>
      <c r="B270" s="227"/>
      <c r="C270" s="228"/>
      <c r="D270" s="228"/>
      <c r="E270" s="228"/>
      <c r="F270" s="228"/>
      <c r="G270" s="228"/>
      <c r="H270" s="229"/>
      <c r="I270" s="230"/>
      <c r="J270" s="231"/>
      <c r="K270" s="232"/>
      <c r="L270" s="232"/>
      <c r="M270" s="232"/>
      <c r="N270" s="233"/>
      <c r="O270" s="232"/>
      <c r="P270" s="232"/>
      <c r="Q270" s="232"/>
      <c r="R270" s="232"/>
      <c r="S270" s="232"/>
      <c r="T270" s="232"/>
      <c r="U270" s="226" t="s">
        <v>1062</v>
      </c>
      <c r="V270" s="232"/>
      <c r="W270" s="232"/>
      <c r="X270" s="232"/>
    </row>
    <row r="271" spans="1:42" x14ac:dyDescent="0.2">
      <c r="A271" s="104" t="s">
        <v>110</v>
      </c>
      <c r="B271" s="104" t="s">
        <v>111</v>
      </c>
      <c r="C271" s="105" t="s">
        <v>112</v>
      </c>
      <c r="D271" s="105" t="s">
        <v>31</v>
      </c>
      <c r="E271" s="105" t="s">
        <v>46</v>
      </c>
      <c r="F271" s="105" t="s">
        <v>785</v>
      </c>
      <c r="H271" s="105" t="s">
        <v>131</v>
      </c>
      <c r="K271" s="5">
        <v>0.94</v>
      </c>
      <c r="L271" s="5">
        <v>45</v>
      </c>
      <c r="M271" s="5">
        <v>0.68</v>
      </c>
      <c r="O271" s="5">
        <v>0.39</v>
      </c>
      <c r="P271" s="5">
        <v>4.5249999999999999E-2</v>
      </c>
      <c r="R271" s="5">
        <v>67</v>
      </c>
      <c r="T271" s="5"/>
      <c r="U271" s="197" t="s">
        <v>1047</v>
      </c>
      <c r="V271" s="5">
        <f>(276-263)*9</f>
        <v>117</v>
      </c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</row>
    <row r="272" spans="1:42" x14ac:dyDescent="0.2">
      <c r="A272" s="104" t="s">
        <v>315</v>
      </c>
      <c r="B272" s="104" t="s">
        <v>316</v>
      </c>
      <c r="C272" s="105" t="s">
        <v>318</v>
      </c>
      <c r="D272" s="105" t="s">
        <v>31</v>
      </c>
      <c r="E272" s="105" t="s">
        <v>46</v>
      </c>
      <c r="F272" s="105" t="s">
        <v>785</v>
      </c>
      <c r="H272" s="105" t="s">
        <v>131</v>
      </c>
      <c r="J272" s="5">
        <v>91.8</v>
      </c>
      <c r="K272" s="5">
        <v>1.1100000000000001</v>
      </c>
      <c r="L272" s="5">
        <v>23</v>
      </c>
      <c r="M272" s="107">
        <v>3.2466666666666666</v>
      </c>
      <c r="O272" s="5">
        <v>0.36</v>
      </c>
      <c r="P272" s="5">
        <v>8.6235489220563843E-2</v>
      </c>
      <c r="R272" s="5">
        <v>17.666666666666668</v>
      </c>
      <c r="T272" s="5"/>
      <c r="U272" s="197" t="s">
        <v>1048</v>
      </c>
      <c r="V272" s="5">
        <f>COUNTBLANK(K271:S283)</f>
        <v>28</v>
      </c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</row>
    <row r="273" spans="1:42" x14ac:dyDescent="0.2">
      <c r="A273" s="104" t="s">
        <v>107</v>
      </c>
      <c r="B273" s="104" t="s">
        <v>108</v>
      </c>
      <c r="C273" s="105" t="s">
        <v>109</v>
      </c>
      <c r="D273" s="105" t="s">
        <v>31</v>
      </c>
      <c r="E273" s="105" t="s">
        <v>46</v>
      </c>
      <c r="F273" s="105" t="s">
        <v>782</v>
      </c>
      <c r="H273" s="105" t="s">
        <v>131</v>
      </c>
      <c r="J273" s="5">
        <v>92.42</v>
      </c>
      <c r="K273" s="5">
        <v>0.95985555555555535</v>
      </c>
      <c r="L273" s="5">
        <v>22.800369999999994</v>
      </c>
      <c r="M273" s="5">
        <v>1.1175599999999997</v>
      </c>
      <c r="N273" s="5">
        <v>16.333333333333332</v>
      </c>
      <c r="O273" s="108">
        <v>0.46800000000000003</v>
      </c>
      <c r="P273" s="5">
        <v>4.1058333333333329E-2</v>
      </c>
      <c r="Q273" s="5">
        <v>80</v>
      </c>
      <c r="R273" s="5">
        <v>24.844977777777771</v>
      </c>
      <c r="S273" s="108">
        <v>1.5649999999999999</v>
      </c>
      <c r="T273" s="5"/>
      <c r="U273" s="197" t="s">
        <v>1049</v>
      </c>
      <c r="V273" s="5">
        <f>V271-V272</f>
        <v>89</v>
      </c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</row>
    <row r="274" spans="1:42" x14ac:dyDescent="0.2">
      <c r="A274" s="104" t="s">
        <v>242</v>
      </c>
      <c r="B274" s="104" t="s">
        <v>245</v>
      </c>
      <c r="C274" s="105" t="s">
        <v>246</v>
      </c>
      <c r="D274" s="105" t="s">
        <v>31</v>
      </c>
      <c r="E274" s="105" t="s">
        <v>46</v>
      </c>
      <c r="F274" s="105" t="s">
        <v>782</v>
      </c>
      <c r="H274" s="105" t="s">
        <v>131</v>
      </c>
      <c r="J274" s="5">
        <v>94.9</v>
      </c>
      <c r="K274" s="5">
        <v>0.5</v>
      </c>
      <c r="L274" s="5">
        <v>31</v>
      </c>
      <c r="M274" s="5">
        <v>0.85000000000000009</v>
      </c>
      <c r="N274" s="5">
        <v>8</v>
      </c>
      <c r="O274" s="108">
        <v>0.51</v>
      </c>
      <c r="P274" s="5">
        <v>0.20375000000000001</v>
      </c>
      <c r="Q274" s="5">
        <v>3</v>
      </c>
      <c r="R274" s="5">
        <v>15.5</v>
      </c>
      <c r="T274" s="5"/>
      <c r="U274" s="197" t="s">
        <v>1045</v>
      </c>
      <c r="V274" s="5">
        <v>0</v>
      </c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</row>
    <row r="275" spans="1:42" x14ac:dyDescent="0.2">
      <c r="A275" s="104" t="s">
        <v>432</v>
      </c>
      <c r="B275" s="104" t="s">
        <v>433</v>
      </c>
      <c r="C275" s="105" t="s">
        <v>434</v>
      </c>
      <c r="D275" s="105" t="s">
        <v>31</v>
      </c>
      <c r="E275" s="105" t="s">
        <v>46</v>
      </c>
      <c r="F275" s="105" t="s">
        <v>782</v>
      </c>
      <c r="H275" s="105" t="s">
        <v>131</v>
      </c>
      <c r="J275" s="5">
        <v>88.68</v>
      </c>
      <c r="K275" s="5" t="s">
        <v>0</v>
      </c>
      <c r="L275" s="5">
        <v>32</v>
      </c>
      <c r="M275" s="5">
        <v>1.31</v>
      </c>
      <c r="N275" s="5">
        <v>34</v>
      </c>
      <c r="O275" s="107">
        <v>0.83</v>
      </c>
      <c r="P275" s="5">
        <v>0.18085000000000001</v>
      </c>
      <c r="R275" s="5">
        <v>2.2599999999999998</v>
      </c>
      <c r="T275" s="5"/>
      <c r="U275" s="197" t="s">
        <v>1046</v>
      </c>
      <c r="V275" s="5">
        <v>6</v>
      </c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</row>
    <row r="276" spans="1:42" x14ac:dyDescent="0.2">
      <c r="A276" s="104" t="s">
        <v>483</v>
      </c>
      <c r="B276" s="104" t="s">
        <v>484</v>
      </c>
      <c r="C276" s="105" t="s">
        <v>486</v>
      </c>
      <c r="D276" s="105" t="s">
        <v>31</v>
      </c>
      <c r="E276" s="105" t="s">
        <v>46</v>
      </c>
      <c r="F276" s="105" t="s">
        <v>782</v>
      </c>
      <c r="H276" s="105" t="s">
        <v>131</v>
      </c>
      <c r="J276" s="5">
        <v>89.6</v>
      </c>
      <c r="K276" s="107">
        <v>3.7666666666666671</v>
      </c>
      <c r="L276" s="5">
        <v>9.5</v>
      </c>
      <c r="M276" s="5">
        <v>0.7</v>
      </c>
      <c r="N276" s="5">
        <v>17</v>
      </c>
      <c r="O276" s="108">
        <v>0.5</v>
      </c>
      <c r="P276" s="5">
        <v>8.0000000000000004E-4</v>
      </c>
      <c r="Q276" s="107">
        <v>210</v>
      </c>
      <c r="R276" s="5">
        <v>19.5</v>
      </c>
      <c r="S276" s="5">
        <v>0.7</v>
      </c>
      <c r="T276" s="5"/>
      <c r="U276" s="197" t="s">
        <v>1050</v>
      </c>
      <c r="V276" s="196">
        <f>(V274+V275)/V273</f>
        <v>6.741573033707865E-2</v>
      </c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</row>
    <row r="277" spans="1:42" x14ac:dyDescent="0.2">
      <c r="A277" s="104" t="s">
        <v>661</v>
      </c>
      <c r="B277" s="104" t="s">
        <v>662</v>
      </c>
      <c r="C277" s="105" t="s">
        <v>663</v>
      </c>
      <c r="D277" s="105" t="s">
        <v>31</v>
      </c>
      <c r="E277" s="105" t="s">
        <v>46</v>
      </c>
      <c r="F277" s="105" t="s">
        <v>782</v>
      </c>
      <c r="G277" s="105" t="s">
        <v>71</v>
      </c>
      <c r="H277" s="105" t="s">
        <v>131</v>
      </c>
      <c r="J277" s="5">
        <v>92.65</v>
      </c>
      <c r="K277" s="107">
        <v>4.5</v>
      </c>
      <c r="L277" s="5">
        <v>54</v>
      </c>
      <c r="M277" s="5">
        <v>0.91</v>
      </c>
      <c r="N277" s="108">
        <v>63</v>
      </c>
      <c r="O277" s="5">
        <v>0.24</v>
      </c>
      <c r="P277" s="5">
        <v>5.5000000000000003E-4</v>
      </c>
      <c r="R277" s="5">
        <v>0.7</v>
      </c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</row>
    <row r="278" spans="1:42" x14ac:dyDescent="0.2">
      <c r="A278" s="104" t="s">
        <v>661</v>
      </c>
      <c r="B278" s="104" t="s">
        <v>572</v>
      </c>
      <c r="C278" s="105" t="s">
        <v>663</v>
      </c>
      <c r="D278" s="105" t="s">
        <v>31</v>
      </c>
      <c r="E278" s="105" t="s">
        <v>46</v>
      </c>
      <c r="F278" s="105" t="s">
        <v>782</v>
      </c>
      <c r="G278" s="105" t="s">
        <v>71</v>
      </c>
      <c r="H278" s="105" t="s">
        <v>131</v>
      </c>
      <c r="J278" s="5">
        <v>88.55</v>
      </c>
      <c r="K278" s="107">
        <v>5.0999999999999996</v>
      </c>
      <c r="L278" s="5">
        <v>79.333333333333329</v>
      </c>
      <c r="M278" s="5">
        <v>0.80499999999999994</v>
      </c>
      <c r="N278" s="108">
        <v>63</v>
      </c>
      <c r="O278" s="5">
        <v>0.245</v>
      </c>
      <c r="Q278" s="5">
        <v>10.8</v>
      </c>
      <c r="R278" s="5">
        <v>1</v>
      </c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</row>
    <row r="279" spans="1:42" x14ac:dyDescent="0.2">
      <c r="A279" s="104" t="s">
        <v>661</v>
      </c>
      <c r="B279" s="104" t="s">
        <v>130</v>
      </c>
      <c r="C279" s="105" t="s">
        <v>663</v>
      </c>
      <c r="D279" s="105" t="s">
        <v>31</v>
      </c>
      <c r="E279" s="105" t="s">
        <v>46</v>
      </c>
      <c r="F279" s="105" t="s">
        <v>782</v>
      </c>
      <c r="G279" s="105" t="s">
        <v>71</v>
      </c>
      <c r="H279" s="105" t="s">
        <v>131</v>
      </c>
      <c r="J279" s="5">
        <v>95</v>
      </c>
      <c r="K279" s="5">
        <v>0.9</v>
      </c>
      <c r="L279" s="5">
        <v>53</v>
      </c>
      <c r="M279" s="5">
        <v>0.2</v>
      </c>
      <c r="P279" s="5">
        <v>0</v>
      </c>
      <c r="R279" s="5">
        <v>6</v>
      </c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</row>
    <row r="280" spans="1:42" x14ac:dyDescent="0.2">
      <c r="A280" s="104" t="s">
        <v>684</v>
      </c>
      <c r="B280" s="104" t="s">
        <v>686</v>
      </c>
      <c r="C280" s="105" t="s">
        <v>687</v>
      </c>
      <c r="D280" s="105" t="s">
        <v>31</v>
      </c>
      <c r="E280" s="105" t="s">
        <v>46</v>
      </c>
      <c r="F280" s="105" t="s">
        <v>782</v>
      </c>
      <c r="H280" s="105" t="s">
        <v>131</v>
      </c>
      <c r="J280" s="5">
        <v>89.75</v>
      </c>
      <c r="K280" s="5">
        <v>1.7470000000000001</v>
      </c>
      <c r="L280" s="5">
        <v>26.857250000000001</v>
      </c>
      <c r="M280" s="5">
        <v>0.28125</v>
      </c>
      <c r="P280" s="5">
        <v>0.14291666666666666</v>
      </c>
      <c r="R280" s="5">
        <v>25.681249999999999</v>
      </c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</row>
    <row r="281" spans="1:42" x14ac:dyDescent="0.2">
      <c r="A281" s="104" t="s">
        <v>692</v>
      </c>
      <c r="B281" s="104" t="s">
        <v>693</v>
      </c>
      <c r="C281" s="105" t="s">
        <v>694</v>
      </c>
      <c r="D281" s="105" t="s">
        <v>31</v>
      </c>
      <c r="E281" s="105" t="s">
        <v>46</v>
      </c>
      <c r="F281" s="105" t="s">
        <v>782</v>
      </c>
      <c r="H281" s="105" t="s">
        <v>131</v>
      </c>
      <c r="J281" s="5">
        <v>97.1</v>
      </c>
      <c r="K281" s="5">
        <v>1.1000000000000001</v>
      </c>
      <c r="L281" s="5">
        <v>11</v>
      </c>
      <c r="M281" s="5">
        <v>0.3</v>
      </c>
      <c r="N281" s="5">
        <v>7</v>
      </c>
      <c r="O281" s="5">
        <v>0.3</v>
      </c>
      <c r="Q281" s="5">
        <v>13</v>
      </c>
      <c r="R281" s="5">
        <v>1</v>
      </c>
      <c r="S281" s="5">
        <v>0.4</v>
      </c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</row>
    <row r="282" spans="1:42" x14ac:dyDescent="0.2">
      <c r="A282" s="104" t="s">
        <v>511</v>
      </c>
      <c r="B282" s="104" t="s">
        <v>430</v>
      </c>
      <c r="C282" s="105" t="s">
        <v>512</v>
      </c>
      <c r="D282" s="105" t="s">
        <v>31</v>
      </c>
      <c r="E282" s="105" t="s">
        <v>46</v>
      </c>
      <c r="F282" s="105" t="s">
        <v>885</v>
      </c>
      <c r="H282" s="105" t="s">
        <v>131</v>
      </c>
      <c r="J282" s="5">
        <v>95</v>
      </c>
      <c r="K282" s="5">
        <v>1.3</v>
      </c>
      <c r="L282" s="5">
        <v>103</v>
      </c>
      <c r="M282" s="5">
        <v>0.1</v>
      </c>
      <c r="R282" s="5">
        <v>32</v>
      </c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</row>
    <row r="283" spans="1:42" x14ac:dyDescent="0.2">
      <c r="A283" s="104" t="s">
        <v>695</v>
      </c>
      <c r="B283" s="104" t="s">
        <v>572</v>
      </c>
      <c r="C283" s="105" t="s">
        <v>696</v>
      </c>
      <c r="D283" s="105" t="s">
        <v>31</v>
      </c>
      <c r="E283" s="105" t="s">
        <v>46</v>
      </c>
      <c r="F283" s="105" t="s">
        <v>885</v>
      </c>
      <c r="H283" s="105" t="s">
        <v>131</v>
      </c>
      <c r="J283" s="5">
        <v>88.2</v>
      </c>
      <c r="K283" s="5">
        <v>1.65</v>
      </c>
      <c r="L283" s="5">
        <v>9.3333333333333339</v>
      </c>
      <c r="M283" s="5">
        <v>0.4</v>
      </c>
      <c r="N283" s="5">
        <v>8</v>
      </c>
      <c r="O283" s="5">
        <v>0.2</v>
      </c>
      <c r="Q283" s="5">
        <v>43</v>
      </c>
      <c r="R283" s="5">
        <v>3.3333333333333335</v>
      </c>
      <c r="S283" s="5">
        <v>0</v>
      </c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</row>
    <row r="284" spans="1:42" x14ac:dyDescent="0.2">
      <c r="A284" s="1"/>
      <c r="B284" s="1"/>
      <c r="C284" s="1"/>
      <c r="D284" s="1"/>
      <c r="E284" s="1"/>
      <c r="F284" s="1"/>
      <c r="G284" s="1"/>
      <c r="H284" s="1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</row>
    <row r="285" spans="1:42" x14ac:dyDescent="0.2">
      <c r="A285" s="226" t="s">
        <v>1063</v>
      </c>
      <c r="B285" s="227"/>
      <c r="C285" s="228"/>
      <c r="D285" s="228"/>
      <c r="E285" s="228"/>
      <c r="F285" s="228"/>
      <c r="G285" s="228"/>
      <c r="H285" s="229"/>
      <c r="I285" s="230"/>
      <c r="J285" s="231"/>
      <c r="K285" s="232"/>
      <c r="L285" s="232"/>
      <c r="M285" s="232"/>
      <c r="N285" s="233"/>
      <c r="O285" s="232"/>
      <c r="P285" s="232"/>
      <c r="Q285" s="232"/>
      <c r="R285" s="232"/>
      <c r="S285" s="232"/>
      <c r="T285" s="232"/>
      <c r="U285" s="226" t="s">
        <v>1063</v>
      </c>
      <c r="V285" s="232"/>
      <c r="W285" s="232"/>
      <c r="X285" s="232"/>
    </row>
    <row r="287" spans="1:42" x14ac:dyDescent="0.2">
      <c r="A287" s="104" t="s">
        <v>51</v>
      </c>
      <c r="B287" s="104" t="s">
        <v>62</v>
      </c>
      <c r="C287" s="105" t="s">
        <v>63</v>
      </c>
      <c r="D287" s="105" t="s">
        <v>31</v>
      </c>
      <c r="E287" s="105" t="s">
        <v>46</v>
      </c>
      <c r="F287" s="105" t="s">
        <v>782</v>
      </c>
      <c r="H287" s="105" t="s">
        <v>66</v>
      </c>
      <c r="J287" s="5">
        <v>91.4</v>
      </c>
      <c r="K287" s="5">
        <v>2</v>
      </c>
      <c r="L287" s="5">
        <v>23.5</v>
      </c>
      <c r="M287" s="5">
        <v>1.1000000000000001</v>
      </c>
      <c r="N287" s="5">
        <v>13.5</v>
      </c>
      <c r="O287" s="5">
        <v>0.315</v>
      </c>
      <c r="P287" s="5">
        <v>4.2999999999999997E-2</v>
      </c>
      <c r="Q287" s="5">
        <v>120</v>
      </c>
      <c r="R287" s="5">
        <v>19</v>
      </c>
      <c r="S287" s="5">
        <v>0.22000000000000003</v>
      </c>
      <c r="T287" s="5"/>
      <c r="U287" s="197" t="s">
        <v>1047</v>
      </c>
      <c r="V287" s="5">
        <f>(304-288)*9</f>
        <v>144</v>
      </c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</row>
    <row r="288" spans="1:42" x14ac:dyDescent="0.2">
      <c r="A288" s="104" t="s">
        <v>133</v>
      </c>
      <c r="B288" s="104" t="s">
        <v>146</v>
      </c>
      <c r="C288" s="105" t="s">
        <v>753</v>
      </c>
      <c r="D288" s="105" t="s">
        <v>25</v>
      </c>
      <c r="E288" s="105" t="s">
        <v>46</v>
      </c>
      <c r="F288" s="105" t="s">
        <v>782</v>
      </c>
      <c r="H288" s="105" t="s">
        <v>166</v>
      </c>
      <c r="J288" s="5">
        <v>82.5</v>
      </c>
      <c r="L288" s="5">
        <v>159.5</v>
      </c>
      <c r="M288" s="107">
        <v>2.2999999999999998</v>
      </c>
      <c r="P288" s="5">
        <v>0.10100000000000001</v>
      </c>
      <c r="R288" s="107">
        <v>227.5</v>
      </c>
      <c r="T288" s="5"/>
      <c r="U288" s="197" t="s">
        <v>1048</v>
      </c>
      <c r="V288" s="5">
        <f>COUNTBLANK(K287:S302)</f>
        <v>53</v>
      </c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</row>
    <row r="289" spans="1:46" x14ac:dyDescent="0.2">
      <c r="A289" s="104" t="s">
        <v>164</v>
      </c>
      <c r="B289" s="104" t="s">
        <v>45</v>
      </c>
      <c r="C289" s="105" t="s">
        <v>182</v>
      </c>
      <c r="D289" s="105" t="s">
        <v>25</v>
      </c>
      <c r="E289" s="105" t="s">
        <v>46</v>
      </c>
      <c r="F289" s="105" t="s">
        <v>782</v>
      </c>
      <c r="H289" s="105" t="s">
        <v>166</v>
      </c>
      <c r="J289" s="5">
        <v>90.25</v>
      </c>
      <c r="K289" s="108">
        <v>2.6</v>
      </c>
      <c r="L289" s="5">
        <v>83.5</v>
      </c>
      <c r="M289" s="5">
        <v>1.4000000000000001</v>
      </c>
      <c r="N289" s="5">
        <v>19</v>
      </c>
      <c r="O289" s="5">
        <v>0.41</v>
      </c>
      <c r="P289" s="5">
        <v>0.33680679933665009</v>
      </c>
      <c r="Q289" s="5">
        <v>104</v>
      </c>
      <c r="R289" s="5">
        <v>72.3</v>
      </c>
      <c r="S289" s="5">
        <v>0.5</v>
      </c>
      <c r="T289" s="5"/>
      <c r="U289" s="197" t="s">
        <v>1049</v>
      </c>
      <c r="V289" s="5">
        <f>V287-V288</f>
        <v>91</v>
      </c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</row>
    <row r="290" spans="1:46" x14ac:dyDescent="0.2">
      <c r="A290" s="104" t="s">
        <v>298</v>
      </c>
      <c r="B290" s="104" t="s">
        <v>302</v>
      </c>
      <c r="C290" s="105" t="s">
        <v>303</v>
      </c>
      <c r="D290" s="105" t="s">
        <v>31</v>
      </c>
      <c r="E290" s="105" t="s">
        <v>46</v>
      </c>
      <c r="F290" s="105" t="s">
        <v>782</v>
      </c>
      <c r="H290" s="105" t="s">
        <v>166</v>
      </c>
      <c r="J290" s="5">
        <v>83.637500000000003</v>
      </c>
      <c r="K290" s="108">
        <v>3.5757250000000003</v>
      </c>
      <c r="L290" s="5">
        <v>63.249325000000013</v>
      </c>
      <c r="M290" s="5">
        <v>1.3334374999999998</v>
      </c>
      <c r="N290" s="5">
        <v>42.333333333333336</v>
      </c>
      <c r="O290" s="108">
        <v>0.49</v>
      </c>
      <c r="P290" s="108">
        <v>0.55353333333333343</v>
      </c>
      <c r="Q290" s="5">
        <v>68</v>
      </c>
      <c r="R290" s="5">
        <v>7.7173333333333325</v>
      </c>
      <c r="S290" s="5">
        <v>0.19</v>
      </c>
      <c r="T290" s="5"/>
      <c r="U290" s="197" t="s">
        <v>1045</v>
      </c>
      <c r="V290" s="5">
        <v>5</v>
      </c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</row>
    <row r="291" spans="1:46" x14ac:dyDescent="0.2">
      <c r="A291" s="104" t="s">
        <v>710</v>
      </c>
      <c r="B291" s="104" t="s">
        <v>711</v>
      </c>
      <c r="C291" s="105" t="s">
        <v>876</v>
      </c>
      <c r="D291" s="105" t="s">
        <v>31</v>
      </c>
      <c r="E291" s="105" t="s">
        <v>46</v>
      </c>
      <c r="F291" s="105" t="s">
        <v>782</v>
      </c>
      <c r="H291" s="105" t="s">
        <v>66</v>
      </c>
      <c r="J291" s="5">
        <v>82.5</v>
      </c>
      <c r="K291" s="107">
        <v>6.37</v>
      </c>
      <c r="L291" s="5">
        <v>0.01</v>
      </c>
      <c r="M291" s="5">
        <v>0.71</v>
      </c>
      <c r="N291" s="5">
        <v>0.01</v>
      </c>
      <c r="O291" s="109">
        <v>3.5</v>
      </c>
      <c r="T291" s="5"/>
      <c r="U291" s="197" t="s">
        <v>1046</v>
      </c>
      <c r="V291" s="5">
        <v>8</v>
      </c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</row>
    <row r="292" spans="1:46" x14ac:dyDescent="0.2">
      <c r="A292" s="104" t="s">
        <v>361</v>
      </c>
      <c r="B292" s="104" t="s">
        <v>362</v>
      </c>
      <c r="C292" s="105" t="s">
        <v>363</v>
      </c>
      <c r="D292" s="105" t="s">
        <v>31</v>
      </c>
      <c r="E292" s="105" t="s">
        <v>46</v>
      </c>
      <c r="F292" s="105" t="s">
        <v>782</v>
      </c>
      <c r="H292" s="105" t="s">
        <v>166</v>
      </c>
      <c r="K292" s="5">
        <v>0.97</v>
      </c>
      <c r="L292" s="5">
        <v>18</v>
      </c>
      <c r="M292" s="5">
        <v>0.64</v>
      </c>
      <c r="P292" s="5">
        <v>9.6185737976782745E-2</v>
      </c>
      <c r="R292" s="5">
        <v>39</v>
      </c>
      <c r="S292" s="108">
        <v>2.0699999999999998</v>
      </c>
      <c r="T292" s="5"/>
      <c r="U292" s="197" t="s">
        <v>1050</v>
      </c>
      <c r="V292" s="196">
        <f>(V290+V291)/V289</f>
        <v>0.14285714285714285</v>
      </c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</row>
    <row r="293" spans="1:46" x14ac:dyDescent="0.2">
      <c r="A293" s="104" t="s">
        <v>361</v>
      </c>
      <c r="B293" s="104" t="s">
        <v>364</v>
      </c>
      <c r="C293" s="105" t="s">
        <v>363</v>
      </c>
      <c r="D293" s="105" t="s">
        <v>31</v>
      </c>
      <c r="E293" s="105" t="s">
        <v>46</v>
      </c>
      <c r="F293" s="105" t="s">
        <v>782</v>
      </c>
      <c r="H293" s="105" t="s">
        <v>286</v>
      </c>
      <c r="L293" s="5">
        <v>87</v>
      </c>
      <c r="M293" s="5">
        <v>1.2</v>
      </c>
      <c r="P293" s="5">
        <v>0.15</v>
      </c>
      <c r="R293" s="108">
        <v>83</v>
      </c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</row>
    <row r="294" spans="1:46" x14ac:dyDescent="0.2">
      <c r="A294" s="104" t="s">
        <v>361</v>
      </c>
      <c r="B294" s="104" t="s">
        <v>364</v>
      </c>
      <c r="C294" s="105" t="s">
        <v>363</v>
      </c>
      <c r="D294" s="105" t="s">
        <v>31</v>
      </c>
      <c r="E294" s="105" t="s">
        <v>46</v>
      </c>
      <c r="F294" s="105" t="s">
        <v>782</v>
      </c>
      <c r="H294" s="105" t="s">
        <v>166</v>
      </c>
      <c r="J294" s="5">
        <v>86.5</v>
      </c>
      <c r="K294" s="5">
        <v>1.2033500000000001</v>
      </c>
      <c r="L294" s="5">
        <v>87.00160000000001</v>
      </c>
      <c r="M294" s="5">
        <v>1.2032</v>
      </c>
      <c r="P294" s="5">
        <v>0.25374999999999998</v>
      </c>
      <c r="R294" s="108">
        <v>88</v>
      </c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</row>
    <row r="295" spans="1:46" x14ac:dyDescent="0.2">
      <c r="A295" s="104" t="s">
        <v>361</v>
      </c>
      <c r="B295" s="104" t="s">
        <v>130</v>
      </c>
      <c r="C295" s="105" t="s">
        <v>363</v>
      </c>
      <c r="D295" s="105" t="s">
        <v>31</v>
      </c>
      <c r="E295" s="105" t="s">
        <v>46</v>
      </c>
      <c r="F295" s="105" t="s">
        <v>782</v>
      </c>
      <c r="H295" s="105" t="s">
        <v>166</v>
      </c>
      <c r="J295" s="5">
        <v>87</v>
      </c>
      <c r="K295" s="5">
        <v>1.2</v>
      </c>
      <c r="L295" s="5">
        <v>87</v>
      </c>
      <c r="M295" s="5">
        <v>1.2</v>
      </c>
      <c r="R295" s="108">
        <v>88</v>
      </c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</row>
    <row r="296" spans="1:46" x14ac:dyDescent="0.2">
      <c r="A296" s="104" t="s">
        <v>408</v>
      </c>
      <c r="B296" s="104" t="s">
        <v>406</v>
      </c>
      <c r="C296" s="105" t="s">
        <v>407</v>
      </c>
      <c r="D296" s="105" t="s">
        <v>31</v>
      </c>
      <c r="E296" s="105" t="s">
        <v>46</v>
      </c>
      <c r="F296" s="105" t="s">
        <v>782</v>
      </c>
      <c r="G296" s="105" t="s">
        <v>71</v>
      </c>
      <c r="H296" s="105" t="s">
        <v>166</v>
      </c>
      <c r="J296" s="5">
        <v>79.34</v>
      </c>
      <c r="K296" s="107">
        <v>3.81</v>
      </c>
      <c r="L296" s="109">
        <v>770.87</v>
      </c>
      <c r="N296" s="109">
        <v>228.1</v>
      </c>
      <c r="O296" s="107">
        <v>0.66</v>
      </c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</row>
    <row r="297" spans="1:46" x14ac:dyDescent="0.2">
      <c r="A297" s="104" t="s">
        <v>459</v>
      </c>
      <c r="B297" s="104" t="s">
        <v>460</v>
      </c>
      <c r="C297" s="105" t="s">
        <v>461</v>
      </c>
      <c r="D297" s="105" t="s">
        <v>31</v>
      </c>
      <c r="E297" s="105" t="s">
        <v>46</v>
      </c>
      <c r="F297" s="105" t="s">
        <v>782</v>
      </c>
      <c r="H297" s="105" t="s">
        <v>166</v>
      </c>
      <c r="L297" s="5">
        <v>50</v>
      </c>
      <c r="M297" s="5">
        <v>0.1</v>
      </c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</row>
    <row r="298" spans="1:46" x14ac:dyDescent="0.2">
      <c r="A298" s="104" t="s">
        <v>459</v>
      </c>
      <c r="B298" s="104" t="s">
        <v>462</v>
      </c>
      <c r="C298" s="105" t="s">
        <v>463</v>
      </c>
      <c r="D298" s="105" t="s">
        <v>31</v>
      </c>
      <c r="E298" s="105" t="s">
        <v>46</v>
      </c>
      <c r="F298" s="105" t="s">
        <v>782</v>
      </c>
      <c r="H298" s="105" t="s">
        <v>166</v>
      </c>
      <c r="J298" s="5">
        <v>90.2</v>
      </c>
      <c r="K298" s="108">
        <v>3.2</v>
      </c>
      <c r="L298" s="5">
        <v>40</v>
      </c>
      <c r="M298" s="5">
        <v>1.1000000000000001</v>
      </c>
      <c r="O298" s="5">
        <v>0.3</v>
      </c>
      <c r="R298" s="5">
        <v>10</v>
      </c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</row>
    <row r="299" spans="1:46" x14ac:dyDescent="0.2">
      <c r="A299" s="104" t="s">
        <v>569</v>
      </c>
      <c r="B299" s="104" t="s">
        <v>568</v>
      </c>
      <c r="C299" s="105" t="s">
        <v>570</v>
      </c>
      <c r="D299" s="105" t="s">
        <v>31</v>
      </c>
      <c r="E299" s="105" t="s">
        <v>46</v>
      </c>
      <c r="F299" s="105" t="s">
        <v>885</v>
      </c>
      <c r="H299" s="105" t="s">
        <v>166</v>
      </c>
      <c r="J299" s="5">
        <v>89</v>
      </c>
      <c r="K299" s="5">
        <v>1.6666666666666667</v>
      </c>
      <c r="L299" s="5">
        <v>7</v>
      </c>
      <c r="M299" s="109">
        <v>9.32</v>
      </c>
      <c r="N299" s="5">
        <v>48</v>
      </c>
      <c r="O299" s="107">
        <v>1.1000000000000001</v>
      </c>
      <c r="R299" s="5">
        <v>18.666666666666668</v>
      </c>
      <c r="S299" s="108">
        <v>1.8</v>
      </c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</row>
    <row r="300" spans="1:46" x14ac:dyDescent="0.2">
      <c r="A300" s="104" t="s">
        <v>640</v>
      </c>
      <c r="B300" s="104" t="s">
        <v>641</v>
      </c>
      <c r="C300" s="105" t="s">
        <v>642</v>
      </c>
      <c r="D300" s="105" t="s">
        <v>31</v>
      </c>
      <c r="E300" s="105" t="s">
        <v>46</v>
      </c>
      <c r="F300" s="105" t="s">
        <v>782</v>
      </c>
      <c r="H300" s="105" t="s">
        <v>166</v>
      </c>
      <c r="J300" s="5">
        <v>85</v>
      </c>
      <c r="K300" s="5">
        <v>1.6</v>
      </c>
      <c r="L300" s="5">
        <v>2.9</v>
      </c>
      <c r="M300" s="107">
        <v>4.0999999999999996</v>
      </c>
      <c r="O300" s="5" t="s">
        <v>0</v>
      </c>
      <c r="P300" s="107">
        <v>0.7</v>
      </c>
      <c r="R300" s="5">
        <v>35</v>
      </c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</row>
    <row r="301" spans="1:46" x14ac:dyDescent="0.2">
      <c r="A301" s="21" t="s">
        <v>918</v>
      </c>
      <c r="B301" s="21" t="s">
        <v>919</v>
      </c>
      <c r="C301" s="110" t="s">
        <v>920</v>
      </c>
      <c r="D301" s="22" t="s">
        <v>31</v>
      </c>
      <c r="E301" s="22" t="s">
        <v>46</v>
      </c>
      <c r="F301" s="22" t="s">
        <v>782</v>
      </c>
      <c r="G301" s="22"/>
      <c r="H301" s="22" t="s">
        <v>187</v>
      </c>
      <c r="L301" s="5">
        <v>15</v>
      </c>
      <c r="M301" s="109">
        <v>39</v>
      </c>
      <c r="N301" s="5">
        <v>9</v>
      </c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</row>
    <row r="302" spans="1:46" x14ac:dyDescent="0.2">
      <c r="A302" s="104" t="s">
        <v>692</v>
      </c>
      <c r="B302" s="104" t="s">
        <v>693</v>
      </c>
      <c r="C302" s="105" t="s">
        <v>694</v>
      </c>
      <c r="D302" s="105" t="s">
        <v>31</v>
      </c>
      <c r="E302" s="105" t="s">
        <v>46</v>
      </c>
      <c r="F302" s="105" t="s">
        <v>782</v>
      </c>
      <c r="H302" s="105" t="s">
        <v>166</v>
      </c>
      <c r="J302" s="5">
        <v>94.8</v>
      </c>
      <c r="K302" s="5">
        <v>1.8997000000000006</v>
      </c>
      <c r="L302" s="5">
        <v>29.001000000000015</v>
      </c>
      <c r="M302" s="5">
        <v>0.5487000000000003</v>
      </c>
      <c r="N302" s="5">
        <v>30</v>
      </c>
      <c r="O302" s="5">
        <v>0.4</v>
      </c>
      <c r="P302" s="5">
        <v>1.25E-3</v>
      </c>
      <c r="Q302" s="5">
        <v>25</v>
      </c>
      <c r="R302" s="5">
        <v>3.4998000000000022</v>
      </c>
      <c r="S302" s="5">
        <v>1.4</v>
      </c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</row>
    <row r="303" spans="1:46" x14ac:dyDescent="0.2">
      <c r="A303" s="1"/>
      <c r="B303" s="1"/>
      <c r="C303" s="1"/>
      <c r="D303" s="1"/>
      <c r="E303" s="1"/>
      <c r="F303" s="1"/>
      <c r="G303" s="1"/>
      <c r="H303" s="1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</row>
    <row r="304" spans="1:46" s="187" customFormat="1" x14ac:dyDescent="0.2">
      <c r="A304" s="179"/>
      <c r="B304" s="179"/>
      <c r="C304" s="180"/>
      <c r="D304" s="180"/>
      <c r="E304" s="180"/>
      <c r="F304" s="180"/>
      <c r="G304" s="180"/>
      <c r="H304" s="181"/>
      <c r="I304" s="182"/>
      <c r="J304" s="183"/>
      <c r="K304" s="184"/>
      <c r="L304" s="184"/>
      <c r="M304" s="184"/>
      <c r="N304" s="185"/>
      <c r="O304" s="184"/>
      <c r="P304" s="184"/>
      <c r="Q304" s="184"/>
      <c r="R304" s="184"/>
      <c r="S304" s="184"/>
      <c r="T304" s="186"/>
      <c r="U304" s="186"/>
      <c r="V304" s="186"/>
      <c r="W304" s="186"/>
      <c r="X304" s="186"/>
      <c r="Y304" s="186"/>
      <c r="Z304" s="186"/>
      <c r="AA304" s="186"/>
      <c r="AB304" s="186"/>
      <c r="AC304" s="186"/>
      <c r="AD304" s="186"/>
      <c r="AE304" s="186"/>
      <c r="AF304" s="186"/>
      <c r="AG304" s="186"/>
      <c r="AH304" s="186"/>
      <c r="AI304" s="186"/>
      <c r="AJ304" s="186"/>
      <c r="AK304" s="186"/>
      <c r="AL304" s="186"/>
      <c r="AM304" s="186"/>
      <c r="AN304" s="186"/>
      <c r="AO304" s="186"/>
      <c r="AP304" s="186"/>
      <c r="AQ304" s="186"/>
      <c r="AR304" s="186"/>
      <c r="AS304" s="186"/>
      <c r="AT304" s="186"/>
    </row>
    <row r="305" spans="1:42" x14ac:dyDescent="0.2">
      <c r="A305" s="226" t="s">
        <v>1064</v>
      </c>
      <c r="B305" s="227"/>
      <c r="C305" s="228"/>
      <c r="D305" s="228"/>
      <c r="E305" s="228"/>
      <c r="F305" s="228"/>
      <c r="G305" s="228"/>
      <c r="H305" s="229"/>
      <c r="I305" s="230"/>
      <c r="J305" s="231"/>
      <c r="K305" s="232"/>
      <c r="L305" s="232"/>
      <c r="M305" s="232"/>
      <c r="N305" s="233"/>
      <c r="O305" s="232"/>
      <c r="P305" s="232"/>
      <c r="Q305" s="232"/>
      <c r="R305" s="232"/>
      <c r="S305" s="232"/>
      <c r="T305" s="232"/>
      <c r="U305" s="226" t="s">
        <v>1064</v>
      </c>
      <c r="V305" s="232"/>
      <c r="W305" s="232"/>
      <c r="X305" s="232"/>
    </row>
    <row r="306" spans="1:42" x14ac:dyDescent="0.2">
      <c r="A306" s="104" t="s">
        <v>23</v>
      </c>
      <c r="B306" s="104" t="s">
        <v>24</v>
      </c>
      <c r="C306" s="105" t="s">
        <v>29</v>
      </c>
      <c r="D306" s="105" t="s">
        <v>25</v>
      </c>
      <c r="E306" s="105" t="s">
        <v>46</v>
      </c>
      <c r="F306" s="105" t="s">
        <v>783</v>
      </c>
      <c r="H306" s="105" t="s">
        <v>27</v>
      </c>
      <c r="J306" s="5">
        <v>88.47999999999999</v>
      </c>
      <c r="K306" s="5">
        <v>1.0699230769230768</v>
      </c>
      <c r="L306" s="5">
        <v>69.307446153846158</v>
      </c>
      <c r="M306" s="5">
        <v>0.95533846153846147</v>
      </c>
      <c r="N306" s="5">
        <v>51.5</v>
      </c>
      <c r="O306" s="5">
        <v>0.41</v>
      </c>
      <c r="P306" s="5">
        <v>2.4087500000000001E-2</v>
      </c>
      <c r="Q306" s="5">
        <v>34.75</v>
      </c>
      <c r="R306" s="5">
        <v>31.000191666666666</v>
      </c>
      <c r="S306" s="5">
        <v>0.44625000000000004</v>
      </c>
      <c r="U306" s="197" t="s">
        <v>1047</v>
      </c>
      <c r="V306" s="5">
        <f>(320-307)*9</f>
        <v>117</v>
      </c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</row>
    <row r="307" spans="1:42" x14ac:dyDescent="0.2">
      <c r="A307" s="104" t="s">
        <v>515</v>
      </c>
      <c r="B307" s="104" t="s">
        <v>897</v>
      </c>
      <c r="C307" s="105" t="s">
        <v>897</v>
      </c>
      <c r="D307" s="105" t="s">
        <v>31</v>
      </c>
      <c r="E307" s="105" t="s">
        <v>46</v>
      </c>
      <c r="F307" s="105" t="s">
        <v>782</v>
      </c>
      <c r="H307" s="105" t="s">
        <v>28</v>
      </c>
      <c r="J307" s="5">
        <v>90.7</v>
      </c>
      <c r="K307" s="5">
        <v>1.32</v>
      </c>
      <c r="L307" s="5">
        <v>18</v>
      </c>
      <c r="M307" s="5">
        <v>0.51</v>
      </c>
      <c r="N307" s="5">
        <v>10</v>
      </c>
      <c r="O307" s="5">
        <v>7.0000000000000007E-2</v>
      </c>
      <c r="P307" s="5">
        <v>3.2000000000000001E-2</v>
      </c>
      <c r="Q307" s="5">
        <v>7.35</v>
      </c>
      <c r="R307" s="5">
        <v>23.4</v>
      </c>
      <c r="T307" s="5"/>
      <c r="U307" s="197" t="s">
        <v>1048</v>
      </c>
      <c r="V307" s="5">
        <f>COUNTBLANK(K306:S318)</f>
        <v>38</v>
      </c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</row>
    <row r="308" spans="1:42" x14ac:dyDescent="0.2">
      <c r="A308" s="104" t="s">
        <v>515</v>
      </c>
      <c r="B308" s="104" t="s">
        <v>518</v>
      </c>
      <c r="C308" s="105" t="s">
        <v>519</v>
      </c>
      <c r="D308" s="105" t="s">
        <v>31</v>
      </c>
      <c r="E308" s="105" t="s">
        <v>46</v>
      </c>
      <c r="F308" s="105" t="s">
        <v>782</v>
      </c>
      <c r="H308" s="105" t="s">
        <v>28</v>
      </c>
      <c r="J308" s="5">
        <v>82.9</v>
      </c>
      <c r="K308" s="108">
        <v>3.3317333333333328</v>
      </c>
      <c r="L308" s="5">
        <v>13.60008</v>
      </c>
      <c r="M308" s="5">
        <v>1.1186799999999999</v>
      </c>
      <c r="N308" s="5">
        <v>19</v>
      </c>
      <c r="O308" s="5">
        <v>0.28000000000000003</v>
      </c>
      <c r="P308" s="5">
        <v>0.12029166666666666</v>
      </c>
      <c r="R308" s="5">
        <v>32.248325000000001</v>
      </c>
      <c r="T308" s="5"/>
      <c r="U308" s="197" t="s">
        <v>1049</v>
      </c>
      <c r="V308" s="5">
        <f>V306-V307</f>
        <v>79</v>
      </c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</row>
    <row r="309" spans="1:42" x14ac:dyDescent="0.2">
      <c r="A309" s="104" t="s">
        <v>515</v>
      </c>
      <c r="B309" s="104" t="s">
        <v>79</v>
      </c>
      <c r="C309" s="105" t="s">
        <v>520</v>
      </c>
      <c r="D309" s="105" t="s">
        <v>31</v>
      </c>
      <c r="E309" s="105" t="s">
        <v>46</v>
      </c>
      <c r="F309" s="105" t="s">
        <v>782</v>
      </c>
      <c r="H309" s="105" t="s">
        <v>28</v>
      </c>
      <c r="K309" s="108">
        <v>2.8</v>
      </c>
      <c r="L309" s="5">
        <v>10</v>
      </c>
      <c r="M309" s="5">
        <v>0.9</v>
      </c>
      <c r="P309" s="5">
        <v>3.5999999999999997E-2</v>
      </c>
      <c r="R309" s="5">
        <v>11</v>
      </c>
      <c r="T309" s="5"/>
      <c r="U309" s="197" t="s">
        <v>1045</v>
      </c>
      <c r="V309" s="5">
        <v>0</v>
      </c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</row>
    <row r="310" spans="1:42" x14ac:dyDescent="0.2">
      <c r="A310" s="104" t="s">
        <v>601</v>
      </c>
      <c r="B310" s="104" t="s">
        <v>602</v>
      </c>
      <c r="C310" s="105" t="s">
        <v>603</v>
      </c>
      <c r="D310" s="105" t="s">
        <v>25</v>
      </c>
      <c r="E310" s="105" t="s">
        <v>46</v>
      </c>
      <c r="F310" s="105" t="s">
        <v>782</v>
      </c>
      <c r="H310" s="105" t="s">
        <v>28</v>
      </c>
      <c r="J310" s="5">
        <v>90.8</v>
      </c>
      <c r="K310" s="5">
        <v>1.5165857142857142</v>
      </c>
      <c r="L310" s="5">
        <v>18.928757142857144</v>
      </c>
      <c r="M310" s="5">
        <v>1.1709999999999998</v>
      </c>
      <c r="O310" s="5">
        <v>0.19999999999999998</v>
      </c>
      <c r="P310" s="5">
        <v>3.3430762852404643E-2</v>
      </c>
      <c r="Q310" s="5">
        <v>21.818181818181817</v>
      </c>
      <c r="R310" s="5">
        <v>10.861385714285715</v>
      </c>
      <c r="S310" s="5">
        <v>0.86818181818181828</v>
      </c>
      <c r="T310" s="5"/>
      <c r="U310" s="197" t="s">
        <v>1046</v>
      </c>
      <c r="V310" s="5">
        <v>0</v>
      </c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</row>
    <row r="311" spans="1:42" x14ac:dyDescent="0.2">
      <c r="A311" s="104" t="s">
        <v>601</v>
      </c>
      <c r="B311" s="104" t="s">
        <v>612</v>
      </c>
      <c r="C311" s="105" t="s">
        <v>613</v>
      </c>
      <c r="D311" s="105" t="s">
        <v>31</v>
      </c>
      <c r="E311" s="105" t="s">
        <v>46</v>
      </c>
      <c r="F311" s="105" t="s">
        <v>782</v>
      </c>
      <c r="H311" s="105" t="s">
        <v>28</v>
      </c>
      <c r="K311" s="108">
        <v>2.9</v>
      </c>
      <c r="L311" s="5">
        <v>28</v>
      </c>
      <c r="M311" s="5">
        <v>0.92</v>
      </c>
      <c r="P311" s="5">
        <v>3.150912106135987E-2</v>
      </c>
      <c r="R311" s="5">
        <v>11</v>
      </c>
      <c r="S311" s="5">
        <v>0.41</v>
      </c>
      <c r="T311" s="5"/>
      <c r="U311" s="197" t="s">
        <v>1050</v>
      </c>
      <c r="V311" s="196">
        <f>(V309+V310)/V308</f>
        <v>0</v>
      </c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</row>
    <row r="312" spans="1:42" x14ac:dyDescent="0.2">
      <c r="A312" s="104" t="s">
        <v>601</v>
      </c>
      <c r="B312" s="104" t="s">
        <v>614</v>
      </c>
      <c r="C312" s="105" t="s">
        <v>615</v>
      </c>
      <c r="D312" s="105" t="s">
        <v>25</v>
      </c>
      <c r="E312" s="105" t="s">
        <v>46</v>
      </c>
      <c r="F312" s="105" t="s">
        <v>782</v>
      </c>
      <c r="H312" s="105" t="s">
        <v>28</v>
      </c>
      <c r="J312" s="5">
        <v>94.316000000000003</v>
      </c>
      <c r="K312" s="5">
        <v>0.56352941176470595</v>
      </c>
      <c r="L312" s="5">
        <v>12.823529411764707</v>
      </c>
      <c r="M312" s="5">
        <v>0.60875000000000001</v>
      </c>
      <c r="N312" s="5">
        <v>11.25</v>
      </c>
      <c r="O312" s="5">
        <v>0.20333333333333339</v>
      </c>
      <c r="P312" s="5">
        <v>5.9944332260267283E-2</v>
      </c>
      <c r="Q312" s="5">
        <v>16.8</v>
      </c>
      <c r="R312" s="5">
        <v>20.688235294117646</v>
      </c>
      <c r="S312" s="108">
        <v>1.4746153846153844</v>
      </c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</row>
    <row r="313" spans="1:42" x14ac:dyDescent="0.2">
      <c r="A313" s="104" t="s">
        <v>601</v>
      </c>
      <c r="B313" s="104" t="s">
        <v>616</v>
      </c>
      <c r="C313" s="105" t="s">
        <v>617</v>
      </c>
      <c r="D313" s="105" t="s">
        <v>25</v>
      </c>
      <c r="E313" s="105" t="s">
        <v>46</v>
      </c>
      <c r="F313" s="105" t="s">
        <v>782</v>
      </c>
      <c r="H313" s="105" t="s">
        <v>28</v>
      </c>
      <c r="J313" s="5">
        <v>89</v>
      </c>
      <c r="K313" s="5">
        <v>1.4731999999999998</v>
      </c>
      <c r="L313" s="5">
        <v>14.167</v>
      </c>
      <c r="M313" s="5">
        <v>0.65333333333333332</v>
      </c>
      <c r="N313" s="5">
        <v>40</v>
      </c>
      <c r="O313" s="5">
        <v>0.25</v>
      </c>
      <c r="P313" s="5">
        <v>2.8500000000000001E-2</v>
      </c>
      <c r="Q313" s="5">
        <v>23</v>
      </c>
      <c r="R313" s="5">
        <v>16.666666666666668</v>
      </c>
      <c r="S313" s="5">
        <v>0.62</v>
      </c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</row>
    <row r="314" spans="1:42" x14ac:dyDescent="0.2">
      <c r="A314" s="104" t="s">
        <v>601</v>
      </c>
      <c r="B314" s="104" t="s">
        <v>618</v>
      </c>
      <c r="C314" s="105" t="s">
        <v>619</v>
      </c>
      <c r="D314" s="105" t="s">
        <v>25</v>
      </c>
      <c r="E314" s="105" t="s">
        <v>46</v>
      </c>
      <c r="F314" s="105" t="s">
        <v>782</v>
      </c>
      <c r="H314" s="105" t="s">
        <v>28</v>
      </c>
      <c r="J314" s="5">
        <v>92.166666666666671</v>
      </c>
      <c r="K314" s="5">
        <v>1.17875</v>
      </c>
      <c r="L314" s="5">
        <v>14.5</v>
      </c>
      <c r="M314" s="5">
        <v>0.75857142857142856</v>
      </c>
      <c r="N314" s="5">
        <v>15</v>
      </c>
      <c r="O314" s="5">
        <v>0.20400000000000001</v>
      </c>
      <c r="P314" s="5">
        <v>9.1459369817578769E-4</v>
      </c>
      <c r="Q314" s="5">
        <v>13.5</v>
      </c>
      <c r="R314" s="5">
        <v>5.65</v>
      </c>
      <c r="S314" s="5">
        <v>0.10499999999999998</v>
      </c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</row>
    <row r="315" spans="1:42" x14ac:dyDescent="0.2">
      <c r="A315" s="104" t="s">
        <v>601</v>
      </c>
      <c r="B315" s="104" t="s">
        <v>620</v>
      </c>
      <c r="C315" s="105" t="s">
        <v>621</v>
      </c>
      <c r="D315" s="105" t="s">
        <v>25</v>
      </c>
      <c r="E315" s="105" t="s">
        <v>46</v>
      </c>
      <c r="F315" s="105" t="s">
        <v>782</v>
      </c>
      <c r="H315" s="105" t="s">
        <v>28</v>
      </c>
      <c r="J315" s="5">
        <v>93.2</v>
      </c>
      <c r="K315" s="5">
        <v>0.4</v>
      </c>
      <c r="L315" s="5">
        <v>29</v>
      </c>
      <c r="M315" s="108">
        <v>1.7</v>
      </c>
      <c r="P315" s="5">
        <v>0.1</v>
      </c>
      <c r="R315" s="5">
        <v>50</v>
      </c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</row>
    <row r="316" spans="1:42" x14ac:dyDescent="0.2">
      <c r="A316" s="104" t="s">
        <v>606</v>
      </c>
      <c r="B316" s="104" t="s">
        <v>607</v>
      </c>
      <c r="C316" s="105" t="s">
        <v>608</v>
      </c>
      <c r="D316" s="105" t="s">
        <v>31</v>
      </c>
      <c r="E316" s="105" t="s">
        <v>46</v>
      </c>
      <c r="F316" s="105" t="s">
        <v>782</v>
      </c>
      <c r="H316" s="105" t="s">
        <v>28</v>
      </c>
      <c r="J316" s="5">
        <v>61.2</v>
      </c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</row>
    <row r="317" spans="1:42" x14ac:dyDescent="0.2">
      <c r="A317" s="104" t="s">
        <v>606</v>
      </c>
      <c r="B317" s="104" t="s">
        <v>609</v>
      </c>
      <c r="C317" s="105" t="s">
        <v>610</v>
      </c>
      <c r="D317" s="105" t="s">
        <v>31</v>
      </c>
      <c r="E317" s="105" t="s">
        <v>46</v>
      </c>
      <c r="F317" s="105" t="s">
        <v>782</v>
      </c>
      <c r="H317" s="105" t="s">
        <v>28</v>
      </c>
      <c r="J317" s="5">
        <v>76.283333333333317</v>
      </c>
      <c r="K317" s="5">
        <v>0.66666666666666663</v>
      </c>
      <c r="L317" s="5">
        <v>94</v>
      </c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</row>
    <row r="318" spans="1:42" x14ac:dyDescent="0.2">
      <c r="A318" s="104" t="s">
        <v>606</v>
      </c>
      <c r="B318" s="104" t="s">
        <v>611</v>
      </c>
      <c r="C318" s="105" t="s">
        <v>608</v>
      </c>
      <c r="D318" s="105" t="s">
        <v>31</v>
      </c>
      <c r="E318" s="105" t="s">
        <v>46</v>
      </c>
      <c r="F318" s="105" t="s">
        <v>782</v>
      </c>
      <c r="H318" s="105" t="s">
        <v>28</v>
      </c>
      <c r="J318" s="5">
        <v>86</v>
      </c>
      <c r="K318" s="5">
        <v>1.8</v>
      </c>
      <c r="L318" s="5">
        <v>35</v>
      </c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</row>
    <row r="320" spans="1:42" x14ac:dyDescent="0.2">
      <c r="A320" s="226" t="s">
        <v>1067</v>
      </c>
      <c r="B320" s="227"/>
      <c r="C320" s="228"/>
      <c r="D320" s="228"/>
      <c r="E320" s="228"/>
      <c r="F320" s="228"/>
      <c r="G320" s="228"/>
      <c r="H320" s="229"/>
      <c r="I320" s="230"/>
      <c r="J320" s="231"/>
      <c r="K320" s="232"/>
      <c r="L320" s="232"/>
      <c r="M320" s="232"/>
      <c r="N320" s="233"/>
      <c r="O320" s="232"/>
      <c r="P320" s="232"/>
      <c r="Q320" s="232"/>
      <c r="R320" s="232"/>
      <c r="S320" s="232"/>
      <c r="T320" s="232"/>
      <c r="U320" s="226" t="s">
        <v>1067</v>
      </c>
      <c r="V320" s="232"/>
      <c r="W320" s="232"/>
      <c r="X320" s="232"/>
    </row>
    <row r="321" spans="1:42" x14ac:dyDescent="0.2">
      <c r="A321" s="104" t="s">
        <v>51</v>
      </c>
      <c r="B321" s="104" t="s">
        <v>53</v>
      </c>
      <c r="C321" s="105" t="s">
        <v>54</v>
      </c>
      <c r="D321" s="105" t="s">
        <v>25</v>
      </c>
      <c r="E321" s="105" t="s">
        <v>46</v>
      </c>
      <c r="F321" s="105" t="s">
        <v>782</v>
      </c>
      <c r="H321" s="105" t="s">
        <v>33</v>
      </c>
      <c r="J321" s="5">
        <v>84.716666666666669</v>
      </c>
      <c r="K321" s="5">
        <v>1.9451600000000002</v>
      </c>
      <c r="L321" s="5">
        <v>59.934733333333327</v>
      </c>
      <c r="M321" s="5">
        <v>1.5229999999999999</v>
      </c>
      <c r="N321" s="5">
        <v>23.366666666666664</v>
      </c>
      <c r="O321" s="108">
        <v>0.436</v>
      </c>
      <c r="P321" s="5">
        <v>7.3004166666666662E-2</v>
      </c>
      <c r="Q321" s="108">
        <v>145</v>
      </c>
      <c r="R321" s="5">
        <v>13.785966666666665</v>
      </c>
      <c r="S321" s="5">
        <v>0.05</v>
      </c>
      <c r="T321" s="5"/>
      <c r="U321" s="197" t="s">
        <v>1047</v>
      </c>
      <c r="V321" s="5">
        <f>(384-320)*9</f>
        <v>576</v>
      </c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</row>
    <row r="322" spans="1:42" x14ac:dyDescent="0.2">
      <c r="A322" s="104" t="s">
        <v>51</v>
      </c>
      <c r="B322" s="104" t="s">
        <v>57</v>
      </c>
      <c r="C322" s="105" t="s">
        <v>58</v>
      </c>
      <c r="D322" s="105" t="s">
        <v>25</v>
      </c>
      <c r="E322" s="105" t="s">
        <v>46</v>
      </c>
      <c r="F322" s="105" t="s">
        <v>782</v>
      </c>
      <c r="H322" s="105" t="s">
        <v>33</v>
      </c>
      <c r="J322" s="5" t="s">
        <v>0</v>
      </c>
      <c r="L322" s="5">
        <v>91</v>
      </c>
      <c r="M322" s="107">
        <v>3</v>
      </c>
      <c r="P322" s="5">
        <v>2.5000000000000001E-2</v>
      </c>
      <c r="Q322" s="5" t="s">
        <v>0</v>
      </c>
      <c r="R322" s="5">
        <v>39</v>
      </c>
      <c r="T322" s="5"/>
      <c r="U322" s="197" t="s">
        <v>1048</v>
      </c>
      <c r="V322" s="5">
        <f>COUNTBLANK(K321:S384)</f>
        <v>100</v>
      </c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</row>
    <row r="323" spans="1:42" x14ac:dyDescent="0.2">
      <c r="A323" s="104" t="s">
        <v>51</v>
      </c>
      <c r="B323" s="104" t="s">
        <v>60</v>
      </c>
      <c r="C323" s="105" t="s">
        <v>61</v>
      </c>
      <c r="D323" s="105" t="s">
        <v>25</v>
      </c>
      <c r="E323" s="105" t="s">
        <v>46</v>
      </c>
      <c r="F323" s="105" t="s">
        <v>782</v>
      </c>
      <c r="H323" s="105" t="s">
        <v>33</v>
      </c>
      <c r="J323" s="5">
        <v>91</v>
      </c>
      <c r="K323" s="5">
        <v>1.0833333333333335</v>
      </c>
      <c r="L323" s="5">
        <v>70.857142857142861</v>
      </c>
      <c r="M323" s="5">
        <v>1.4633333333333332</v>
      </c>
      <c r="N323" s="5">
        <v>23</v>
      </c>
      <c r="O323" s="5">
        <v>0.34199999999999997</v>
      </c>
      <c r="P323" s="5">
        <v>3.3666666666666671E-2</v>
      </c>
      <c r="Q323" s="5">
        <v>16</v>
      </c>
      <c r="R323" s="5">
        <v>30.857142857142858</v>
      </c>
      <c r="S323" s="5">
        <v>0.22499999999999998</v>
      </c>
      <c r="T323" s="5"/>
      <c r="U323" s="197" t="s">
        <v>1049</v>
      </c>
      <c r="V323" s="5">
        <f>V321-V322</f>
        <v>476</v>
      </c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</row>
    <row r="324" spans="1:42" x14ac:dyDescent="0.2">
      <c r="A324" s="104" t="s">
        <v>73</v>
      </c>
      <c r="B324" s="104" t="s">
        <v>74</v>
      </c>
      <c r="C324" s="105" t="s">
        <v>75</v>
      </c>
      <c r="D324" s="105" t="s">
        <v>56</v>
      </c>
      <c r="E324" s="105" t="s">
        <v>46</v>
      </c>
      <c r="F324" s="105" t="s">
        <v>782</v>
      </c>
      <c r="H324" s="105" t="s">
        <v>33</v>
      </c>
      <c r="J324" s="5">
        <v>84</v>
      </c>
      <c r="K324" s="5">
        <v>1.5833333333333333</v>
      </c>
      <c r="L324" s="107">
        <v>326.33333333333331</v>
      </c>
      <c r="M324" s="109">
        <v>5.1166666666666671</v>
      </c>
      <c r="O324" s="109">
        <v>1.7950000000000002</v>
      </c>
      <c r="P324" s="5">
        <v>0.2858</v>
      </c>
      <c r="Q324" s="5">
        <v>69.333333333333329</v>
      </c>
      <c r="R324" s="5">
        <v>60.333333333333336</v>
      </c>
      <c r="S324" s="107">
        <v>2.68</v>
      </c>
      <c r="T324" s="5"/>
      <c r="U324" s="197" t="s">
        <v>1045</v>
      </c>
      <c r="V324" s="5">
        <v>21</v>
      </c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</row>
    <row r="325" spans="1:42" x14ac:dyDescent="0.2">
      <c r="A325" s="104" t="s">
        <v>73</v>
      </c>
      <c r="B325" s="104" t="s">
        <v>76</v>
      </c>
      <c r="C325" s="105" t="s">
        <v>75</v>
      </c>
      <c r="D325" s="105" t="s">
        <v>56</v>
      </c>
      <c r="E325" s="105" t="s">
        <v>46</v>
      </c>
      <c r="F325" s="105" t="s">
        <v>782</v>
      </c>
      <c r="H325" s="105" t="s">
        <v>33</v>
      </c>
      <c r="K325" s="5">
        <v>1.2933333333333332</v>
      </c>
      <c r="L325" s="107">
        <v>380</v>
      </c>
      <c r="M325" s="107">
        <v>2.84</v>
      </c>
      <c r="O325" s="109">
        <v>2.9066666666666667</v>
      </c>
      <c r="Q325" s="5">
        <v>64</v>
      </c>
      <c r="R325" s="108">
        <v>91.666666666666671</v>
      </c>
      <c r="S325" s="107">
        <v>4.1050000000000004</v>
      </c>
      <c r="T325" s="5"/>
      <c r="U325" s="197" t="s">
        <v>1046</v>
      </c>
      <c r="V325" s="5">
        <v>74</v>
      </c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</row>
    <row r="326" spans="1:42" x14ac:dyDescent="0.2">
      <c r="A326" s="104" t="s">
        <v>73</v>
      </c>
      <c r="B326" s="104" t="s">
        <v>77</v>
      </c>
      <c r="C326" s="105" t="s">
        <v>75</v>
      </c>
      <c r="D326" s="105" t="s">
        <v>56</v>
      </c>
      <c r="E326" s="105" t="s">
        <v>46</v>
      </c>
      <c r="F326" s="105" t="s">
        <v>782</v>
      </c>
      <c r="H326" s="105" t="s">
        <v>33</v>
      </c>
      <c r="K326" s="5">
        <v>1.58</v>
      </c>
      <c r="L326" s="107">
        <v>260.2</v>
      </c>
      <c r="M326" s="107">
        <v>2.2999999999999998</v>
      </c>
      <c r="O326" s="109">
        <v>3.5479999999999996</v>
      </c>
      <c r="Q326" s="5">
        <v>68</v>
      </c>
      <c r="R326" s="108">
        <v>88.8</v>
      </c>
      <c r="S326" s="108">
        <v>1.87</v>
      </c>
      <c r="T326" s="5"/>
      <c r="U326" s="197" t="s">
        <v>1050</v>
      </c>
      <c r="V326" s="196">
        <f>(V324+V325)/V323</f>
        <v>0.19957983193277312</v>
      </c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</row>
    <row r="327" spans="1:42" x14ac:dyDescent="0.2">
      <c r="A327" s="104" t="s">
        <v>73</v>
      </c>
      <c r="B327" s="104" t="s">
        <v>78</v>
      </c>
      <c r="C327" s="105" t="s">
        <v>75</v>
      </c>
      <c r="D327" s="105" t="s">
        <v>56</v>
      </c>
      <c r="E327" s="105" t="s">
        <v>46</v>
      </c>
      <c r="F327" s="105" t="s">
        <v>782</v>
      </c>
      <c r="H327" s="105" t="s">
        <v>33</v>
      </c>
      <c r="K327" s="5">
        <v>1.0900000000000001</v>
      </c>
      <c r="L327" s="107">
        <v>630</v>
      </c>
      <c r="M327" s="107">
        <v>3.14</v>
      </c>
      <c r="O327" s="107">
        <v>1.05</v>
      </c>
      <c r="Q327" s="5">
        <v>67</v>
      </c>
      <c r="R327" s="5">
        <v>63</v>
      </c>
      <c r="S327" s="108">
        <v>2.5</v>
      </c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</row>
    <row r="328" spans="1:42" x14ac:dyDescent="0.2">
      <c r="A328" s="104" t="s">
        <v>73</v>
      </c>
      <c r="B328" s="104" t="s">
        <v>79</v>
      </c>
      <c r="C328" s="105" t="s">
        <v>75</v>
      </c>
      <c r="D328" s="105" t="s">
        <v>56</v>
      </c>
      <c r="E328" s="105" t="s">
        <v>46</v>
      </c>
      <c r="F328" s="105" t="s">
        <v>782</v>
      </c>
      <c r="H328" s="105" t="s">
        <v>33</v>
      </c>
      <c r="J328" s="5">
        <v>91.7</v>
      </c>
      <c r="L328" s="108">
        <v>215</v>
      </c>
      <c r="M328" s="107">
        <v>2.2999999999999998</v>
      </c>
      <c r="N328" s="5">
        <v>55</v>
      </c>
      <c r="O328" s="107">
        <v>0.9</v>
      </c>
      <c r="P328" s="5">
        <v>0.14585000000000001</v>
      </c>
      <c r="Q328" s="5">
        <v>85</v>
      </c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</row>
    <row r="329" spans="1:42" x14ac:dyDescent="0.2">
      <c r="A329" s="104" t="s">
        <v>73</v>
      </c>
      <c r="B329" s="104" t="s">
        <v>80</v>
      </c>
      <c r="C329" s="105" t="s">
        <v>75</v>
      </c>
      <c r="D329" s="105" t="s">
        <v>56</v>
      </c>
      <c r="E329" s="105" t="s">
        <v>46</v>
      </c>
      <c r="F329" s="105" t="s">
        <v>782</v>
      </c>
      <c r="H329" s="105" t="s">
        <v>33</v>
      </c>
      <c r="K329" s="5">
        <v>1</v>
      </c>
      <c r="L329" s="107">
        <v>272.21428571428572</v>
      </c>
      <c r="M329" s="107">
        <v>3.81</v>
      </c>
      <c r="O329" s="107">
        <v>0.80714285714285716</v>
      </c>
      <c r="P329" s="5" t="s">
        <v>0</v>
      </c>
      <c r="Q329" s="108">
        <v>188</v>
      </c>
      <c r="R329" s="5">
        <v>66.833333333333329</v>
      </c>
      <c r="S329" s="5">
        <v>1.1000000000000001</v>
      </c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</row>
    <row r="330" spans="1:42" x14ac:dyDescent="0.2">
      <c r="A330" s="104" t="s">
        <v>82</v>
      </c>
      <c r="B330" s="104" t="s">
        <v>83</v>
      </c>
      <c r="C330" s="105" t="s">
        <v>84</v>
      </c>
      <c r="D330" s="105" t="s">
        <v>25</v>
      </c>
      <c r="E330" s="105" t="s">
        <v>46</v>
      </c>
      <c r="F330" s="105" t="s">
        <v>782</v>
      </c>
      <c r="H330" s="105" t="s">
        <v>33</v>
      </c>
      <c r="J330" s="5">
        <v>88.6</v>
      </c>
      <c r="K330" s="5">
        <v>2.335</v>
      </c>
      <c r="L330" s="107">
        <v>298</v>
      </c>
      <c r="M330" s="5">
        <v>1.5474999999999999</v>
      </c>
      <c r="N330" s="5">
        <v>26</v>
      </c>
      <c r="O330" s="107">
        <v>0.96666666666666667</v>
      </c>
      <c r="Q330" s="5">
        <v>69.75</v>
      </c>
      <c r="R330" s="5">
        <v>71.75</v>
      </c>
      <c r="S330" s="109">
        <v>7.5975000000000001</v>
      </c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</row>
    <row r="331" spans="1:42" x14ac:dyDescent="0.2">
      <c r="A331" s="104" t="s">
        <v>89</v>
      </c>
      <c r="B331" s="104" t="s">
        <v>90</v>
      </c>
      <c r="C331" s="105" t="s">
        <v>92</v>
      </c>
      <c r="D331" s="105" t="s">
        <v>56</v>
      </c>
      <c r="E331" s="105" t="s">
        <v>46</v>
      </c>
      <c r="F331" s="105" t="s">
        <v>782</v>
      </c>
      <c r="H331" s="105" t="s">
        <v>91</v>
      </c>
      <c r="J331" s="5">
        <v>95.050000000000011</v>
      </c>
      <c r="K331" s="5">
        <v>1.125</v>
      </c>
      <c r="L331" s="5">
        <v>46</v>
      </c>
      <c r="M331" s="5">
        <v>0.30000000000000004</v>
      </c>
      <c r="N331" s="5">
        <v>14</v>
      </c>
      <c r="O331" s="5">
        <v>0.13</v>
      </c>
      <c r="P331" s="5">
        <v>1.5825000000000002E-2</v>
      </c>
      <c r="Q331" s="5">
        <v>36</v>
      </c>
      <c r="R331" s="5">
        <v>5.55</v>
      </c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</row>
    <row r="332" spans="1:42" x14ac:dyDescent="0.2">
      <c r="A332" s="104" t="s">
        <v>116</v>
      </c>
      <c r="B332" s="104" t="s">
        <v>120</v>
      </c>
      <c r="C332" s="105" t="s">
        <v>122</v>
      </c>
      <c r="D332" s="105" t="s">
        <v>56</v>
      </c>
      <c r="E332" s="105" t="s">
        <v>46</v>
      </c>
      <c r="F332" s="105" t="s">
        <v>782</v>
      </c>
      <c r="H332" s="105" t="s">
        <v>121</v>
      </c>
      <c r="K332" s="5">
        <v>0.72</v>
      </c>
      <c r="L332" s="5">
        <v>158</v>
      </c>
      <c r="M332" s="5">
        <v>1.24</v>
      </c>
      <c r="O332" s="5">
        <v>0.35</v>
      </c>
      <c r="P332" s="107">
        <v>0.63349917081260354</v>
      </c>
      <c r="Q332" s="108">
        <v>172</v>
      </c>
      <c r="R332" s="5">
        <v>44</v>
      </c>
      <c r="S332" s="107">
        <v>3.11</v>
      </c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</row>
    <row r="333" spans="1:42" x14ac:dyDescent="0.2">
      <c r="A333" s="104" t="s">
        <v>133</v>
      </c>
      <c r="B333" s="104" t="s">
        <v>134</v>
      </c>
      <c r="C333" s="105" t="s">
        <v>135</v>
      </c>
      <c r="D333" s="105" t="s">
        <v>56</v>
      </c>
      <c r="E333" s="105" t="s">
        <v>46</v>
      </c>
      <c r="F333" s="105" t="s">
        <v>782</v>
      </c>
      <c r="H333" s="105" t="s">
        <v>33</v>
      </c>
      <c r="J333" s="5">
        <v>90</v>
      </c>
      <c r="K333" s="5">
        <v>1</v>
      </c>
      <c r="L333" s="5">
        <v>80</v>
      </c>
      <c r="M333" s="5">
        <v>1</v>
      </c>
      <c r="P333" s="108">
        <v>0.46500000000000002</v>
      </c>
      <c r="R333" s="5">
        <v>70</v>
      </c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</row>
    <row r="334" spans="1:42" x14ac:dyDescent="0.2">
      <c r="A334" s="104" t="s">
        <v>147</v>
      </c>
      <c r="B334" s="104" t="s">
        <v>148</v>
      </c>
      <c r="C334" s="105" t="s">
        <v>149</v>
      </c>
      <c r="D334" s="105" t="s">
        <v>56</v>
      </c>
      <c r="E334" s="105" t="s">
        <v>46</v>
      </c>
      <c r="F334" s="105" t="s">
        <v>782</v>
      </c>
      <c r="H334" s="105" t="s">
        <v>33</v>
      </c>
      <c r="J334" s="5">
        <v>90.957142857142841</v>
      </c>
      <c r="K334" s="5">
        <v>1.4124999999999999</v>
      </c>
      <c r="L334" s="5">
        <v>102.75</v>
      </c>
      <c r="M334" s="107">
        <v>2.9541666666666662</v>
      </c>
      <c r="N334" s="108">
        <v>78.25</v>
      </c>
      <c r="O334" s="5">
        <v>0.31666666666666671</v>
      </c>
      <c r="P334" s="5">
        <v>0.24247599183569335</v>
      </c>
      <c r="Q334" s="5">
        <v>32.571428571428569</v>
      </c>
      <c r="R334" s="5">
        <v>27.23076923076923</v>
      </c>
      <c r="S334" s="5">
        <v>0.92874999999999985</v>
      </c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</row>
    <row r="335" spans="1:42" x14ac:dyDescent="0.2">
      <c r="A335" s="104" t="s">
        <v>151</v>
      </c>
      <c r="B335" s="104" t="s">
        <v>152</v>
      </c>
      <c r="C335" s="105" t="s">
        <v>153</v>
      </c>
      <c r="D335" s="105" t="s">
        <v>56</v>
      </c>
      <c r="E335" s="105" t="s">
        <v>46</v>
      </c>
      <c r="F335" s="105" t="s">
        <v>782</v>
      </c>
      <c r="H335" s="105" t="s">
        <v>33</v>
      </c>
      <c r="J335" s="5">
        <v>82</v>
      </c>
      <c r="K335" s="5">
        <v>1.1100000000000001</v>
      </c>
      <c r="L335" s="5">
        <v>118</v>
      </c>
      <c r="M335" s="5">
        <v>1.38</v>
      </c>
      <c r="P335" s="108">
        <v>0.48710613598673297</v>
      </c>
      <c r="R335" s="5">
        <v>52.5</v>
      </c>
      <c r="S335" s="108">
        <v>1.74</v>
      </c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</row>
    <row r="336" spans="1:42" x14ac:dyDescent="0.2">
      <c r="A336" s="104" t="s">
        <v>161</v>
      </c>
      <c r="B336" s="104" t="s">
        <v>168</v>
      </c>
      <c r="C336" s="105" t="s">
        <v>169</v>
      </c>
      <c r="D336" s="105" t="s">
        <v>25</v>
      </c>
      <c r="E336" s="105" t="s">
        <v>46</v>
      </c>
      <c r="F336" s="105" t="s">
        <v>782</v>
      </c>
      <c r="H336" s="105" t="s">
        <v>33</v>
      </c>
      <c r="J336" s="5" t="s">
        <v>0</v>
      </c>
      <c r="K336" s="5">
        <v>1.3766666666666667</v>
      </c>
      <c r="L336" s="5">
        <v>157</v>
      </c>
      <c r="M336" s="5">
        <v>1.3333333333333333</v>
      </c>
      <c r="O336" s="107">
        <v>0.92</v>
      </c>
      <c r="P336" s="5">
        <v>0.15257048092868988</v>
      </c>
      <c r="Q336" s="5">
        <v>86.5</v>
      </c>
      <c r="R336" s="107">
        <v>157</v>
      </c>
      <c r="S336" s="5">
        <v>1.2566666666666666</v>
      </c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</row>
    <row r="337" spans="1:42" x14ac:dyDescent="0.2">
      <c r="A337" s="104" t="s">
        <v>161</v>
      </c>
      <c r="B337" s="104" t="s">
        <v>170</v>
      </c>
      <c r="C337" s="105" t="s">
        <v>171</v>
      </c>
      <c r="D337" s="105" t="s">
        <v>56</v>
      </c>
      <c r="E337" s="105" t="s">
        <v>46</v>
      </c>
      <c r="F337" s="105" t="s">
        <v>782</v>
      </c>
      <c r="H337" s="105" t="s">
        <v>33</v>
      </c>
      <c r="J337" s="5">
        <v>91.15</v>
      </c>
      <c r="K337" s="5">
        <v>0.89615384615384619</v>
      </c>
      <c r="L337" s="5">
        <v>152.03846153846155</v>
      </c>
      <c r="M337" s="5">
        <v>1.2423076923076921</v>
      </c>
      <c r="N337" s="5">
        <v>30.5</v>
      </c>
      <c r="O337" s="5">
        <v>0.23083333333333336</v>
      </c>
      <c r="P337" s="5">
        <v>0.14553255942509674</v>
      </c>
      <c r="Q337" s="5">
        <v>31</v>
      </c>
      <c r="R337" s="5">
        <v>65.615384615384613</v>
      </c>
      <c r="S337" s="5">
        <v>1.0808333333333333</v>
      </c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</row>
    <row r="338" spans="1:42" x14ac:dyDescent="0.2">
      <c r="A338" s="104" t="s">
        <v>161</v>
      </c>
      <c r="B338" s="104" t="s">
        <v>172</v>
      </c>
      <c r="C338" s="105" t="s">
        <v>174</v>
      </c>
      <c r="D338" s="105" t="s">
        <v>25</v>
      </c>
      <c r="E338" s="105" t="s">
        <v>46</v>
      </c>
      <c r="F338" s="105" t="s">
        <v>782</v>
      </c>
      <c r="H338" s="105" t="s">
        <v>33</v>
      </c>
      <c r="J338" s="5">
        <v>87</v>
      </c>
      <c r="K338" s="5">
        <v>1.23</v>
      </c>
      <c r="L338" s="108">
        <v>205</v>
      </c>
      <c r="M338" s="107">
        <v>3</v>
      </c>
      <c r="N338" s="107">
        <v>88</v>
      </c>
      <c r="P338" s="5">
        <v>0.155</v>
      </c>
      <c r="Q338" s="5" t="s">
        <v>0</v>
      </c>
      <c r="R338" s="107">
        <v>130</v>
      </c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</row>
    <row r="339" spans="1:42" x14ac:dyDescent="0.2">
      <c r="A339" s="104" t="s">
        <v>161</v>
      </c>
      <c r="B339" s="104" t="s">
        <v>45</v>
      </c>
      <c r="C339" s="105" t="s">
        <v>179</v>
      </c>
      <c r="D339" s="105" t="s">
        <v>56</v>
      </c>
      <c r="E339" s="105" t="s">
        <v>46</v>
      </c>
      <c r="F339" s="105" t="s">
        <v>782</v>
      </c>
      <c r="H339" s="105" t="s">
        <v>33</v>
      </c>
      <c r="J339" s="5">
        <v>91.712499999999991</v>
      </c>
      <c r="K339" s="5">
        <v>1.1546153846153844</v>
      </c>
      <c r="L339" s="5">
        <v>48.284615384615385</v>
      </c>
      <c r="M339" s="5">
        <v>0.73583333333333334</v>
      </c>
      <c r="N339" s="5">
        <v>17.714285714285715</v>
      </c>
      <c r="O339" s="5">
        <v>0.26666666666666666</v>
      </c>
      <c r="P339" s="5">
        <v>1.9977093698175789E-2</v>
      </c>
      <c r="Q339" s="5">
        <v>49.5</v>
      </c>
      <c r="R339" s="5">
        <v>46.661538461538463</v>
      </c>
      <c r="S339" s="5">
        <v>0.20250000000000004</v>
      </c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</row>
    <row r="340" spans="1:42" x14ac:dyDescent="0.2">
      <c r="A340" s="104" t="s">
        <v>161</v>
      </c>
      <c r="B340" s="104" t="s">
        <v>45</v>
      </c>
      <c r="C340" s="105" t="s">
        <v>175</v>
      </c>
      <c r="D340" s="105" t="s">
        <v>25</v>
      </c>
      <c r="E340" s="105" t="s">
        <v>46</v>
      </c>
      <c r="F340" s="105" t="s">
        <v>782</v>
      </c>
      <c r="H340" s="105" t="s">
        <v>33</v>
      </c>
      <c r="J340" s="5">
        <v>87.56</v>
      </c>
      <c r="K340" s="5">
        <v>1.6049999999999998</v>
      </c>
      <c r="L340" s="108">
        <v>238.7</v>
      </c>
      <c r="M340" s="5">
        <v>1.5509999999999999</v>
      </c>
      <c r="N340" s="5">
        <v>51.75</v>
      </c>
      <c r="O340" s="5">
        <v>0.32124999999999998</v>
      </c>
      <c r="P340" s="5">
        <v>0.2635935634328358</v>
      </c>
      <c r="Q340" s="5">
        <v>99.333333333333329</v>
      </c>
      <c r="R340" s="108">
        <v>91.33</v>
      </c>
      <c r="S340" s="108">
        <v>1.51</v>
      </c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</row>
    <row r="341" spans="1:42" x14ac:dyDescent="0.2">
      <c r="A341" s="104" t="s">
        <v>161</v>
      </c>
      <c r="B341" s="104" t="s">
        <v>45</v>
      </c>
      <c r="C341" s="105" t="s">
        <v>184</v>
      </c>
      <c r="D341" s="105" t="s">
        <v>56</v>
      </c>
      <c r="E341" s="105" t="s">
        <v>46</v>
      </c>
      <c r="F341" s="105" t="s">
        <v>782</v>
      </c>
      <c r="H341" s="105" t="s">
        <v>183</v>
      </c>
      <c r="J341" s="5">
        <v>91</v>
      </c>
      <c r="K341" s="5">
        <v>1.1000000000000001</v>
      </c>
      <c r="L341" s="5">
        <v>42</v>
      </c>
      <c r="M341" s="5">
        <v>0.5</v>
      </c>
      <c r="N341" s="5">
        <v>27</v>
      </c>
      <c r="P341" s="5">
        <v>1.25E-3</v>
      </c>
      <c r="R341" s="5">
        <v>64</v>
      </c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</row>
    <row r="342" spans="1:42" x14ac:dyDescent="0.2">
      <c r="A342" s="104" t="s">
        <v>161</v>
      </c>
      <c r="B342" s="104" t="s">
        <v>177</v>
      </c>
      <c r="C342" s="105" t="s">
        <v>178</v>
      </c>
      <c r="D342" s="105" t="s">
        <v>56</v>
      </c>
      <c r="E342" s="105" t="s">
        <v>46</v>
      </c>
      <c r="F342" s="105" t="s">
        <v>782</v>
      </c>
      <c r="H342" s="105" t="s">
        <v>33</v>
      </c>
      <c r="J342" s="5">
        <v>85.4</v>
      </c>
      <c r="K342" s="108">
        <v>2.7</v>
      </c>
      <c r="L342" s="5">
        <v>51.5</v>
      </c>
      <c r="M342" s="5">
        <v>1.45</v>
      </c>
      <c r="N342" s="5">
        <v>24.5</v>
      </c>
      <c r="O342" s="5">
        <v>0.42</v>
      </c>
      <c r="P342" s="5">
        <v>0</v>
      </c>
      <c r="Q342" s="5">
        <v>61</v>
      </c>
      <c r="R342" s="108">
        <v>91.5</v>
      </c>
      <c r="S342" s="5">
        <v>0.88</v>
      </c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</row>
    <row r="343" spans="1:42" x14ac:dyDescent="0.2">
      <c r="A343" s="104" t="s">
        <v>161</v>
      </c>
      <c r="B343" s="104" t="s">
        <v>162</v>
      </c>
      <c r="C343" s="105" t="s">
        <v>165</v>
      </c>
      <c r="D343" s="105" t="s">
        <v>56</v>
      </c>
      <c r="E343" s="105" t="s">
        <v>46</v>
      </c>
      <c r="F343" s="105" t="s">
        <v>782</v>
      </c>
      <c r="H343" s="105" t="s">
        <v>33</v>
      </c>
      <c r="J343" s="5">
        <v>93.237500000000011</v>
      </c>
      <c r="K343" s="5">
        <v>0.69828571428571451</v>
      </c>
      <c r="L343" s="5">
        <v>136.32777777777778</v>
      </c>
      <c r="M343" s="5">
        <v>1.2313888888888889</v>
      </c>
      <c r="N343" s="5">
        <v>23.857142857142858</v>
      </c>
      <c r="O343" s="5">
        <v>0.22967741935483874</v>
      </c>
      <c r="P343" s="5">
        <v>0.18336100515938825</v>
      </c>
      <c r="Q343" s="5">
        <v>73.857142857142861</v>
      </c>
      <c r="R343" s="5">
        <v>55.25714285714286</v>
      </c>
      <c r="S343" s="5">
        <v>0.84576923076923083</v>
      </c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</row>
    <row r="344" spans="1:42" x14ac:dyDescent="0.2">
      <c r="A344" s="104" t="s">
        <v>204</v>
      </c>
      <c r="B344" s="104" t="s">
        <v>205</v>
      </c>
      <c r="C344" s="105" t="s">
        <v>206</v>
      </c>
      <c r="D344" s="105" t="s">
        <v>25</v>
      </c>
      <c r="E344" s="105" t="s">
        <v>46</v>
      </c>
      <c r="F344" s="105" t="s">
        <v>783</v>
      </c>
      <c r="H344" s="105" t="s">
        <v>33</v>
      </c>
      <c r="K344" s="5">
        <v>1.2349999999999999</v>
      </c>
      <c r="L344" s="108">
        <v>216</v>
      </c>
      <c r="M344" s="108">
        <v>2.08</v>
      </c>
      <c r="O344" s="108">
        <v>0.48000000000000004</v>
      </c>
      <c r="P344" s="108">
        <v>0.40132669983416247</v>
      </c>
      <c r="Q344" s="5">
        <v>53</v>
      </c>
      <c r="R344" s="5">
        <v>70.5</v>
      </c>
      <c r="S344" s="5">
        <v>0.4</v>
      </c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</row>
    <row r="345" spans="1:42" x14ac:dyDescent="0.2">
      <c r="A345" s="104" t="s">
        <v>215</v>
      </c>
      <c r="B345" s="104" t="s">
        <v>216</v>
      </c>
      <c r="C345" s="105" t="s">
        <v>217</v>
      </c>
      <c r="D345" s="105" t="s">
        <v>56</v>
      </c>
      <c r="E345" s="105" t="s">
        <v>46</v>
      </c>
      <c r="F345" s="105" t="s">
        <v>782</v>
      </c>
      <c r="H345" s="105" t="s">
        <v>33</v>
      </c>
      <c r="J345" s="5">
        <v>85.15</v>
      </c>
      <c r="K345" s="5">
        <v>1.5059999999999998</v>
      </c>
      <c r="L345" s="108">
        <v>211</v>
      </c>
      <c r="M345" s="109">
        <v>4.3639999999999999</v>
      </c>
      <c r="O345" s="107">
        <v>0.9</v>
      </c>
      <c r="P345" s="107">
        <v>0.76451077943615253</v>
      </c>
      <c r="Q345" s="108">
        <v>159</v>
      </c>
      <c r="R345" s="5">
        <v>36.5</v>
      </c>
      <c r="S345" s="108">
        <v>1.8</v>
      </c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</row>
    <row r="346" spans="1:42" x14ac:dyDescent="0.2">
      <c r="A346" s="104" t="s">
        <v>221</v>
      </c>
      <c r="B346" s="104" t="s">
        <v>224</v>
      </c>
      <c r="C346" s="105" t="s">
        <v>224</v>
      </c>
      <c r="D346" s="105" t="s">
        <v>56</v>
      </c>
      <c r="E346" s="105" t="s">
        <v>46</v>
      </c>
      <c r="F346" s="105" t="s">
        <v>782</v>
      </c>
      <c r="H346" s="105" t="s">
        <v>33</v>
      </c>
      <c r="J346" s="5">
        <v>84</v>
      </c>
      <c r="K346" s="5">
        <v>2.1</v>
      </c>
      <c r="L346" s="107">
        <v>280</v>
      </c>
      <c r="M346" s="108">
        <v>2.1</v>
      </c>
      <c r="P346" s="107">
        <v>0.56499999999999995</v>
      </c>
      <c r="R346" s="108">
        <v>90</v>
      </c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</row>
    <row r="347" spans="1:42" x14ac:dyDescent="0.2">
      <c r="A347" s="104" t="s">
        <v>225</v>
      </c>
      <c r="B347" s="104" t="s">
        <v>226</v>
      </c>
      <c r="C347" s="105" t="s">
        <v>227</v>
      </c>
      <c r="D347" s="105" t="s">
        <v>56</v>
      </c>
      <c r="E347" s="105" t="s">
        <v>46</v>
      </c>
      <c r="F347" s="105" t="s">
        <v>782</v>
      </c>
      <c r="H347" s="105" t="s">
        <v>33</v>
      </c>
      <c r="J347" s="5">
        <v>93.9</v>
      </c>
      <c r="K347" s="5">
        <v>1.3650000000000002</v>
      </c>
      <c r="L347" s="5">
        <v>45</v>
      </c>
      <c r="M347" s="5">
        <v>0.6100000000000001</v>
      </c>
      <c r="N347" s="5">
        <v>14</v>
      </c>
      <c r="O347" s="108">
        <v>0.46666666666666662</v>
      </c>
      <c r="P347" s="5">
        <v>7.3537997512437808E-2</v>
      </c>
      <c r="Q347" s="5">
        <v>53.333333333333336</v>
      </c>
      <c r="R347" s="5">
        <v>7.625</v>
      </c>
      <c r="S347" s="5">
        <v>0.4</v>
      </c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</row>
    <row r="348" spans="1:42" x14ac:dyDescent="0.2">
      <c r="A348" s="104" t="s">
        <v>225</v>
      </c>
      <c r="B348" s="104" t="s">
        <v>228</v>
      </c>
      <c r="C348" s="105" t="s">
        <v>229</v>
      </c>
      <c r="D348" s="105" t="s">
        <v>25</v>
      </c>
      <c r="E348" s="105" t="s">
        <v>46</v>
      </c>
      <c r="F348" s="105" t="s">
        <v>782</v>
      </c>
      <c r="H348" s="105" t="s">
        <v>33</v>
      </c>
      <c r="J348" s="5">
        <v>92.44285714285715</v>
      </c>
      <c r="K348" s="5">
        <v>1.8928333333333331</v>
      </c>
      <c r="L348" s="5">
        <v>78.999728571428577</v>
      </c>
      <c r="M348" s="5">
        <v>0.98962857142857141</v>
      </c>
      <c r="N348" s="5">
        <v>19.559999999999999</v>
      </c>
      <c r="O348" s="5">
        <v>0.31766666666666665</v>
      </c>
      <c r="P348" s="5">
        <v>0.27022734936428966</v>
      </c>
      <c r="Q348" s="108">
        <v>137.66666666666666</v>
      </c>
      <c r="R348" s="5">
        <v>19.333099999999998</v>
      </c>
      <c r="S348" s="108">
        <v>2.3049999999999997</v>
      </c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</row>
    <row r="349" spans="1:42" x14ac:dyDescent="0.2">
      <c r="A349" s="104" t="s">
        <v>230</v>
      </c>
      <c r="B349" s="104" t="s">
        <v>231</v>
      </c>
      <c r="C349" s="105" t="s">
        <v>232</v>
      </c>
      <c r="D349" s="105" t="s">
        <v>56</v>
      </c>
      <c r="E349" s="105" t="s">
        <v>46</v>
      </c>
      <c r="F349" s="105" t="s">
        <v>782</v>
      </c>
      <c r="H349" s="105" t="s">
        <v>33</v>
      </c>
      <c r="J349" s="5">
        <v>86.6</v>
      </c>
      <c r="K349" s="5">
        <v>1.0316666666666667</v>
      </c>
      <c r="L349" s="108">
        <v>237.83333333333334</v>
      </c>
      <c r="M349" s="107">
        <v>3.125</v>
      </c>
      <c r="O349" s="107">
        <v>0.81799999999999995</v>
      </c>
      <c r="P349" s="109">
        <v>1.2981757877280267</v>
      </c>
      <c r="Q349" s="107">
        <v>246.8</v>
      </c>
      <c r="R349" s="107">
        <v>124</v>
      </c>
      <c r="S349" s="108">
        <v>2.06</v>
      </c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</row>
    <row r="350" spans="1:42" x14ac:dyDescent="0.2">
      <c r="A350" s="104" t="s">
        <v>256</v>
      </c>
      <c r="B350" s="104" t="s">
        <v>257</v>
      </c>
      <c r="C350" s="105" t="s">
        <v>867</v>
      </c>
      <c r="D350" s="105" t="s">
        <v>56</v>
      </c>
      <c r="E350" s="105" t="s">
        <v>46</v>
      </c>
      <c r="F350" s="105" t="s">
        <v>782</v>
      </c>
      <c r="H350" s="105" t="s">
        <v>33</v>
      </c>
      <c r="J350" s="5" t="s">
        <v>0</v>
      </c>
      <c r="K350" s="5">
        <v>2.1549999999999998</v>
      </c>
      <c r="L350" s="107">
        <v>283.5</v>
      </c>
      <c r="M350" s="107">
        <v>2.6550000000000002</v>
      </c>
      <c r="O350" s="5">
        <v>0.16</v>
      </c>
      <c r="P350" s="109">
        <v>1.2222222222222223</v>
      </c>
      <c r="Q350" s="5">
        <v>53</v>
      </c>
      <c r="R350" s="108">
        <v>84</v>
      </c>
      <c r="S350" s="107">
        <v>2.82</v>
      </c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</row>
    <row r="351" spans="1:42" x14ac:dyDescent="0.2">
      <c r="A351" s="104" t="s">
        <v>259</v>
      </c>
      <c r="B351" s="104" t="s">
        <v>258</v>
      </c>
      <c r="C351" s="105" t="s">
        <v>260</v>
      </c>
      <c r="D351" s="105" t="s">
        <v>56</v>
      </c>
      <c r="E351" s="105" t="s">
        <v>46</v>
      </c>
      <c r="F351" s="105" t="s">
        <v>782</v>
      </c>
      <c r="H351" s="105" t="s">
        <v>33</v>
      </c>
      <c r="J351" s="5">
        <v>84.066666666666677</v>
      </c>
      <c r="K351" s="5">
        <v>1.6636363636363634</v>
      </c>
      <c r="L351" s="107">
        <v>251.33333333333334</v>
      </c>
      <c r="M351" s="109">
        <v>4.3550000000000004</v>
      </c>
      <c r="N351" s="108">
        <v>64</v>
      </c>
      <c r="O351" s="107">
        <v>0.71444444444444444</v>
      </c>
      <c r="P351" s="108">
        <v>0.48018266244534902</v>
      </c>
      <c r="Q351" s="5">
        <v>96.111111111111114</v>
      </c>
      <c r="R351" s="108">
        <v>97.818181818181813</v>
      </c>
      <c r="S351" s="107">
        <v>3.141111111111111</v>
      </c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</row>
    <row r="352" spans="1:42" x14ac:dyDescent="0.2">
      <c r="A352" s="104" t="s">
        <v>261</v>
      </c>
      <c r="B352" s="104" t="s">
        <v>262</v>
      </c>
      <c r="C352" s="105" t="s">
        <v>868</v>
      </c>
      <c r="D352" s="105" t="s">
        <v>56</v>
      </c>
      <c r="E352" s="105" t="s">
        <v>46</v>
      </c>
      <c r="F352" s="105" t="s">
        <v>782</v>
      </c>
      <c r="H352" s="105" t="s">
        <v>33</v>
      </c>
      <c r="J352" s="5">
        <v>93</v>
      </c>
      <c r="K352" s="5">
        <v>1.6</v>
      </c>
      <c r="L352" s="107">
        <v>270</v>
      </c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</row>
    <row r="353" spans="1:42" x14ac:dyDescent="0.2">
      <c r="A353" s="104" t="s">
        <v>266</v>
      </c>
      <c r="B353" s="104" t="s">
        <v>267</v>
      </c>
      <c r="C353" s="105" t="s">
        <v>999</v>
      </c>
      <c r="D353" s="105" t="s">
        <v>56</v>
      </c>
      <c r="E353" s="105" t="s">
        <v>46</v>
      </c>
      <c r="F353" s="105" t="s">
        <v>782</v>
      </c>
      <c r="H353" s="105" t="s">
        <v>33</v>
      </c>
      <c r="J353" s="5">
        <v>79</v>
      </c>
      <c r="K353" s="5">
        <v>1.3499999999999999</v>
      </c>
      <c r="L353" s="5">
        <v>142.33333333333334</v>
      </c>
      <c r="M353" s="108">
        <v>1.615</v>
      </c>
      <c r="O353" s="5">
        <v>0.41500000000000004</v>
      </c>
      <c r="P353" s="108">
        <v>0.4079601990049751</v>
      </c>
      <c r="R353" s="5">
        <v>12</v>
      </c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</row>
    <row r="354" spans="1:42" x14ac:dyDescent="0.2">
      <c r="A354" s="104" t="s">
        <v>281</v>
      </c>
      <c r="B354" s="104" t="s">
        <v>285</v>
      </c>
      <c r="C354" s="105" t="s">
        <v>287</v>
      </c>
      <c r="D354" s="105" t="s">
        <v>56</v>
      </c>
      <c r="E354" s="105" t="s">
        <v>42</v>
      </c>
      <c r="F354" s="105" t="s">
        <v>784</v>
      </c>
      <c r="H354" s="105" t="s">
        <v>33</v>
      </c>
      <c r="K354" s="5">
        <v>1.1299999999999999</v>
      </c>
      <c r="L354" s="5">
        <v>102</v>
      </c>
      <c r="M354" s="108">
        <v>1.675</v>
      </c>
      <c r="O354" s="107">
        <v>0.63</v>
      </c>
      <c r="P354" s="5">
        <v>7.2968490878938627E-2</v>
      </c>
      <c r="Q354" s="5">
        <v>64.5</v>
      </c>
      <c r="R354" s="5">
        <v>28</v>
      </c>
      <c r="S354" s="107">
        <v>2.61</v>
      </c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</row>
    <row r="355" spans="1:42" x14ac:dyDescent="0.2">
      <c r="A355" s="104" t="s">
        <v>281</v>
      </c>
      <c r="B355" s="104" t="s">
        <v>288</v>
      </c>
      <c r="C355" s="105" t="s">
        <v>287</v>
      </c>
      <c r="D355" s="105" t="s">
        <v>56</v>
      </c>
      <c r="E355" s="105" t="s">
        <v>42</v>
      </c>
      <c r="F355" s="105" t="s">
        <v>784</v>
      </c>
      <c r="H355" s="105" t="s">
        <v>33</v>
      </c>
      <c r="K355" s="5">
        <v>1.1100000000000001</v>
      </c>
      <c r="L355" s="5">
        <v>31</v>
      </c>
      <c r="M355" s="108">
        <v>1.69</v>
      </c>
      <c r="O355" s="5">
        <v>0.37</v>
      </c>
      <c r="P355" s="5">
        <v>7.1310116086235484E-2</v>
      </c>
      <c r="R355" s="5">
        <v>9</v>
      </c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</row>
    <row r="356" spans="1:42" x14ac:dyDescent="0.2">
      <c r="A356" s="104" t="s">
        <v>281</v>
      </c>
      <c r="B356" s="104" t="s">
        <v>79</v>
      </c>
      <c r="C356" s="105" t="s">
        <v>287</v>
      </c>
      <c r="D356" s="105" t="s">
        <v>56</v>
      </c>
      <c r="E356" s="105" t="s">
        <v>42</v>
      </c>
      <c r="F356" s="105" t="s">
        <v>784</v>
      </c>
      <c r="H356" s="105" t="s">
        <v>33</v>
      </c>
      <c r="J356" s="5">
        <v>90.45</v>
      </c>
      <c r="K356" s="5">
        <v>1.8</v>
      </c>
      <c r="L356" s="108">
        <v>171</v>
      </c>
      <c r="M356" s="108">
        <v>1.85</v>
      </c>
      <c r="N356" s="5">
        <v>38</v>
      </c>
      <c r="O356" s="5">
        <v>0.2</v>
      </c>
      <c r="P356" s="5">
        <v>9.7100000000000006E-2</v>
      </c>
      <c r="Q356" s="5">
        <v>36</v>
      </c>
      <c r="R356" s="5">
        <v>28</v>
      </c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</row>
    <row r="357" spans="1:42" x14ac:dyDescent="0.2">
      <c r="A357" s="104" t="s">
        <v>300</v>
      </c>
      <c r="B357" s="104" t="s">
        <v>299</v>
      </c>
      <c r="C357" s="105" t="s">
        <v>301</v>
      </c>
      <c r="D357" s="105" t="s">
        <v>25</v>
      </c>
      <c r="E357" s="105" t="s">
        <v>46</v>
      </c>
      <c r="F357" s="105" t="s">
        <v>782</v>
      </c>
      <c r="H357" s="105" t="s">
        <v>91</v>
      </c>
      <c r="J357" s="5">
        <v>94</v>
      </c>
      <c r="K357" s="5">
        <v>1.2991000000000006</v>
      </c>
      <c r="L357" s="5">
        <v>68.999800000000036</v>
      </c>
      <c r="M357" s="5">
        <v>1.1002000000000005</v>
      </c>
      <c r="N357" s="5">
        <v>21.35</v>
      </c>
      <c r="O357" s="5">
        <v>0.17</v>
      </c>
      <c r="P357" s="5">
        <v>9.2500000000000013E-3</v>
      </c>
      <c r="Q357" s="5">
        <v>68</v>
      </c>
      <c r="R357" s="5">
        <v>1.6660666666666668</v>
      </c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</row>
    <row r="358" spans="1:42" x14ac:dyDescent="0.2">
      <c r="A358" s="104" t="s">
        <v>323</v>
      </c>
      <c r="B358" s="104" t="s">
        <v>324</v>
      </c>
      <c r="C358" s="105" t="s">
        <v>872</v>
      </c>
      <c r="D358" s="105" t="s">
        <v>56</v>
      </c>
      <c r="E358" s="105" t="s">
        <v>46</v>
      </c>
      <c r="F358" s="105" t="s">
        <v>782</v>
      </c>
      <c r="H358" s="105" t="s">
        <v>33</v>
      </c>
      <c r="K358" s="5">
        <v>1.03</v>
      </c>
      <c r="L358" s="108">
        <v>172</v>
      </c>
      <c r="M358" s="107">
        <v>2.4</v>
      </c>
      <c r="O358" s="107">
        <v>0.86</v>
      </c>
      <c r="P358" s="107">
        <v>0.61194029850746268</v>
      </c>
      <c r="R358" s="5">
        <v>23</v>
      </c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</row>
    <row r="359" spans="1:42" x14ac:dyDescent="0.2">
      <c r="A359" s="104" t="s">
        <v>330</v>
      </c>
      <c r="B359" s="104" t="s">
        <v>331</v>
      </c>
      <c r="C359" s="105" t="s">
        <v>333</v>
      </c>
      <c r="D359" s="105" t="s">
        <v>56</v>
      </c>
      <c r="E359" s="105" t="s">
        <v>46</v>
      </c>
      <c r="F359" s="105" t="s">
        <v>782</v>
      </c>
      <c r="H359" s="105" t="s">
        <v>33</v>
      </c>
      <c r="J359" s="5">
        <v>91.75</v>
      </c>
      <c r="K359" s="5">
        <v>1.1133333333333333</v>
      </c>
      <c r="L359" s="108">
        <v>224</v>
      </c>
      <c r="M359" s="5">
        <v>1.3366666666666667</v>
      </c>
      <c r="N359" s="5">
        <v>47</v>
      </c>
      <c r="O359" s="108">
        <v>0.43999999999999995</v>
      </c>
      <c r="P359" s="5">
        <v>0.15287227750138196</v>
      </c>
      <c r="Q359" s="5">
        <v>92</v>
      </c>
      <c r="R359" s="5">
        <v>53.65</v>
      </c>
      <c r="S359" s="5">
        <v>1.21</v>
      </c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</row>
    <row r="360" spans="1:42" x14ac:dyDescent="0.2">
      <c r="A360" s="104" t="s">
        <v>330</v>
      </c>
      <c r="B360" s="104" t="s">
        <v>334</v>
      </c>
      <c r="C360" s="105" t="s">
        <v>874</v>
      </c>
      <c r="D360" s="105" t="s">
        <v>56</v>
      </c>
      <c r="E360" s="105" t="s">
        <v>46</v>
      </c>
      <c r="F360" s="105" t="s">
        <v>782</v>
      </c>
      <c r="H360" s="105" t="s">
        <v>33</v>
      </c>
      <c r="K360" s="5">
        <v>1.1300000000000001</v>
      </c>
      <c r="L360" s="107">
        <v>387.5</v>
      </c>
      <c r="M360" s="108">
        <v>1.77</v>
      </c>
      <c r="P360" s="107">
        <v>0.62603648424543934</v>
      </c>
      <c r="R360" s="109">
        <v>275.5</v>
      </c>
      <c r="S360" s="5">
        <v>1.0899999999999999</v>
      </c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</row>
    <row r="361" spans="1:42" x14ac:dyDescent="0.2">
      <c r="A361" s="104" t="s">
        <v>340</v>
      </c>
      <c r="B361" s="104" t="s">
        <v>341</v>
      </c>
      <c r="C361" s="105" t="s">
        <v>342</v>
      </c>
      <c r="D361" s="105" t="s">
        <v>56</v>
      </c>
      <c r="E361" s="105" t="s">
        <v>46</v>
      </c>
      <c r="F361" s="105" t="s">
        <v>782</v>
      </c>
      <c r="H361" s="105" t="s">
        <v>91</v>
      </c>
      <c r="J361" s="5">
        <v>88</v>
      </c>
      <c r="K361" s="5">
        <v>0.5</v>
      </c>
      <c r="L361" s="5">
        <v>73</v>
      </c>
      <c r="M361" s="5">
        <v>1.5</v>
      </c>
      <c r="N361" s="5">
        <v>36</v>
      </c>
      <c r="P361" s="5">
        <v>5.0000000000000001E-3</v>
      </c>
      <c r="R361" s="5">
        <v>20</v>
      </c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</row>
    <row r="362" spans="1:42" x14ac:dyDescent="0.2">
      <c r="A362" s="104" t="s">
        <v>343</v>
      </c>
      <c r="B362" s="104" t="s">
        <v>345</v>
      </c>
      <c r="C362" s="105" t="s">
        <v>346</v>
      </c>
      <c r="D362" s="105" t="s">
        <v>56</v>
      </c>
      <c r="E362" s="105" t="s">
        <v>46</v>
      </c>
      <c r="F362" s="105" t="s">
        <v>782</v>
      </c>
      <c r="H362" s="105" t="s">
        <v>33</v>
      </c>
      <c r="J362" s="5">
        <v>91.8</v>
      </c>
      <c r="K362" s="5">
        <v>0.9044444444444445</v>
      </c>
      <c r="L362" s="5">
        <v>86.7</v>
      </c>
      <c r="M362" s="108">
        <v>1.7736363636363637</v>
      </c>
      <c r="N362" s="5">
        <v>32</v>
      </c>
      <c r="O362" s="5">
        <v>0.26999999999999991</v>
      </c>
      <c r="P362" s="5">
        <v>0.28387577265189207</v>
      </c>
      <c r="Q362" s="5">
        <v>100.5</v>
      </c>
      <c r="R362" s="5">
        <v>15.945454545454545</v>
      </c>
      <c r="S362" s="109">
        <v>15.076249999999998</v>
      </c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</row>
    <row r="363" spans="1:42" x14ac:dyDescent="0.2">
      <c r="A363" s="104" t="s">
        <v>365</v>
      </c>
      <c r="B363" s="104" t="s">
        <v>366</v>
      </c>
      <c r="C363" s="105" t="s">
        <v>367</v>
      </c>
      <c r="D363" s="105" t="s">
        <v>56</v>
      </c>
      <c r="E363" s="105" t="s">
        <v>46</v>
      </c>
      <c r="F363" s="105" t="s">
        <v>783</v>
      </c>
      <c r="H363" s="105" t="s">
        <v>33</v>
      </c>
      <c r="J363" s="5">
        <v>85.6</v>
      </c>
      <c r="K363" s="5">
        <v>1.3100000000000003</v>
      </c>
      <c r="L363" s="108">
        <v>192.66666666666666</v>
      </c>
      <c r="M363" s="107">
        <v>2.3933333333333331</v>
      </c>
      <c r="P363" s="108">
        <v>0.41459369817578773</v>
      </c>
      <c r="R363" s="5">
        <v>36.666666666666664</v>
      </c>
      <c r="S363" s="108">
        <v>1.95</v>
      </c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</row>
    <row r="364" spans="1:42" x14ac:dyDescent="0.2">
      <c r="A364" s="104" t="s">
        <v>370</v>
      </c>
      <c r="B364" s="104" t="s">
        <v>371</v>
      </c>
      <c r="C364" s="105" t="s">
        <v>373</v>
      </c>
      <c r="D364" s="105" t="s">
        <v>25</v>
      </c>
      <c r="E364" s="105" t="s">
        <v>46</v>
      </c>
      <c r="F364" s="105" t="s">
        <v>782</v>
      </c>
      <c r="G364" s="105" t="s">
        <v>71</v>
      </c>
      <c r="H364" s="105" t="s">
        <v>33</v>
      </c>
      <c r="J364" s="5">
        <v>89.52500000000002</v>
      </c>
      <c r="K364" s="5">
        <v>1.2421499999999999</v>
      </c>
      <c r="L364" s="5">
        <v>126.73543571428571</v>
      </c>
      <c r="M364" s="107">
        <v>3.6589916666666671</v>
      </c>
      <c r="N364" s="5">
        <v>60</v>
      </c>
      <c r="O364" s="5">
        <v>0.42125000000000001</v>
      </c>
      <c r="P364" s="5">
        <v>0.33588946793808733</v>
      </c>
      <c r="Q364" s="5">
        <v>29.666666666666668</v>
      </c>
      <c r="R364" s="5">
        <v>48.160806666666666</v>
      </c>
      <c r="S364" s="108">
        <v>1.4387500000000002</v>
      </c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</row>
    <row r="365" spans="1:42" x14ac:dyDescent="0.2">
      <c r="A365" s="104" t="s">
        <v>370</v>
      </c>
      <c r="B365" s="104" t="s">
        <v>374</v>
      </c>
      <c r="C365" s="105" t="s">
        <v>375</v>
      </c>
      <c r="D365" s="105" t="s">
        <v>25</v>
      </c>
      <c r="E365" s="105" t="s">
        <v>46</v>
      </c>
      <c r="F365" s="105" t="s">
        <v>782</v>
      </c>
      <c r="H365" s="105" t="s">
        <v>33</v>
      </c>
      <c r="J365" s="5">
        <v>86.7</v>
      </c>
      <c r="K365" s="5">
        <v>1.6890750000000001</v>
      </c>
      <c r="L365" s="5">
        <v>124.41626666666667</v>
      </c>
      <c r="M365" s="107">
        <v>2.3142714285714283</v>
      </c>
      <c r="N365" s="5">
        <v>55.333333333333336</v>
      </c>
      <c r="O365" s="5">
        <v>0.38166666666666665</v>
      </c>
      <c r="P365" s="5">
        <v>0.36125286661928452</v>
      </c>
      <c r="Q365" s="5">
        <v>47.666666666666664</v>
      </c>
      <c r="R365" s="5">
        <v>29.923576923076926</v>
      </c>
      <c r="S365" s="108">
        <v>1.6557142857142859</v>
      </c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</row>
    <row r="366" spans="1:42" x14ac:dyDescent="0.2">
      <c r="A366" s="104" t="s">
        <v>385</v>
      </c>
      <c r="B366" s="104" t="s">
        <v>203</v>
      </c>
      <c r="C366" s="105" t="s">
        <v>386</v>
      </c>
      <c r="D366" s="105" t="s">
        <v>56</v>
      </c>
      <c r="E366" s="105" t="s">
        <v>46</v>
      </c>
      <c r="F366" s="105" t="s">
        <v>782</v>
      </c>
      <c r="H366" s="105" t="s">
        <v>33</v>
      </c>
      <c r="K366" s="5">
        <v>1.1399999999999999</v>
      </c>
      <c r="L366" s="5">
        <v>94</v>
      </c>
      <c r="M366" s="5">
        <v>0.99</v>
      </c>
      <c r="O366" s="5">
        <v>0.22</v>
      </c>
      <c r="P366" s="5">
        <v>3.6484245439469321E-2</v>
      </c>
      <c r="R366" s="5">
        <v>24</v>
      </c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</row>
    <row r="367" spans="1:42" x14ac:dyDescent="0.2">
      <c r="A367" s="104" t="s">
        <v>385</v>
      </c>
      <c r="B367" s="104" t="s">
        <v>331</v>
      </c>
      <c r="C367" s="105" t="s">
        <v>387</v>
      </c>
      <c r="D367" s="105" t="s">
        <v>56</v>
      </c>
      <c r="E367" s="105" t="s">
        <v>46</v>
      </c>
      <c r="F367" s="105" t="s">
        <v>782</v>
      </c>
      <c r="H367" s="105" t="s">
        <v>33</v>
      </c>
      <c r="J367" s="5">
        <v>95.037000000000006</v>
      </c>
      <c r="K367" s="5">
        <v>0.70263157894736827</v>
      </c>
      <c r="L367" s="5">
        <v>37.421052631578945</v>
      </c>
      <c r="M367" s="5">
        <v>1.0152631578947371</v>
      </c>
      <c r="N367" s="5">
        <v>12.9</v>
      </c>
      <c r="O367" s="5">
        <v>0.17071428571428568</v>
      </c>
      <c r="P367" s="5">
        <v>0.11845855721393037</v>
      </c>
      <c r="Q367" s="5">
        <v>62.4</v>
      </c>
      <c r="R367" s="5">
        <v>8.7252631578947373</v>
      </c>
      <c r="S367" s="5">
        <v>0.36230769230769233</v>
      </c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</row>
    <row r="368" spans="1:42" x14ac:dyDescent="0.2">
      <c r="A368" s="104" t="s">
        <v>397</v>
      </c>
      <c r="B368" s="104" t="s">
        <v>398</v>
      </c>
      <c r="C368" s="105" t="s">
        <v>399</v>
      </c>
      <c r="D368" s="105" t="s">
        <v>56</v>
      </c>
      <c r="E368" s="105" t="s">
        <v>46</v>
      </c>
      <c r="F368" s="105" t="s">
        <v>782</v>
      </c>
      <c r="H368" s="105" t="s">
        <v>33</v>
      </c>
      <c r="J368" s="5">
        <v>88.2</v>
      </c>
      <c r="K368" s="5">
        <v>1.1000000000000001</v>
      </c>
      <c r="L368" s="108">
        <v>179</v>
      </c>
      <c r="M368" s="107">
        <v>2.5</v>
      </c>
      <c r="P368" s="5" t="s">
        <v>0</v>
      </c>
      <c r="R368" s="5">
        <v>73</v>
      </c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</row>
    <row r="369" spans="1:42" x14ac:dyDescent="0.2">
      <c r="A369" s="104" t="s">
        <v>422</v>
      </c>
      <c r="B369" s="104" t="s">
        <v>424</v>
      </c>
      <c r="C369" s="105" t="s">
        <v>423</v>
      </c>
      <c r="D369" s="105" t="s">
        <v>25</v>
      </c>
      <c r="E369" s="105" t="s">
        <v>46</v>
      </c>
      <c r="F369" s="105" t="s">
        <v>782</v>
      </c>
      <c r="H369" s="105" t="s">
        <v>33</v>
      </c>
      <c r="J369" s="5">
        <v>85.65</v>
      </c>
      <c r="K369" s="5">
        <v>2.1844000000000001</v>
      </c>
      <c r="L369" s="108">
        <v>226.49939999999995</v>
      </c>
      <c r="M369" s="109">
        <v>5.299999999999998</v>
      </c>
      <c r="N369" s="108">
        <v>82</v>
      </c>
      <c r="O369" s="109">
        <v>2.2000000000000002</v>
      </c>
      <c r="P369" s="5">
        <v>0.1473888888888889</v>
      </c>
      <c r="R369" s="5">
        <v>75.33293333333333</v>
      </c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</row>
    <row r="370" spans="1:42" x14ac:dyDescent="0.2">
      <c r="A370" s="104" t="s">
        <v>422</v>
      </c>
      <c r="B370" s="104" t="s">
        <v>425</v>
      </c>
      <c r="C370" s="105" t="s">
        <v>423</v>
      </c>
      <c r="D370" s="105" t="s">
        <v>56</v>
      </c>
      <c r="E370" s="105" t="s">
        <v>46</v>
      </c>
      <c r="F370" s="105" t="s">
        <v>782</v>
      </c>
      <c r="H370" s="105" t="s">
        <v>33</v>
      </c>
      <c r="K370" s="5">
        <v>1.0900000000000001</v>
      </c>
      <c r="L370" s="107">
        <v>252</v>
      </c>
      <c r="M370" s="109">
        <v>4.6100000000000003</v>
      </c>
      <c r="O370" s="107">
        <v>0.85000000000000009</v>
      </c>
      <c r="P370" s="107">
        <v>0.78496406854615819</v>
      </c>
      <c r="Q370" s="5">
        <v>31</v>
      </c>
      <c r="R370" s="108">
        <v>97.666666666666671</v>
      </c>
      <c r="S370" s="108">
        <v>1.7933333333333332</v>
      </c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</row>
    <row r="371" spans="1:42" x14ac:dyDescent="0.2">
      <c r="A371" s="104" t="s">
        <v>441</v>
      </c>
      <c r="B371" s="104" t="s">
        <v>442</v>
      </c>
      <c r="C371" s="105" t="s">
        <v>443</v>
      </c>
      <c r="D371" s="105" t="s">
        <v>56</v>
      </c>
      <c r="E371" s="105" t="s">
        <v>42</v>
      </c>
      <c r="F371" s="105" t="s">
        <v>784</v>
      </c>
      <c r="H371" s="105" t="s">
        <v>33</v>
      </c>
      <c r="J371" s="5">
        <v>84.65</v>
      </c>
      <c r="K371" s="5">
        <v>1.39</v>
      </c>
      <c r="L371" s="108">
        <v>174</v>
      </c>
      <c r="M371" s="109">
        <v>4.55</v>
      </c>
      <c r="N371" s="108">
        <v>85</v>
      </c>
      <c r="P371" s="5">
        <v>8.6749999999999994E-2</v>
      </c>
      <c r="R371" s="107">
        <v>167.5</v>
      </c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</row>
    <row r="372" spans="1:42" x14ac:dyDescent="0.2">
      <c r="A372" s="104" t="s">
        <v>464</v>
      </c>
      <c r="B372" s="104" t="s">
        <v>466</v>
      </c>
      <c r="C372" s="105" t="s">
        <v>467</v>
      </c>
      <c r="D372" s="105" t="s">
        <v>25</v>
      </c>
      <c r="E372" s="105" t="s">
        <v>46</v>
      </c>
      <c r="F372" s="105" t="s">
        <v>782</v>
      </c>
      <c r="G372" s="105" t="s">
        <v>71</v>
      </c>
      <c r="H372" s="105" t="s">
        <v>33</v>
      </c>
      <c r="J372" s="5">
        <v>92.960999999999999</v>
      </c>
      <c r="K372" s="5">
        <v>0.92139999999999989</v>
      </c>
      <c r="L372" s="5">
        <v>141.93904999999998</v>
      </c>
      <c r="M372" s="108">
        <v>1.7313454545454545</v>
      </c>
      <c r="N372" s="5">
        <v>20.25</v>
      </c>
      <c r="O372" s="107">
        <v>0.59500000000000008</v>
      </c>
      <c r="P372" s="5">
        <v>0.2190030661088497</v>
      </c>
      <c r="Q372" s="5">
        <v>9</v>
      </c>
      <c r="R372" s="5">
        <v>60.318579999999997</v>
      </c>
      <c r="S372" s="5">
        <v>1</v>
      </c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</row>
    <row r="373" spans="1:42" x14ac:dyDescent="0.2">
      <c r="A373" s="104" t="s">
        <v>538</v>
      </c>
      <c r="B373" s="104" t="s">
        <v>45</v>
      </c>
      <c r="C373" s="105" t="s">
        <v>539</v>
      </c>
      <c r="D373" s="105" t="s">
        <v>56</v>
      </c>
      <c r="E373" s="105" t="s">
        <v>46</v>
      </c>
      <c r="F373" s="105" t="s">
        <v>782</v>
      </c>
      <c r="H373" s="105" t="s">
        <v>33</v>
      </c>
      <c r="J373" s="5">
        <v>93.9</v>
      </c>
      <c r="K373" s="5">
        <v>0.54749999999999999</v>
      </c>
      <c r="L373" s="5">
        <v>60.2</v>
      </c>
      <c r="M373" s="5">
        <v>1.3940000000000001</v>
      </c>
      <c r="N373" s="108">
        <v>68</v>
      </c>
      <c r="O373" s="108">
        <v>0.44000000000000006</v>
      </c>
      <c r="P373" s="5">
        <v>0.30043051409618571</v>
      </c>
      <c r="Q373" s="5">
        <v>12</v>
      </c>
      <c r="R373" s="5">
        <v>10.8</v>
      </c>
      <c r="S373" s="5">
        <v>0.47</v>
      </c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</row>
    <row r="374" spans="1:42" x14ac:dyDescent="0.2">
      <c r="A374" s="104" t="s">
        <v>540</v>
      </c>
      <c r="B374" s="104" t="s">
        <v>544</v>
      </c>
      <c r="C374" s="105" t="s">
        <v>545</v>
      </c>
      <c r="D374" s="105" t="s">
        <v>173</v>
      </c>
      <c r="E374" s="105" t="s">
        <v>42</v>
      </c>
      <c r="F374" s="105" t="s">
        <v>784</v>
      </c>
      <c r="H374" s="105" t="s">
        <v>33</v>
      </c>
      <c r="J374" s="5">
        <v>78.929999999999993</v>
      </c>
      <c r="K374" s="108">
        <v>2.9311333333333329</v>
      </c>
      <c r="L374" s="108">
        <v>238.00114999999997</v>
      </c>
      <c r="M374" s="107">
        <v>4.0389999999999997</v>
      </c>
      <c r="N374" s="5">
        <v>8</v>
      </c>
      <c r="O374" s="109">
        <v>1.28</v>
      </c>
      <c r="P374" s="5">
        <v>0.35719444444444443</v>
      </c>
      <c r="Q374" s="5">
        <v>16</v>
      </c>
      <c r="R374" s="5">
        <v>39.664999999999999</v>
      </c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</row>
    <row r="375" spans="1:42" x14ac:dyDescent="0.2">
      <c r="A375" s="104" t="s">
        <v>601</v>
      </c>
      <c r="B375" s="104" t="s">
        <v>602</v>
      </c>
      <c r="C375" s="105" t="s">
        <v>603</v>
      </c>
      <c r="D375" s="105" t="s">
        <v>25</v>
      </c>
      <c r="E375" s="105" t="s">
        <v>46</v>
      </c>
      <c r="F375" s="105" t="s">
        <v>782</v>
      </c>
      <c r="H375" s="105" t="s">
        <v>33</v>
      </c>
      <c r="J375" s="5">
        <v>83.3</v>
      </c>
      <c r="K375" s="5">
        <v>2.1862000000000004</v>
      </c>
      <c r="L375" s="107">
        <v>523.00110000000006</v>
      </c>
      <c r="M375" s="109">
        <v>4.2582500000000012</v>
      </c>
      <c r="O375" s="107">
        <v>0.81</v>
      </c>
      <c r="P375" s="107">
        <v>0.75345494748479824</v>
      </c>
      <c r="R375" s="5">
        <v>59.333233333333339</v>
      </c>
      <c r="S375" s="109">
        <v>7.31</v>
      </c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</row>
    <row r="376" spans="1:42" x14ac:dyDescent="0.2">
      <c r="A376" s="104" t="s">
        <v>601</v>
      </c>
      <c r="B376" s="104" t="s">
        <v>604</v>
      </c>
      <c r="C376" s="105" t="s">
        <v>605</v>
      </c>
      <c r="D376" s="105" t="s">
        <v>25</v>
      </c>
      <c r="E376" s="105" t="s">
        <v>46</v>
      </c>
      <c r="F376" s="105" t="s">
        <v>782</v>
      </c>
      <c r="H376" s="105" t="s">
        <v>33</v>
      </c>
      <c r="J376" s="5">
        <v>85</v>
      </c>
      <c r="K376" s="5">
        <v>1.0900000000000001</v>
      </c>
      <c r="L376" s="108">
        <v>213.5</v>
      </c>
      <c r="M376" s="109">
        <v>4.2249999999999996</v>
      </c>
      <c r="O376" s="5">
        <v>0.28000000000000003</v>
      </c>
      <c r="P376" s="109">
        <v>1.1990049751243781</v>
      </c>
      <c r="R376" s="5">
        <v>51</v>
      </c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</row>
    <row r="377" spans="1:42" x14ac:dyDescent="0.2">
      <c r="A377" s="104" t="s">
        <v>601</v>
      </c>
      <c r="B377" s="104" t="s">
        <v>616</v>
      </c>
      <c r="C377" s="105" t="s">
        <v>617</v>
      </c>
      <c r="D377" s="105" t="s">
        <v>25</v>
      </c>
      <c r="E377" s="105" t="s">
        <v>46</v>
      </c>
      <c r="F377" s="105" t="s">
        <v>782</v>
      </c>
      <c r="H377" s="105" t="s">
        <v>33</v>
      </c>
      <c r="J377" s="5">
        <v>85.866666666666674</v>
      </c>
      <c r="K377" s="5">
        <v>1.599466666666667</v>
      </c>
      <c r="L377" s="107">
        <v>391.0010666666667</v>
      </c>
      <c r="M377" s="5">
        <v>0.3</v>
      </c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</row>
    <row r="378" spans="1:42" x14ac:dyDescent="0.2">
      <c r="A378" s="104" t="s">
        <v>601</v>
      </c>
      <c r="B378" s="104" t="s">
        <v>622</v>
      </c>
      <c r="C378" s="105" t="s">
        <v>605</v>
      </c>
      <c r="D378" s="105" t="s">
        <v>25</v>
      </c>
      <c r="E378" s="105" t="s">
        <v>46</v>
      </c>
      <c r="F378" s="105" t="s">
        <v>782</v>
      </c>
      <c r="H378" s="105" t="s">
        <v>33</v>
      </c>
      <c r="J378" s="5">
        <v>87.8</v>
      </c>
      <c r="K378" s="5">
        <v>1.37</v>
      </c>
      <c r="L378" s="108">
        <v>196.33333333333334</v>
      </c>
      <c r="M378" s="107">
        <v>3.5500000000000003</v>
      </c>
      <c r="O378" s="107">
        <v>0.93</v>
      </c>
      <c r="P378" s="107">
        <v>0.84079601990049746</v>
      </c>
      <c r="Q378" s="5">
        <v>69.5</v>
      </c>
      <c r="R378" s="108">
        <v>91.666666666666671</v>
      </c>
      <c r="S378" s="108">
        <v>2.35</v>
      </c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</row>
    <row r="379" spans="1:42" x14ac:dyDescent="0.2">
      <c r="A379" s="104" t="s">
        <v>601</v>
      </c>
      <c r="B379" s="104" t="s">
        <v>625</v>
      </c>
      <c r="C379" s="105" t="s">
        <v>626</v>
      </c>
      <c r="D379" s="105" t="s">
        <v>25</v>
      </c>
      <c r="E379" s="105" t="s">
        <v>46</v>
      </c>
      <c r="F379" s="105" t="s">
        <v>782</v>
      </c>
      <c r="H379" s="105" t="s">
        <v>33</v>
      </c>
      <c r="K379" s="5">
        <v>1.31</v>
      </c>
      <c r="L379" s="108">
        <v>175</v>
      </c>
      <c r="M379" s="107">
        <v>3.26</v>
      </c>
      <c r="O379" s="107">
        <v>0.8</v>
      </c>
      <c r="P379" s="108">
        <v>0.48922056384742951</v>
      </c>
      <c r="Q379" s="5">
        <v>61</v>
      </c>
      <c r="R379" s="5">
        <v>79</v>
      </c>
      <c r="S379" s="108">
        <v>2.14</v>
      </c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</row>
    <row r="380" spans="1:42" x14ac:dyDescent="0.2">
      <c r="A380" s="104" t="s">
        <v>627</v>
      </c>
      <c r="B380" s="104" t="s">
        <v>628</v>
      </c>
      <c r="C380" s="105" t="s">
        <v>629</v>
      </c>
      <c r="D380" s="105" t="s">
        <v>56</v>
      </c>
      <c r="E380" s="105" t="s">
        <v>46</v>
      </c>
      <c r="F380" s="105" t="s">
        <v>782</v>
      </c>
      <c r="H380" s="105" t="s">
        <v>33</v>
      </c>
      <c r="J380" s="5">
        <v>87.5</v>
      </c>
      <c r="K380" s="108">
        <v>3.3</v>
      </c>
      <c r="L380" s="5">
        <v>62.5</v>
      </c>
      <c r="M380" s="107">
        <v>3.45</v>
      </c>
      <c r="N380" s="108">
        <v>76</v>
      </c>
      <c r="O380" s="107">
        <v>0.8</v>
      </c>
      <c r="P380" s="109">
        <v>1.5439498341625206</v>
      </c>
      <c r="R380" s="5">
        <v>39.25</v>
      </c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</row>
    <row r="381" spans="1:42" x14ac:dyDescent="0.2">
      <c r="A381" s="104" t="s">
        <v>633</v>
      </c>
      <c r="B381" s="104" t="s">
        <v>45</v>
      </c>
      <c r="C381" s="105" t="s">
        <v>634</v>
      </c>
      <c r="D381" s="105" t="s">
        <v>56</v>
      </c>
      <c r="E381" s="105" t="s">
        <v>46</v>
      </c>
      <c r="F381" s="105" t="s">
        <v>782</v>
      </c>
      <c r="H381" s="105" t="s">
        <v>33</v>
      </c>
      <c r="J381" s="5">
        <v>91.2</v>
      </c>
      <c r="K381" s="5">
        <v>0.95600000000000007</v>
      </c>
      <c r="L381" s="5">
        <v>88.4</v>
      </c>
      <c r="M381" s="108">
        <v>2.1060000000000003</v>
      </c>
      <c r="N381" s="108">
        <v>85.5</v>
      </c>
      <c r="O381" s="108">
        <v>0.48666666666666664</v>
      </c>
      <c r="P381" s="5">
        <v>0.36230126036484245</v>
      </c>
      <c r="Q381" s="108">
        <v>194</v>
      </c>
      <c r="R381" s="5">
        <v>35.22</v>
      </c>
      <c r="S381" s="108">
        <v>1.7066666666666668</v>
      </c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</row>
    <row r="382" spans="1:42" x14ac:dyDescent="0.2">
      <c r="A382" s="104" t="s">
        <v>648</v>
      </c>
      <c r="B382" s="104" t="s">
        <v>649</v>
      </c>
      <c r="C382" s="105" t="s">
        <v>650</v>
      </c>
      <c r="D382" s="105" t="s">
        <v>25</v>
      </c>
      <c r="E382" s="105" t="s">
        <v>46</v>
      </c>
      <c r="F382" s="105" t="s">
        <v>782</v>
      </c>
      <c r="H382" s="105" t="s">
        <v>33</v>
      </c>
      <c r="J382" s="5">
        <v>93</v>
      </c>
      <c r="K382" s="5">
        <v>1.0126099999999993</v>
      </c>
      <c r="L382" s="5">
        <v>104.80676999999996</v>
      </c>
      <c r="M382" s="107">
        <v>2.2304499999999998</v>
      </c>
      <c r="N382" s="5">
        <v>39.333333333333336</v>
      </c>
      <c r="O382" s="5">
        <v>0.36</v>
      </c>
      <c r="P382" s="5">
        <v>0.31052690713101161</v>
      </c>
      <c r="Q382" s="5">
        <v>32.666666666666664</v>
      </c>
      <c r="R382" s="5">
        <v>31.636439999999993</v>
      </c>
      <c r="S382" s="108">
        <v>1.5633333333333332</v>
      </c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</row>
    <row r="383" spans="1:42" x14ac:dyDescent="0.2">
      <c r="A383" s="104" t="s">
        <v>668</v>
      </c>
      <c r="B383" s="104" t="s">
        <v>669</v>
      </c>
      <c r="C383" s="105" t="s">
        <v>670</v>
      </c>
      <c r="D383" s="105" t="s">
        <v>56</v>
      </c>
      <c r="E383" s="105" t="s">
        <v>46</v>
      </c>
      <c r="F383" s="105" t="s">
        <v>782</v>
      </c>
      <c r="H383" s="105" t="s">
        <v>33</v>
      </c>
      <c r="J383" s="5">
        <v>93.1</v>
      </c>
      <c r="K383" s="5">
        <v>0.8</v>
      </c>
      <c r="L383" s="5">
        <v>35</v>
      </c>
      <c r="M383" s="108">
        <v>1.7</v>
      </c>
      <c r="N383" s="5">
        <v>13</v>
      </c>
      <c r="R383" s="5">
        <v>35</v>
      </c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</row>
    <row r="384" spans="1:42" x14ac:dyDescent="0.2">
      <c r="A384" s="104" t="s">
        <v>677</v>
      </c>
      <c r="B384" s="104" t="s">
        <v>678</v>
      </c>
      <c r="C384" s="105" t="s">
        <v>679</v>
      </c>
      <c r="D384" s="105" t="s">
        <v>56</v>
      </c>
      <c r="E384" s="105" t="s">
        <v>42</v>
      </c>
      <c r="F384" s="105" t="s">
        <v>784</v>
      </c>
      <c r="H384" s="105" t="s">
        <v>33</v>
      </c>
      <c r="J384" s="5">
        <v>89.78</v>
      </c>
      <c r="K384" s="5">
        <v>1.7399999999999998</v>
      </c>
      <c r="L384" s="107">
        <v>259.84615384615387</v>
      </c>
      <c r="M384" s="108">
        <v>1.889230769230769</v>
      </c>
      <c r="N384" s="5">
        <v>43</v>
      </c>
      <c r="O384" s="107">
        <v>0.62307692307692308</v>
      </c>
      <c r="P384" s="107">
        <v>0.56448526597780324</v>
      </c>
      <c r="Q384" s="108">
        <v>133.07142857142858</v>
      </c>
      <c r="R384" s="5">
        <v>76.5</v>
      </c>
      <c r="S384" s="107">
        <v>3.2623076923076932</v>
      </c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</row>
    <row r="385" spans="1:50" x14ac:dyDescent="0.2">
      <c r="A385" s="1"/>
      <c r="B385" s="1"/>
      <c r="C385" s="1"/>
      <c r="D385" s="1"/>
      <c r="E385" s="1"/>
      <c r="F385" s="1"/>
      <c r="G385" s="1"/>
      <c r="H385" s="1"/>
      <c r="J385" s="106"/>
      <c r="K385" s="106"/>
      <c r="L385" s="106"/>
      <c r="M385" s="106"/>
      <c r="N385" s="106"/>
      <c r="O385" s="106"/>
      <c r="P385" s="106"/>
      <c r="Q385" s="106"/>
      <c r="R385" s="106"/>
      <c r="S385" s="106"/>
    </row>
    <row r="386" spans="1:50" x14ac:dyDescent="0.2">
      <c r="A386" s="1"/>
      <c r="B386" s="1"/>
      <c r="C386" s="1"/>
      <c r="D386" s="1"/>
      <c r="E386" s="1"/>
      <c r="F386" s="1"/>
      <c r="G386" s="1"/>
      <c r="H386" s="1"/>
      <c r="J386" s="106"/>
      <c r="K386" s="106"/>
      <c r="L386" s="106"/>
      <c r="M386" s="106"/>
      <c r="N386" s="106"/>
      <c r="O386" s="106"/>
      <c r="P386" s="106"/>
      <c r="Q386" s="106"/>
      <c r="R386" s="106"/>
      <c r="S386" s="106"/>
    </row>
    <row r="387" spans="1:50" x14ac:dyDescent="0.2">
      <c r="A387" s="226" t="s">
        <v>1065</v>
      </c>
      <c r="B387" s="227"/>
      <c r="C387" s="228"/>
      <c r="D387" s="228"/>
      <c r="E387" s="228"/>
      <c r="F387" s="228"/>
      <c r="G387" s="228"/>
      <c r="H387" s="229"/>
      <c r="I387" s="230"/>
      <c r="J387" s="231"/>
      <c r="K387" s="232"/>
      <c r="L387" s="232"/>
      <c r="M387" s="232"/>
      <c r="N387" s="233"/>
      <c r="O387" s="232"/>
      <c r="P387" s="232"/>
      <c r="Q387" s="232"/>
      <c r="R387" s="232"/>
      <c r="S387" s="232"/>
      <c r="T387" s="232"/>
      <c r="U387" s="226" t="s">
        <v>1065</v>
      </c>
      <c r="V387" s="232"/>
      <c r="W387" s="232"/>
      <c r="X387" s="232"/>
    </row>
    <row r="388" spans="1:50" x14ac:dyDescent="0.2">
      <c r="A388" s="104" t="s">
        <v>133</v>
      </c>
      <c r="B388" s="104" t="s">
        <v>146</v>
      </c>
      <c r="C388" s="105" t="s">
        <v>753</v>
      </c>
      <c r="D388" s="105" t="s">
        <v>25</v>
      </c>
      <c r="E388" s="105" t="s">
        <v>46</v>
      </c>
      <c r="F388" s="105" t="s">
        <v>782</v>
      </c>
      <c r="H388" s="105" t="s">
        <v>166</v>
      </c>
      <c r="J388" s="5">
        <v>82.5</v>
      </c>
      <c r="L388" s="5">
        <v>159.5</v>
      </c>
      <c r="M388" s="107">
        <v>2.2999999999999998</v>
      </c>
      <c r="P388" s="5">
        <v>0.10100000000000001</v>
      </c>
      <c r="R388" s="107">
        <v>227.5</v>
      </c>
      <c r="T388" s="5"/>
      <c r="U388" s="197" t="s">
        <v>1047</v>
      </c>
      <c r="V388" s="5">
        <f>(401-393)*9</f>
        <v>72</v>
      </c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</row>
    <row r="389" spans="1:50" x14ac:dyDescent="0.2">
      <c r="A389" s="104" t="s">
        <v>161</v>
      </c>
      <c r="B389" s="104" t="s">
        <v>45</v>
      </c>
      <c r="C389" s="105" t="s">
        <v>176</v>
      </c>
      <c r="D389" s="105" t="s">
        <v>56</v>
      </c>
      <c r="E389" s="105" t="s">
        <v>46</v>
      </c>
      <c r="F389" s="105" t="s">
        <v>782</v>
      </c>
      <c r="H389" s="105" t="s">
        <v>166</v>
      </c>
      <c r="J389" s="5">
        <v>89.65</v>
      </c>
      <c r="K389" s="5">
        <v>1.2671428571428571</v>
      </c>
      <c r="L389" s="5">
        <v>54.442857142857143</v>
      </c>
      <c r="M389" s="5">
        <v>1.0471428571428569</v>
      </c>
      <c r="N389" s="5">
        <v>24</v>
      </c>
      <c r="O389" s="108">
        <v>0.55833333333333346</v>
      </c>
      <c r="P389" s="5">
        <v>7.0321310116086236E-2</v>
      </c>
      <c r="Q389" s="5">
        <v>71</v>
      </c>
      <c r="R389" s="108">
        <v>94.171428571428578</v>
      </c>
      <c r="S389" s="5">
        <v>0.87999999999999989</v>
      </c>
      <c r="T389" s="5"/>
      <c r="U389" s="197" t="s">
        <v>1048</v>
      </c>
      <c r="V389" s="5">
        <f>COUNTBLANK(K388:S395)</f>
        <v>12</v>
      </c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</row>
    <row r="390" spans="1:50" x14ac:dyDescent="0.2">
      <c r="A390" s="104" t="s">
        <v>161</v>
      </c>
      <c r="B390" s="104" t="s">
        <v>45</v>
      </c>
      <c r="C390" s="105" t="s">
        <v>180</v>
      </c>
      <c r="D390" s="105" t="s">
        <v>56</v>
      </c>
      <c r="E390" s="105" t="s">
        <v>46</v>
      </c>
      <c r="F390" s="105" t="s">
        <v>782</v>
      </c>
      <c r="H390" s="105" t="s">
        <v>166</v>
      </c>
      <c r="J390" s="5">
        <v>91</v>
      </c>
      <c r="K390" s="5">
        <v>1.3549999999999998</v>
      </c>
      <c r="L390" s="5">
        <v>26</v>
      </c>
      <c r="M390" s="5">
        <v>0.8500000000000002</v>
      </c>
      <c r="N390" s="5">
        <v>18.333333333333332</v>
      </c>
      <c r="O390" s="5">
        <v>0.36857142857142861</v>
      </c>
      <c r="P390" s="5">
        <v>3.298645660585959E-3</v>
      </c>
      <c r="Q390" s="5">
        <v>57</v>
      </c>
      <c r="R390" s="108">
        <v>85.662500000000009</v>
      </c>
      <c r="S390" s="5">
        <v>0.16344999999999998</v>
      </c>
      <c r="T390" s="5"/>
      <c r="U390" s="197" t="s">
        <v>1049</v>
      </c>
      <c r="V390" s="5">
        <f>V388-V389</f>
        <v>60</v>
      </c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</row>
    <row r="391" spans="1:50" x14ac:dyDescent="0.2">
      <c r="A391" s="104" t="s">
        <v>161</v>
      </c>
      <c r="B391" s="104" t="s">
        <v>162</v>
      </c>
      <c r="C391" s="105" t="s">
        <v>167</v>
      </c>
      <c r="D391" s="105" t="s">
        <v>56</v>
      </c>
      <c r="E391" s="105" t="s">
        <v>46</v>
      </c>
      <c r="F391" s="105" t="s">
        <v>782</v>
      </c>
      <c r="H391" s="105" t="s">
        <v>166</v>
      </c>
      <c r="J391" s="5">
        <v>92.25</v>
      </c>
      <c r="K391" s="5">
        <v>1.85</v>
      </c>
      <c r="L391" s="5">
        <v>116.5</v>
      </c>
      <c r="M391" s="108">
        <v>1.8</v>
      </c>
      <c r="N391" s="5">
        <v>33.5</v>
      </c>
      <c r="O391" s="107">
        <v>0.77</v>
      </c>
      <c r="P391" s="5">
        <v>0.13305</v>
      </c>
      <c r="Q391" s="5">
        <v>83</v>
      </c>
      <c r="R391" s="5">
        <v>45.1</v>
      </c>
      <c r="T391" s="5"/>
      <c r="U391" s="197" t="s">
        <v>1045</v>
      </c>
      <c r="V391" s="5">
        <v>0</v>
      </c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</row>
    <row r="392" spans="1:50" x14ac:dyDescent="0.2">
      <c r="A392" s="104" t="s">
        <v>164</v>
      </c>
      <c r="B392" s="104" t="s">
        <v>45</v>
      </c>
      <c r="C392" s="105" t="s">
        <v>182</v>
      </c>
      <c r="D392" s="105" t="s">
        <v>25</v>
      </c>
      <c r="E392" s="105" t="s">
        <v>46</v>
      </c>
      <c r="F392" s="105" t="s">
        <v>782</v>
      </c>
      <c r="H392" s="105" t="s">
        <v>166</v>
      </c>
      <c r="J392" s="5">
        <v>90.25</v>
      </c>
      <c r="K392" s="108">
        <v>2.6</v>
      </c>
      <c r="L392" s="5">
        <v>83.5</v>
      </c>
      <c r="M392" s="5">
        <v>1.4000000000000001</v>
      </c>
      <c r="N392" s="5">
        <v>19</v>
      </c>
      <c r="O392" s="5">
        <v>0.41</v>
      </c>
      <c r="P392" s="5">
        <v>0.33680679933665009</v>
      </c>
      <c r="Q392" s="5">
        <v>104</v>
      </c>
      <c r="R392" s="5">
        <v>72.3</v>
      </c>
      <c r="S392" s="5">
        <v>0.5</v>
      </c>
      <c r="T392" s="5"/>
      <c r="U392" s="197" t="s">
        <v>1046</v>
      </c>
      <c r="V392" s="5">
        <v>4</v>
      </c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</row>
    <row r="393" spans="1:50" x14ac:dyDescent="0.2">
      <c r="A393" s="104" t="s">
        <v>281</v>
      </c>
      <c r="B393" s="104" t="s">
        <v>285</v>
      </c>
      <c r="C393" s="105" t="s">
        <v>287</v>
      </c>
      <c r="D393" s="105" t="s">
        <v>56</v>
      </c>
      <c r="E393" s="105" t="s">
        <v>42</v>
      </c>
      <c r="F393" s="105" t="s">
        <v>784</v>
      </c>
      <c r="H393" s="105" t="s">
        <v>286</v>
      </c>
      <c r="K393" s="5">
        <v>0.75</v>
      </c>
      <c r="L393" s="5">
        <v>92</v>
      </c>
      <c r="M393" s="5">
        <v>1.03</v>
      </c>
      <c r="O393" s="108">
        <v>0.45</v>
      </c>
      <c r="P393" s="5">
        <v>2.1558872305140961E-2</v>
      </c>
      <c r="Q393" s="5">
        <v>30</v>
      </c>
      <c r="R393" s="5">
        <v>14</v>
      </c>
      <c r="S393" s="107">
        <v>4.16</v>
      </c>
      <c r="T393" s="5"/>
      <c r="U393" s="197" t="s">
        <v>1050</v>
      </c>
      <c r="V393" s="196">
        <f>(V391+V392)/V390</f>
        <v>6.6666666666666666E-2</v>
      </c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</row>
    <row r="394" spans="1:50" x14ac:dyDescent="0.2">
      <c r="A394" s="104" t="s">
        <v>281</v>
      </c>
      <c r="B394" s="104" t="s">
        <v>79</v>
      </c>
      <c r="C394" s="105" t="s">
        <v>287</v>
      </c>
      <c r="D394" s="105" t="s">
        <v>56</v>
      </c>
      <c r="E394" s="105" t="s">
        <v>42</v>
      </c>
      <c r="F394" s="105" t="s">
        <v>784</v>
      </c>
      <c r="H394" s="105" t="s">
        <v>286</v>
      </c>
      <c r="J394" s="5">
        <v>93.65</v>
      </c>
      <c r="K394" s="5">
        <v>0.65</v>
      </c>
      <c r="L394" s="5">
        <v>59.5</v>
      </c>
      <c r="M394" s="5">
        <v>0.7</v>
      </c>
      <c r="N394" s="5">
        <v>24</v>
      </c>
      <c r="P394" s="5">
        <v>9.7350000000000006E-2</v>
      </c>
      <c r="Q394" s="5">
        <v>59</v>
      </c>
      <c r="R394" s="5">
        <v>28</v>
      </c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</row>
    <row r="395" spans="1:50" x14ac:dyDescent="0.2">
      <c r="A395" s="104" t="s">
        <v>412</v>
      </c>
      <c r="B395" s="104" t="s">
        <v>416</v>
      </c>
      <c r="C395" s="105" t="s">
        <v>415</v>
      </c>
      <c r="D395" s="105" t="s">
        <v>56</v>
      </c>
      <c r="E395" s="105" t="s">
        <v>42</v>
      </c>
      <c r="F395" s="105" t="s">
        <v>784</v>
      </c>
      <c r="H395" s="105" t="s">
        <v>166</v>
      </c>
      <c r="K395" s="5">
        <v>1.23</v>
      </c>
      <c r="L395" s="5">
        <v>58</v>
      </c>
      <c r="M395" s="5">
        <v>1.1599999999999999</v>
      </c>
      <c r="P395" s="5">
        <v>0.1824212271973466</v>
      </c>
      <c r="R395" s="5">
        <v>20</v>
      </c>
      <c r="S395" s="5">
        <v>1.1100000000000001</v>
      </c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</row>
    <row r="396" spans="1:50" s="112" customForma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06"/>
      <c r="K396" s="106"/>
      <c r="L396" s="106"/>
      <c r="M396" s="106"/>
      <c r="N396" s="106"/>
      <c r="O396" s="106"/>
      <c r="P396" s="106"/>
      <c r="Q396" s="106"/>
      <c r="R396" s="106"/>
      <c r="S396" s="106"/>
      <c r="T396" s="106"/>
      <c r="U396" s="106"/>
      <c r="V396" s="106"/>
      <c r="W396" s="106"/>
      <c r="X396" s="106"/>
      <c r="Y396" s="106"/>
      <c r="Z396" s="106"/>
      <c r="AA396" s="106"/>
      <c r="AB396" s="106"/>
      <c r="AC396" s="106"/>
      <c r="AD396" s="106"/>
      <c r="AE396" s="106"/>
      <c r="AF396" s="106"/>
      <c r="AG396" s="106"/>
      <c r="AH396" s="106"/>
      <c r="AI396" s="106"/>
      <c r="AJ396" s="106"/>
      <c r="AK396" s="106"/>
      <c r="AL396" s="106"/>
      <c r="AM396" s="106"/>
      <c r="AN396" s="106"/>
      <c r="AO396" s="106"/>
      <c r="AP396" s="106"/>
      <c r="AQ396" s="106"/>
      <c r="AR396" s="106"/>
      <c r="AS396" s="106"/>
      <c r="AT396" s="106"/>
      <c r="AU396" s="1"/>
      <c r="AV396" s="1"/>
      <c r="AW396" s="1"/>
      <c r="AX396" s="1"/>
    </row>
    <row r="397" spans="1:50" x14ac:dyDescent="0.2">
      <c r="A397" s="1"/>
      <c r="B397" s="1"/>
      <c r="C397" s="1"/>
      <c r="D397" s="1"/>
      <c r="E397" s="1"/>
      <c r="F397" s="1"/>
      <c r="G397" s="1"/>
      <c r="H397" s="1"/>
      <c r="J397" s="106"/>
      <c r="K397" s="106"/>
      <c r="L397" s="106"/>
      <c r="M397" s="106"/>
      <c r="N397" s="106"/>
      <c r="O397" s="106"/>
      <c r="P397" s="106"/>
      <c r="Q397" s="106"/>
      <c r="R397" s="106"/>
      <c r="S397" s="106"/>
    </row>
    <row r="398" spans="1:50" x14ac:dyDescent="0.2">
      <c r="A398" s="226" t="s">
        <v>1066</v>
      </c>
      <c r="B398" s="227"/>
      <c r="C398" s="228"/>
      <c r="D398" s="228"/>
      <c r="E398" s="228"/>
      <c r="F398" s="228"/>
      <c r="G398" s="228"/>
      <c r="H398" s="229"/>
      <c r="I398" s="230"/>
      <c r="J398" s="231"/>
      <c r="K398" s="232"/>
      <c r="L398" s="232"/>
      <c r="M398" s="232"/>
      <c r="N398" s="233"/>
      <c r="O398" s="232"/>
      <c r="P398" s="232"/>
      <c r="Q398" s="232"/>
      <c r="R398" s="232"/>
      <c r="S398" s="232"/>
      <c r="T398" s="232"/>
      <c r="U398" s="226" t="s">
        <v>1066</v>
      </c>
      <c r="V398" s="232"/>
      <c r="W398" s="232"/>
      <c r="X398" s="232"/>
    </row>
    <row r="399" spans="1:50" x14ac:dyDescent="0.2">
      <c r="A399" s="104" t="s">
        <v>23</v>
      </c>
      <c r="B399" s="104" t="s">
        <v>24</v>
      </c>
      <c r="C399" s="105" t="s">
        <v>29</v>
      </c>
      <c r="D399" s="105" t="s">
        <v>25</v>
      </c>
      <c r="E399" s="105" t="s">
        <v>46</v>
      </c>
      <c r="F399" s="105" t="s">
        <v>783</v>
      </c>
      <c r="H399" s="105" t="s">
        <v>27</v>
      </c>
      <c r="J399" s="5">
        <v>88.47999999999999</v>
      </c>
      <c r="K399" s="5">
        <v>1.0699230769230768</v>
      </c>
      <c r="L399" s="5">
        <v>69.307446153846158</v>
      </c>
      <c r="M399" s="5">
        <v>0.95533846153846147</v>
      </c>
      <c r="N399" s="5">
        <v>51.5</v>
      </c>
      <c r="O399" s="5">
        <v>0.41</v>
      </c>
      <c r="P399" s="5">
        <v>2.4087500000000001E-2</v>
      </c>
      <c r="Q399" s="5">
        <v>34.75</v>
      </c>
      <c r="R399" s="5">
        <v>31.000191666666666</v>
      </c>
      <c r="S399" s="5">
        <v>0.44625000000000004</v>
      </c>
      <c r="U399" s="197" t="s">
        <v>1047</v>
      </c>
      <c r="V399" s="5">
        <f>(441-404)*9</f>
        <v>333</v>
      </c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</row>
    <row r="400" spans="1:50" x14ac:dyDescent="0.2">
      <c r="A400" s="104" t="s">
        <v>141</v>
      </c>
      <c r="B400" s="104" t="s">
        <v>142</v>
      </c>
      <c r="C400" s="105" t="s">
        <v>144</v>
      </c>
      <c r="D400" s="105" t="s">
        <v>56</v>
      </c>
      <c r="E400" s="105" t="s">
        <v>42</v>
      </c>
      <c r="F400" s="105" t="s">
        <v>784</v>
      </c>
      <c r="H400" s="105" t="s">
        <v>28</v>
      </c>
      <c r="J400" s="5">
        <v>96.05</v>
      </c>
      <c r="K400" s="5">
        <v>1.482</v>
      </c>
      <c r="L400" s="5">
        <v>16.666666666666668</v>
      </c>
      <c r="M400" s="5">
        <v>0.38500000000000001</v>
      </c>
      <c r="N400" s="5">
        <v>12</v>
      </c>
      <c r="O400" s="5">
        <v>0.32500000000000001</v>
      </c>
      <c r="P400" s="5">
        <v>5.2500000000000003E-3</v>
      </c>
      <c r="Q400" s="5">
        <v>5</v>
      </c>
      <c r="R400" s="5">
        <v>22.333333333333332</v>
      </c>
      <c r="S400" s="5">
        <v>8.5000000000000006E-2</v>
      </c>
      <c r="T400" s="5"/>
      <c r="U400" s="197" t="s">
        <v>1048</v>
      </c>
      <c r="V400" s="5">
        <f>COUNTBLANK(K399:S435)</f>
        <v>57</v>
      </c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</row>
    <row r="401" spans="1:42" x14ac:dyDescent="0.2">
      <c r="A401" s="104" t="s">
        <v>198</v>
      </c>
      <c r="B401" s="104" t="s">
        <v>199</v>
      </c>
      <c r="C401" s="105" t="s">
        <v>200</v>
      </c>
      <c r="D401" s="105" t="s">
        <v>56</v>
      </c>
      <c r="E401" s="105" t="s">
        <v>42</v>
      </c>
      <c r="F401" s="105" t="s">
        <v>784</v>
      </c>
      <c r="H401" s="105" t="s">
        <v>27</v>
      </c>
      <c r="J401" s="5">
        <v>89</v>
      </c>
      <c r="K401" s="107">
        <v>5.4833999999999996</v>
      </c>
      <c r="L401" s="5">
        <v>34.199999999999996</v>
      </c>
      <c r="T401" s="5"/>
      <c r="U401" s="197" t="s">
        <v>1049</v>
      </c>
      <c r="V401" s="5">
        <f>V399-V400</f>
        <v>276</v>
      </c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</row>
    <row r="402" spans="1:42" x14ac:dyDescent="0.2">
      <c r="A402" s="104" t="s">
        <v>204</v>
      </c>
      <c r="B402" s="104" t="s">
        <v>205</v>
      </c>
      <c r="C402" s="105" t="s">
        <v>206</v>
      </c>
      <c r="D402" s="105" t="s">
        <v>25</v>
      </c>
      <c r="E402" s="105" t="s">
        <v>46</v>
      </c>
      <c r="F402" s="105" t="s">
        <v>783</v>
      </c>
      <c r="H402" s="105" t="s">
        <v>28</v>
      </c>
      <c r="J402" s="5">
        <v>87.691111111111113</v>
      </c>
      <c r="K402" s="5">
        <v>1.3384210526315787</v>
      </c>
      <c r="L402" s="5">
        <v>17.49476842105263</v>
      </c>
      <c r="M402" s="5">
        <v>1.1298111111111111</v>
      </c>
      <c r="N402" s="5">
        <v>17.333333333333332</v>
      </c>
      <c r="O402" s="5">
        <v>0.2446153846153846</v>
      </c>
      <c r="P402" s="5">
        <v>0.11407912494817578</v>
      </c>
      <c r="Q402" s="5">
        <v>24.333333333333332</v>
      </c>
      <c r="R402" s="108">
        <v>116.79510526315789</v>
      </c>
      <c r="S402" s="108">
        <v>2.1209090909090911</v>
      </c>
      <c r="T402" s="5"/>
      <c r="U402" s="197" t="s">
        <v>1045</v>
      </c>
      <c r="V402" s="5">
        <v>1</v>
      </c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</row>
    <row r="403" spans="1:42" x14ac:dyDescent="0.2">
      <c r="A403" s="104" t="s">
        <v>204</v>
      </c>
      <c r="B403" s="104" t="s">
        <v>210</v>
      </c>
      <c r="C403" s="105" t="s">
        <v>211</v>
      </c>
      <c r="D403" s="105" t="s">
        <v>25</v>
      </c>
      <c r="E403" s="105" t="s">
        <v>46</v>
      </c>
      <c r="F403" s="105" t="s">
        <v>783</v>
      </c>
      <c r="H403" s="105" t="s">
        <v>28</v>
      </c>
      <c r="J403" s="5">
        <v>89.15</v>
      </c>
      <c r="K403" s="5">
        <v>0.99509999999999976</v>
      </c>
      <c r="L403" s="5">
        <v>6.0013499999999995</v>
      </c>
      <c r="M403" s="5">
        <v>0.74774999999999991</v>
      </c>
      <c r="P403" s="5">
        <v>2.5000000000000001E-2</v>
      </c>
      <c r="R403" s="5">
        <v>35.494500000000002</v>
      </c>
      <c r="T403" s="5"/>
      <c r="U403" s="197" t="s">
        <v>1046</v>
      </c>
      <c r="V403" s="5">
        <v>7</v>
      </c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</row>
    <row r="404" spans="1:42" x14ac:dyDescent="0.2">
      <c r="A404" s="104" t="s">
        <v>272</v>
      </c>
      <c r="B404" s="104" t="s">
        <v>273</v>
      </c>
      <c r="C404" s="105" t="s">
        <v>869</v>
      </c>
      <c r="D404" s="105" t="s">
        <v>56</v>
      </c>
      <c r="E404" s="105" t="s">
        <v>42</v>
      </c>
      <c r="F404" s="105" t="s">
        <v>784</v>
      </c>
      <c r="H404" s="105" t="s">
        <v>28</v>
      </c>
      <c r="J404" s="5">
        <v>93</v>
      </c>
      <c r="K404" s="5">
        <v>0.6</v>
      </c>
      <c r="L404" s="5">
        <v>26</v>
      </c>
      <c r="M404" s="5">
        <v>0.6</v>
      </c>
      <c r="N404" s="5">
        <v>32</v>
      </c>
      <c r="P404" s="5">
        <v>9.0062500000000004E-2</v>
      </c>
      <c r="R404" s="5">
        <v>51</v>
      </c>
      <c r="T404" s="5"/>
      <c r="U404" s="197" t="s">
        <v>1050</v>
      </c>
      <c r="V404" s="196">
        <f>(V402+V403)/V401</f>
        <v>2.8985507246376812E-2</v>
      </c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</row>
    <row r="405" spans="1:42" x14ac:dyDescent="0.2">
      <c r="A405" s="104" t="s">
        <v>272</v>
      </c>
      <c r="B405" s="104" t="s">
        <v>274</v>
      </c>
      <c r="C405" s="105" t="s">
        <v>275</v>
      </c>
      <c r="D405" s="105" t="s">
        <v>56</v>
      </c>
      <c r="E405" s="105" t="s">
        <v>42</v>
      </c>
      <c r="F405" s="105" t="s">
        <v>784</v>
      </c>
      <c r="H405" s="105" t="s">
        <v>28</v>
      </c>
      <c r="J405" s="5" t="s">
        <v>0</v>
      </c>
      <c r="K405" s="5">
        <v>0.24</v>
      </c>
      <c r="L405" s="5">
        <v>11</v>
      </c>
      <c r="M405" s="5">
        <v>0.39</v>
      </c>
      <c r="P405" s="5">
        <v>3.3167495854063019E-3</v>
      </c>
      <c r="R405" s="5">
        <v>10</v>
      </c>
      <c r="S405" s="5">
        <v>7.0000000000000007E-2</v>
      </c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</row>
    <row r="406" spans="1:42" x14ac:dyDescent="0.2">
      <c r="A406" s="104" t="s">
        <v>272</v>
      </c>
      <c r="B406" s="104" t="s">
        <v>276</v>
      </c>
      <c r="C406" s="105" t="s">
        <v>870</v>
      </c>
      <c r="D406" s="105" t="s">
        <v>56</v>
      </c>
      <c r="E406" s="105" t="s">
        <v>42</v>
      </c>
      <c r="F406" s="105" t="s">
        <v>784</v>
      </c>
      <c r="H406" s="105" t="s">
        <v>28</v>
      </c>
      <c r="J406" s="5">
        <v>91</v>
      </c>
      <c r="K406" s="5">
        <v>1.1000000000000001</v>
      </c>
      <c r="L406" s="5">
        <v>11.9</v>
      </c>
      <c r="M406" s="5">
        <v>0.53</v>
      </c>
      <c r="N406" s="5">
        <v>22.3</v>
      </c>
      <c r="R406" s="5">
        <v>19</v>
      </c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</row>
    <row r="407" spans="1:42" x14ac:dyDescent="0.2">
      <c r="A407" s="104" t="s">
        <v>279</v>
      </c>
      <c r="B407" s="104" t="s">
        <v>277</v>
      </c>
      <c r="C407" s="105" t="s">
        <v>280</v>
      </c>
      <c r="D407" s="105" t="s">
        <v>56</v>
      </c>
      <c r="E407" s="105" t="s">
        <v>42</v>
      </c>
      <c r="F407" s="105" t="s">
        <v>784</v>
      </c>
      <c r="H407" s="105" t="s">
        <v>27</v>
      </c>
      <c r="J407" s="5">
        <v>95.833333333333329</v>
      </c>
      <c r="K407" s="5">
        <v>0.40416666666666662</v>
      </c>
      <c r="L407" s="5">
        <v>22.516666666666666</v>
      </c>
      <c r="M407" s="5">
        <v>0.70909090909090911</v>
      </c>
      <c r="N407" s="5">
        <v>12.666666666666666</v>
      </c>
      <c r="O407" s="5">
        <v>0.23300000000000004</v>
      </c>
      <c r="P407" s="5">
        <v>9.6763207770670465E-3</v>
      </c>
      <c r="R407" s="5">
        <v>10.9</v>
      </c>
      <c r="S407" s="5">
        <v>0.11222222222222225</v>
      </c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</row>
    <row r="408" spans="1:42" x14ac:dyDescent="0.2">
      <c r="A408" s="104" t="s">
        <v>281</v>
      </c>
      <c r="B408" s="104" t="s">
        <v>285</v>
      </c>
      <c r="C408" s="105" t="s">
        <v>287</v>
      </c>
      <c r="D408" s="105" t="s">
        <v>56</v>
      </c>
      <c r="E408" s="105" t="s">
        <v>42</v>
      </c>
      <c r="F408" s="105" t="s">
        <v>784</v>
      </c>
      <c r="H408" s="105" t="s">
        <v>28</v>
      </c>
      <c r="J408" s="5">
        <v>88</v>
      </c>
      <c r="K408" s="5">
        <v>2.37</v>
      </c>
      <c r="L408" s="5">
        <v>11.5</v>
      </c>
      <c r="M408" s="5">
        <v>0.56499999999999995</v>
      </c>
      <c r="N408" s="5">
        <v>19</v>
      </c>
      <c r="O408" s="5">
        <v>0.20500000000000002</v>
      </c>
      <c r="P408" s="5">
        <v>4.0808499170812605E-2</v>
      </c>
      <c r="Q408" s="5">
        <v>14</v>
      </c>
      <c r="R408" s="5">
        <v>10</v>
      </c>
      <c r="S408" s="5">
        <v>0.67999999999999994</v>
      </c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</row>
    <row r="409" spans="1:42" x14ac:dyDescent="0.2">
      <c r="A409" s="104" t="s">
        <v>281</v>
      </c>
      <c r="B409" s="104" t="s">
        <v>285</v>
      </c>
      <c r="C409" s="105" t="s">
        <v>287</v>
      </c>
      <c r="D409" s="105" t="s">
        <v>56</v>
      </c>
      <c r="E409" s="105" t="s">
        <v>42</v>
      </c>
      <c r="F409" s="105" t="s">
        <v>784</v>
      </c>
      <c r="H409" s="105" t="s">
        <v>27</v>
      </c>
      <c r="K409" s="5">
        <v>0.69</v>
      </c>
      <c r="L409" s="5">
        <v>20</v>
      </c>
      <c r="M409" s="5">
        <v>0.56999999999999995</v>
      </c>
      <c r="P409" s="5">
        <v>4.9751243781094526E-3</v>
      </c>
      <c r="Q409" s="5">
        <v>10</v>
      </c>
      <c r="R409" s="5">
        <v>8</v>
      </c>
      <c r="S409" s="5">
        <v>0.47</v>
      </c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</row>
    <row r="410" spans="1:42" x14ac:dyDescent="0.2">
      <c r="A410" s="104" t="s">
        <v>281</v>
      </c>
      <c r="B410" s="104" t="s">
        <v>288</v>
      </c>
      <c r="C410" s="105" t="s">
        <v>287</v>
      </c>
      <c r="D410" s="105" t="s">
        <v>56</v>
      </c>
      <c r="E410" s="105" t="s">
        <v>42</v>
      </c>
      <c r="F410" s="105" t="s">
        <v>784</v>
      </c>
      <c r="H410" s="105" t="s">
        <v>28</v>
      </c>
      <c r="J410" s="5">
        <v>86.4</v>
      </c>
      <c r="K410" s="5">
        <v>2</v>
      </c>
      <c r="L410" s="5">
        <v>48</v>
      </c>
      <c r="M410" s="5">
        <v>0.7</v>
      </c>
      <c r="N410" s="5">
        <v>34</v>
      </c>
      <c r="O410" s="5">
        <v>0.15</v>
      </c>
      <c r="P410" s="108">
        <v>0.53149999999999997</v>
      </c>
      <c r="Q410" s="5">
        <v>27</v>
      </c>
      <c r="R410" s="5">
        <v>21</v>
      </c>
      <c r="S410" s="108">
        <v>1.44</v>
      </c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</row>
    <row r="411" spans="1:42" x14ac:dyDescent="0.2">
      <c r="A411" s="104" t="s">
        <v>281</v>
      </c>
      <c r="B411" s="104" t="s">
        <v>289</v>
      </c>
      <c r="C411" s="105" t="s">
        <v>287</v>
      </c>
      <c r="D411" s="105" t="s">
        <v>56</v>
      </c>
      <c r="E411" s="105" t="s">
        <v>42</v>
      </c>
      <c r="F411" s="105" t="s">
        <v>784</v>
      </c>
      <c r="H411" s="105" t="s">
        <v>28</v>
      </c>
      <c r="J411" s="5">
        <v>89.59</v>
      </c>
      <c r="K411" s="5">
        <v>1.35</v>
      </c>
      <c r="L411" s="5">
        <v>27.5</v>
      </c>
      <c r="M411" s="5">
        <v>0.75</v>
      </c>
      <c r="N411" s="5">
        <v>21</v>
      </c>
      <c r="O411" s="5">
        <v>0.13</v>
      </c>
      <c r="P411" s="5">
        <v>4.9175000000000003E-2</v>
      </c>
      <c r="Q411" s="5">
        <v>17</v>
      </c>
      <c r="R411" s="5">
        <v>10</v>
      </c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</row>
    <row r="412" spans="1:42" x14ac:dyDescent="0.2">
      <c r="A412" s="104" t="s">
        <v>281</v>
      </c>
      <c r="B412" s="104" t="s">
        <v>289</v>
      </c>
      <c r="C412" s="105" t="s">
        <v>290</v>
      </c>
      <c r="D412" s="105" t="s">
        <v>56</v>
      </c>
      <c r="E412" s="105" t="s">
        <v>42</v>
      </c>
      <c r="F412" s="105" t="s">
        <v>784</v>
      </c>
      <c r="H412" s="105" t="s">
        <v>27</v>
      </c>
      <c r="J412" s="5">
        <v>94.14500000000001</v>
      </c>
      <c r="K412" s="5">
        <v>0.82499999999999996</v>
      </c>
      <c r="L412" s="5">
        <v>19</v>
      </c>
      <c r="M412" s="5">
        <v>0.435</v>
      </c>
      <c r="N412" s="5">
        <v>18.5</v>
      </c>
      <c r="P412" s="5">
        <v>1.2975E-2</v>
      </c>
      <c r="R412" s="5">
        <v>18.45</v>
      </c>
      <c r="S412" s="5">
        <v>0.12</v>
      </c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</row>
    <row r="413" spans="1:42" x14ac:dyDescent="0.2">
      <c r="A413" s="104" t="s">
        <v>281</v>
      </c>
      <c r="B413" s="104" t="s">
        <v>130</v>
      </c>
      <c r="C413" s="105" t="s">
        <v>287</v>
      </c>
      <c r="D413" s="105" t="s">
        <v>56</v>
      </c>
      <c r="E413" s="105" t="s">
        <v>42</v>
      </c>
      <c r="F413" s="105" t="s">
        <v>784</v>
      </c>
      <c r="H413" s="105" t="s">
        <v>28</v>
      </c>
      <c r="J413" s="5">
        <v>88.8</v>
      </c>
      <c r="K413" s="5">
        <v>1.32</v>
      </c>
      <c r="L413" s="5">
        <v>25</v>
      </c>
      <c r="M413" s="5">
        <v>0.7</v>
      </c>
      <c r="N413" s="5">
        <v>22</v>
      </c>
      <c r="P413" s="5">
        <v>9.9000000000000005E-2</v>
      </c>
      <c r="R413" s="5">
        <v>10</v>
      </c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</row>
    <row r="414" spans="1:42" x14ac:dyDescent="0.2">
      <c r="A414" s="104" t="s">
        <v>291</v>
      </c>
      <c r="B414" s="104" t="s">
        <v>79</v>
      </c>
      <c r="C414" s="105" t="s">
        <v>290</v>
      </c>
      <c r="D414" s="105" t="s">
        <v>56</v>
      </c>
      <c r="E414" s="105" t="s">
        <v>42</v>
      </c>
      <c r="F414" s="105" t="s">
        <v>784</v>
      </c>
      <c r="H414" s="105" t="s">
        <v>27</v>
      </c>
      <c r="J414" s="5">
        <v>94.449999999999989</v>
      </c>
      <c r="K414" s="5">
        <v>1.05</v>
      </c>
      <c r="L414" s="5">
        <v>18</v>
      </c>
      <c r="M414" s="5">
        <v>0.39500000000000002</v>
      </c>
      <c r="N414" s="5">
        <v>18.5</v>
      </c>
      <c r="O414" s="5">
        <v>0.28999999999999998</v>
      </c>
      <c r="P414" s="5">
        <v>8.7500000000000008E-3</v>
      </c>
      <c r="Q414" s="5">
        <v>24</v>
      </c>
      <c r="R414" s="5">
        <v>18.149999999999999</v>
      </c>
      <c r="S414" s="5">
        <v>0.125</v>
      </c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</row>
    <row r="415" spans="1:42" x14ac:dyDescent="0.2">
      <c r="A415" s="104" t="s">
        <v>292</v>
      </c>
      <c r="B415" s="104" t="s">
        <v>293</v>
      </c>
      <c r="C415" s="105" t="s">
        <v>294</v>
      </c>
      <c r="D415" s="105" t="s">
        <v>56</v>
      </c>
      <c r="E415" s="105" t="s">
        <v>42</v>
      </c>
      <c r="F415" s="105" t="s">
        <v>784</v>
      </c>
      <c r="H415" s="105" t="s">
        <v>27</v>
      </c>
      <c r="J415" s="5">
        <v>81</v>
      </c>
      <c r="K415" s="5">
        <v>1.59</v>
      </c>
      <c r="L415" s="5">
        <v>116</v>
      </c>
      <c r="M415" s="107">
        <v>2.81</v>
      </c>
      <c r="O415" s="107">
        <v>0.65</v>
      </c>
      <c r="P415" s="5">
        <v>5.1846932006633498E-2</v>
      </c>
      <c r="Q415" s="5">
        <v>116</v>
      </c>
      <c r="R415" s="5">
        <v>51</v>
      </c>
      <c r="S415" s="5">
        <v>1.05</v>
      </c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</row>
    <row r="416" spans="1:42" x14ac:dyDescent="0.2">
      <c r="A416" s="104" t="s">
        <v>295</v>
      </c>
      <c r="B416" s="104" t="s">
        <v>296</v>
      </c>
      <c r="C416" s="105" t="s">
        <v>297</v>
      </c>
      <c r="D416" s="105" t="s">
        <v>56</v>
      </c>
      <c r="E416" s="105" t="s">
        <v>42</v>
      </c>
      <c r="F416" s="105" t="s">
        <v>784</v>
      </c>
      <c r="H416" s="105" t="s">
        <v>27</v>
      </c>
      <c r="J416" s="5">
        <v>94.1</v>
      </c>
      <c r="K416" s="5">
        <v>0.7</v>
      </c>
      <c r="L416" s="5">
        <v>14</v>
      </c>
      <c r="M416" s="5">
        <v>0.8</v>
      </c>
      <c r="R416" s="5">
        <v>14</v>
      </c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</row>
    <row r="417" spans="1:42" x14ac:dyDescent="0.2">
      <c r="A417" s="104" t="s">
        <v>382</v>
      </c>
      <c r="B417" s="104" t="s">
        <v>383</v>
      </c>
      <c r="C417" s="105" t="s">
        <v>384</v>
      </c>
      <c r="D417" s="105" t="s">
        <v>25</v>
      </c>
      <c r="E417" s="105" t="s">
        <v>42</v>
      </c>
      <c r="F417" s="105" t="s">
        <v>784</v>
      </c>
      <c r="H417" s="105" t="s">
        <v>27</v>
      </c>
      <c r="J417" s="5">
        <v>87</v>
      </c>
      <c r="K417" s="5">
        <v>1.6199999999999999</v>
      </c>
      <c r="L417" s="5">
        <v>54.1</v>
      </c>
      <c r="M417" s="108">
        <v>1.68</v>
      </c>
      <c r="N417" s="5">
        <v>37</v>
      </c>
      <c r="O417" s="107">
        <v>0.68666666666666654</v>
      </c>
      <c r="P417" s="5">
        <v>0.14306185737976782</v>
      </c>
      <c r="Q417" s="5">
        <v>41.333333333333336</v>
      </c>
      <c r="R417" s="5">
        <v>17.333333333333332</v>
      </c>
      <c r="S417" s="5">
        <v>0.15</v>
      </c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</row>
    <row r="418" spans="1:42" x14ac:dyDescent="0.2">
      <c r="A418" s="104" t="s">
        <v>388</v>
      </c>
      <c r="B418" s="104" t="s">
        <v>389</v>
      </c>
      <c r="C418" s="105" t="s">
        <v>390</v>
      </c>
      <c r="D418" s="105" t="s">
        <v>56</v>
      </c>
      <c r="E418" s="105" t="s">
        <v>42</v>
      </c>
      <c r="F418" s="105" t="s">
        <v>784</v>
      </c>
      <c r="H418" s="105" t="s">
        <v>27</v>
      </c>
      <c r="J418" s="5">
        <v>95.12</v>
      </c>
      <c r="K418" s="5">
        <v>0.4744444444444445</v>
      </c>
      <c r="L418" s="5">
        <v>17.611111111111111</v>
      </c>
      <c r="M418" s="5">
        <v>0.42857142857142855</v>
      </c>
      <c r="N418" s="5">
        <v>11</v>
      </c>
      <c r="O418" s="5">
        <v>0.25142857142857145</v>
      </c>
      <c r="P418" s="5">
        <v>4.2613557213930349E-2</v>
      </c>
      <c r="Q418" s="5">
        <v>6</v>
      </c>
      <c r="R418" s="5">
        <v>10.566666666666666</v>
      </c>
      <c r="S418" s="5">
        <v>7.4999999999999997E-2</v>
      </c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</row>
    <row r="419" spans="1:42" x14ac:dyDescent="0.2">
      <c r="A419" s="104" t="s">
        <v>412</v>
      </c>
      <c r="B419" s="104" t="s">
        <v>414</v>
      </c>
      <c r="C419" s="105" t="s">
        <v>415</v>
      </c>
      <c r="D419" s="105" t="s">
        <v>56</v>
      </c>
      <c r="E419" s="105" t="s">
        <v>42</v>
      </c>
      <c r="F419" s="105" t="s">
        <v>784</v>
      </c>
      <c r="H419" s="105" t="s">
        <v>27</v>
      </c>
      <c r="J419" s="5">
        <v>94.4</v>
      </c>
      <c r="K419" s="5">
        <v>1.1000000000000001</v>
      </c>
      <c r="L419" s="5">
        <v>15</v>
      </c>
      <c r="M419" s="5">
        <v>0.4</v>
      </c>
      <c r="P419" s="108">
        <v>0.4765743159203979</v>
      </c>
      <c r="Q419" s="5">
        <v>37</v>
      </c>
      <c r="R419" s="5">
        <v>7.5</v>
      </c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</row>
    <row r="420" spans="1:42" x14ac:dyDescent="0.2">
      <c r="A420" s="104" t="s">
        <v>412</v>
      </c>
      <c r="B420" s="104" t="s">
        <v>416</v>
      </c>
      <c r="C420" s="105" t="s">
        <v>415</v>
      </c>
      <c r="D420" s="105" t="s">
        <v>56</v>
      </c>
      <c r="E420" s="105" t="s">
        <v>42</v>
      </c>
      <c r="F420" s="105" t="s">
        <v>784</v>
      </c>
      <c r="H420" s="105" t="s">
        <v>27</v>
      </c>
      <c r="J420" s="5">
        <v>93.7</v>
      </c>
      <c r="K420" s="5">
        <v>0.32</v>
      </c>
      <c r="L420" s="5">
        <v>14.833333333333334</v>
      </c>
      <c r="M420" s="5">
        <v>0.59399999999999997</v>
      </c>
      <c r="N420" s="5">
        <v>19</v>
      </c>
      <c r="O420" s="5">
        <v>0.17</v>
      </c>
      <c r="P420" s="5">
        <v>8.272249861802099E-3</v>
      </c>
      <c r="R420" s="5">
        <v>8.0833333333333339</v>
      </c>
      <c r="S420" s="5">
        <v>0.115</v>
      </c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</row>
    <row r="421" spans="1:42" x14ac:dyDescent="0.2">
      <c r="A421" s="104" t="s">
        <v>441</v>
      </c>
      <c r="B421" s="104" t="s">
        <v>442</v>
      </c>
      <c r="C421" s="105" t="s">
        <v>443</v>
      </c>
      <c r="D421" s="105" t="s">
        <v>56</v>
      </c>
      <c r="E421" s="105" t="s">
        <v>42</v>
      </c>
      <c r="F421" s="105" t="s">
        <v>784</v>
      </c>
      <c r="H421" s="105" t="s">
        <v>27</v>
      </c>
      <c r="J421" s="5">
        <v>93.65</v>
      </c>
      <c r="K421" s="5">
        <v>1.0392307692307692</v>
      </c>
      <c r="L421" s="5">
        <v>19.615384615384617</v>
      </c>
      <c r="M421" s="5">
        <v>0.56307692307692314</v>
      </c>
      <c r="N421" s="5">
        <v>17</v>
      </c>
      <c r="O421" s="5">
        <v>0.24636363636363637</v>
      </c>
      <c r="P421" s="5">
        <v>1.3404794210764358E-2</v>
      </c>
      <c r="Q421" s="5">
        <v>72</v>
      </c>
      <c r="R421" s="5">
        <v>63.230769230769234</v>
      </c>
      <c r="S421" s="5">
        <v>1.0542857142857143</v>
      </c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</row>
    <row r="422" spans="1:42" x14ac:dyDescent="0.2">
      <c r="A422" s="104" t="s">
        <v>505</v>
      </c>
      <c r="B422" s="104" t="s">
        <v>506</v>
      </c>
      <c r="C422" s="105" t="s">
        <v>507</v>
      </c>
      <c r="D422" s="105" t="s">
        <v>173</v>
      </c>
      <c r="E422" s="105" t="s">
        <v>42</v>
      </c>
      <c r="F422" s="105" t="s">
        <v>784</v>
      </c>
      <c r="H422" s="105" t="s">
        <v>27</v>
      </c>
      <c r="J422" s="5">
        <v>58</v>
      </c>
      <c r="K422" s="5">
        <v>1.9182000000000001</v>
      </c>
      <c r="L422" s="5">
        <v>49.998300000000008</v>
      </c>
      <c r="M422" s="107">
        <v>2.5854000000000004</v>
      </c>
      <c r="P422" s="5">
        <v>2.8333333333333335E-3</v>
      </c>
      <c r="R422" s="5">
        <v>26.979900000000004</v>
      </c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</row>
    <row r="423" spans="1:42" x14ac:dyDescent="0.2">
      <c r="A423" s="104" t="s">
        <v>505</v>
      </c>
      <c r="B423" s="104" t="s">
        <v>146</v>
      </c>
      <c r="C423" s="105" t="s">
        <v>510</v>
      </c>
      <c r="D423" s="105" t="s">
        <v>56</v>
      </c>
      <c r="E423" s="105" t="s">
        <v>42</v>
      </c>
      <c r="F423" s="105" t="s">
        <v>784</v>
      </c>
      <c r="H423" s="105" t="s">
        <v>27</v>
      </c>
      <c r="J423" s="5">
        <v>90.49666666666667</v>
      </c>
      <c r="K423" s="5">
        <v>2.4333333333333331</v>
      </c>
      <c r="L423" s="5">
        <v>41.333333333333336</v>
      </c>
      <c r="M423" s="5">
        <v>0.9900000000000001</v>
      </c>
      <c r="N423" s="5">
        <v>28</v>
      </c>
      <c r="O423" s="5">
        <v>0.24</v>
      </c>
      <c r="P423" s="5">
        <v>2.2466666666666666E-2</v>
      </c>
      <c r="Q423" s="5">
        <v>35</v>
      </c>
      <c r="R423" s="5">
        <v>15.833333333333334</v>
      </c>
      <c r="S423" s="5">
        <v>0.41</v>
      </c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</row>
    <row r="424" spans="1:42" x14ac:dyDescent="0.2">
      <c r="A424" s="104" t="s">
        <v>515</v>
      </c>
      <c r="B424" s="104" t="s">
        <v>516</v>
      </c>
      <c r="C424" s="105" t="s">
        <v>517</v>
      </c>
      <c r="D424" s="105" t="s">
        <v>56</v>
      </c>
      <c r="E424" s="105" t="s">
        <v>46</v>
      </c>
      <c r="F424" s="105" t="s">
        <v>782</v>
      </c>
      <c r="H424" s="105" t="s">
        <v>28</v>
      </c>
      <c r="J424" s="5">
        <v>90.314999999999998</v>
      </c>
      <c r="K424" s="5">
        <v>1.9</v>
      </c>
      <c r="L424" s="5">
        <v>13.5</v>
      </c>
      <c r="M424" s="5">
        <v>1.21</v>
      </c>
      <c r="N424" s="5">
        <v>50.5</v>
      </c>
      <c r="O424" s="5">
        <v>0.22</v>
      </c>
      <c r="P424" s="5">
        <v>9.4999999999999998E-3</v>
      </c>
      <c r="Q424" s="5">
        <v>7</v>
      </c>
      <c r="R424" s="5">
        <v>10.85</v>
      </c>
      <c r="S424" s="5">
        <v>0.38</v>
      </c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</row>
    <row r="425" spans="1:42" x14ac:dyDescent="0.2">
      <c r="A425" s="104" t="s">
        <v>525</v>
      </c>
      <c r="B425" s="104" t="s">
        <v>398</v>
      </c>
      <c r="C425" s="105" t="s">
        <v>526</v>
      </c>
      <c r="D425" s="105" t="s">
        <v>56</v>
      </c>
      <c r="E425" s="105" t="s">
        <v>46</v>
      </c>
      <c r="F425" s="105" t="s">
        <v>782</v>
      </c>
      <c r="H425" s="105" t="s">
        <v>27</v>
      </c>
      <c r="J425" s="5">
        <v>88.245000000000005</v>
      </c>
      <c r="K425" s="5">
        <v>2.2000000000000002</v>
      </c>
      <c r="L425" s="5">
        <v>46.5</v>
      </c>
      <c r="M425" s="108">
        <v>1.69</v>
      </c>
      <c r="N425" s="5">
        <v>24</v>
      </c>
      <c r="O425" s="5">
        <v>0.27</v>
      </c>
      <c r="P425" s="5">
        <v>3.73E-2</v>
      </c>
      <c r="Q425" s="5">
        <v>42</v>
      </c>
      <c r="R425" s="5">
        <v>56</v>
      </c>
      <c r="S425" s="5">
        <v>0.39</v>
      </c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</row>
    <row r="426" spans="1:42" x14ac:dyDescent="0.2">
      <c r="A426" s="104" t="s">
        <v>540</v>
      </c>
      <c r="B426" s="104" t="s">
        <v>544</v>
      </c>
      <c r="C426" s="105" t="s">
        <v>545</v>
      </c>
      <c r="D426" s="105" t="s">
        <v>173</v>
      </c>
      <c r="E426" s="105" t="s">
        <v>42</v>
      </c>
      <c r="F426" s="105" t="s">
        <v>784</v>
      </c>
      <c r="H426" s="105" t="s">
        <v>27</v>
      </c>
      <c r="J426" s="5">
        <v>90</v>
      </c>
      <c r="K426" s="5">
        <v>1.5814999999999999</v>
      </c>
      <c r="L426" s="5">
        <v>63.250999999999998</v>
      </c>
      <c r="M426" s="5">
        <v>1.3373749999999998</v>
      </c>
      <c r="N426" s="5">
        <v>34</v>
      </c>
      <c r="O426" s="108">
        <v>0.53</v>
      </c>
      <c r="P426" s="5">
        <v>2.2466666666666666E-2</v>
      </c>
      <c r="R426" s="5">
        <v>17.5</v>
      </c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</row>
    <row r="427" spans="1:42" x14ac:dyDescent="0.2">
      <c r="A427" s="104" t="s">
        <v>549</v>
      </c>
      <c r="B427" s="104" t="s">
        <v>277</v>
      </c>
      <c r="C427" s="105" t="s">
        <v>550</v>
      </c>
      <c r="D427" s="105" t="s">
        <v>56</v>
      </c>
      <c r="E427" s="105" t="s">
        <v>46</v>
      </c>
      <c r="F427" s="105" t="s">
        <v>782</v>
      </c>
      <c r="H427" s="105" t="s">
        <v>27</v>
      </c>
      <c r="J427" s="5">
        <v>90.5</v>
      </c>
      <c r="K427" s="5">
        <v>1.4</v>
      </c>
      <c r="L427" s="5">
        <v>80</v>
      </c>
      <c r="M427" s="107">
        <v>2.8</v>
      </c>
      <c r="P427" s="5">
        <v>2.5000000000000001E-3</v>
      </c>
      <c r="R427" s="5">
        <v>69</v>
      </c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</row>
    <row r="428" spans="1:42" x14ac:dyDescent="0.2">
      <c r="A428" s="104" t="s">
        <v>601</v>
      </c>
      <c r="B428" s="104" t="s">
        <v>602</v>
      </c>
      <c r="C428" s="105" t="s">
        <v>603</v>
      </c>
      <c r="D428" s="105" t="s">
        <v>25</v>
      </c>
      <c r="E428" s="105" t="s">
        <v>46</v>
      </c>
      <c r="F428" s="105" t="s">
        <v>782</v>
      </c>
      <c r="H428" s="105" t="s">
        <v>28</v>
      </c>
      <c r="J428" s="5">
        <v>90.8</v>
      </c>
      <c r="K428" s="5">
        <v>1.5165857142857142</v>
      </c>
      <c r="L428" s="5">
        <v>18.928757142857144</v>
      </c>
      <c r="M428" s="5">
        <v>1.1709999999999998</v>
      </c>
      <c r="O428" s="5">
        <v>0.19999999999999998</v>
      </c>
      <c r="P428" s="5">
        <v>3.3430762852404643E-2</v>
      </c>
      <c r="Q428" s="5">
        <v>21.818181818181817</v>
      </c>
      <c r="R428" s="5">
        <v>10.861385714285715</v>
      </c>
      <c r="S428" s="5">
        <v>0.86818181818181828</v>
      </c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</row>
    <row r="429" spans="1:42" x14ac:dyDescent="0.2">
      <c r="A429" s="104" t="s">
        <v>601</v>
      </c>
      <c r="B429" s="104" t="s">
        <v>614</v>
      </c>
      <c r="C429" s="105" t="s">
        <v>615</v>
      </c>
      <c r="D429" s="105" t="s">
        <v>25</v>
      </c>
      <c r="E429" s="105" t="s">
        <v>46</v>
      </c>
      <c r="F429" s="105" t="s">
        <v>782</v>
      </c>
      <c r="H429" s="105" t="s">
        <v>28</v>
      </c>
      <c r="J429" s="5">
        <v>94.316000000000003</v>
      </c>
      <c r="K429" s="5">
        <v>0.56352941176470595</v>
      </c>
      <c r="L429" s="5">
        <v>12.823529411764707</v>
      </c>
      <c r="M429" s="5">
        <v>0.60875000000000001</v>
      </c>
      <c r="N429" s="5">
        <v>11.25</v>
      </c>
      <c r="O429" s="5">
        <v>0.20333333333333339</v>
      </c>
      <c r="P429" s="5">
        <v>5.9944332260267283E-2</v>
      </c>
      <c r="Q429" s="5">
        <v>16.8</v>
      </c>
      <c r="R429" s="5">
        <v>20.688235294117646</v>
      </c>
      <c r="S429" s="108">
        <v>1.4746153846153844</v>
      </c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</row>
    <row r="430" spans="1:42" x14ac:dyDescent="0.2">
      <c r="A430" s="104" t="s">
        <v>601</v>
      </c>
      <c r="B430" s="104" t="s">
        <v>616</v>
      </c>
      <c r="C430" s="105" t="s">
        <v>617</v>
      </c>
      <c r="D430" s="105" t="s">
        <v>25</v>
      </c>
      <c r="E430" s="105" t="s">
        <v>46</v>
      </c>
      <c r="F430" s="105" t="s">
        <v>782</v>
      </c>
      <c r="H430" s="105" t="s">
        <v>28</v>
      </c>
      <c r="J430" s="5">
        <v>89</v>
      </c>
      <c r="K430" s="5">
        <v>1.4731999999999998</v>
      </c>
      <c r="L430" s="5">
        <v>14.167</v>
      </c>
      <c r="M430" s="5">
        <v>0.65333333333333332</v>
      </c>
      <c r="N430" s="5">
        <v>40</v>
      </c>
      <c r="O430" s="5">
        <v>0.25</v>
      </c>
      <c r="P430" s="5">
        <v>2.8500000000000001E-2</v>
      </c>
      <c r="Q430" s="5">
        <v>23</v>
      </c>
      <c r="R430" s="5">
        <v>16.666666666666668</v>
      </c>
      <c r="S430" s="5">
        <v>0.62</v>
      </c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</row>
    <row r="431" spans="1:42" x14ac:dyDescent="0.2">
      <c r="A431" s="104" t="s">
        <v>601</v>
      </c>
      <c r="B431" s="104" t="s">
        <v>618</v>
      </c>
      <c r="C431" s="105" t="s">
        <v>619</v>
      </c>
      <c r="D431" s="105" t="s">
        <v>25</v>
      </c>
      <c r="E431" s="105" t="s">
        <v>46</v>
      </c>
      <c r="F431" s="105" t="s">
        <v>782</v>
      </c>
      <c r="H431" s="105" t="s">
        <v>28</v>
      </c>
      <c r="J431" s="5">
        <v>92.166666666666671</v>
      </c>
      <c r="K431" s="5">
        <v>1.17875</v>
      </c>
      <c r="L431" s="5">
        <v>14.5</v>
      </c>
      <c r="M431" s="5">
        <v>0.75857142857142856</v>
      </c>
      <c r="N431" s="5">
        <v>15</v>
      </c>
      <c r="O431" s="5">
        <v>0.20400000000000001</v>
      </c>
      <c r="P431" s="5">
        <v>9.1459369817578769E-4</v>
      </c>
      <c r="Q431" s="5">
        <v>13.5</v>
      </c>
      <c r="R431" s="5">
        <v>5.65</v>
      </c>
      <c r="S431" s="5">
        <v>0.10499999999999998</v>
      </c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</row>
    <row r="432" spans="1:42" x14ac:dyDescent="0.2">
      <c r="A432" s="104" t="s">
        <v>601</v>
      </c>
      <c r="B432" s="104" t="s">
        <v>620</v>
      </c>
      <c r="C432" s="105" t="s">
        <v>621</v>
      </c>
      <c r="D432" s="105" t="s">
        <v>25</v>
      </c>
      <c r="E432" s="105" t="s">
        <v>46</v>
      </c>
      <c r="F432" s="105" t="s">
        <v>782</v>
      </c>
      <c r="H432" s="105" t="s">
        <v>28</v>
      </c>
      <c r="J432" s="5">
        <v>93.2</v>
      </c>
      <c r="K432" s="5">
        <v>0.4</v>
      </c>
      <c r="L432" s="5">
        <v>29</v>
      </c>
      <c r="M432" s="108">
        <v>1.7</v>
      </c>
      <c r="P432" s="5">
        <v>0.1</v>
      </c>
      <c r="R432" s="5">
        <v>50</v>
      </c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</row>
    <row r="433" spans="1:42" x14ac:dyDescent="0.2">
      <c r="A433" s="104" t="s">
        <v>657</v>
      </c>
      <c r="B433" s="104" t="s">
        <v>658</v>
      </c>
      <c r="C433" s="105" t="s">
        <v>659</v>
      </c>
      <c r="D433" s="105" t="s">
        <v>56</v>
      </c>
      <c r="E433" s="105" t="s">
        <v>42</v>
      </c>
      <c r="F433" s="105" t="s">
        <v>784</v>
      </c>
      <c r="H433" s="105" t="s">
        <v>27</v>
      </c>
      <c r="J433" s="5">
        <v>93.6</v>
      </c>
      <c r="K433" s="5">
        <v>0.84750000000000003</v>
      </c>
      <c r="L433" s="5">
        <v>22</v>
      </c>
      <c r="M433" s="5">
        <v>0.46</v>
      </c>
      <c r="P433" s="5">
        <v>9.4445826423438361E-3</v>
      </c>
      <c r="Q433" s="5">
        <v>15</v>
      </c>
      <c r="R433" s="5">
        <v>7.25</v>
      </c>
      <c r="S433" s="5">
        <v>0.04</v>
      </c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</row>
    <row r="434" spans="1:42" x14ac:dyDescent="0.2">
      <c r="A434" s="104" t="s">
        <v>674</v>
      </c>
      <c r="B434" s="104" t="s">
        <v>675</v>
      </c>
      <c r="C434" s="105" t="s">
        <v>676</v>
      </c>
      <c r="D434" s="105" t="s">
        <v>56</v>
      </c>
      <c r="E434" s="105" t="s">
        <v>46</v>
      </c>
      <c r="F434" s="105" t="s">
        <v>782</v>
      </c>
      <c r="H434" s="105" t="s">
        <v>27</v>
      </c>
      <c r="J434" s="5">
        <v>72.599999999999994</v>
      </c>
      <c r="K434" s="109">
        <v>7.5</v>
      </c>
      <c r="L434" s="5">
        <v>37</v>
      </c>
      <c r="M434" s="5">
        <v>1.55</v>
      </c>
      <c r="N434" s="5">
        <v>33</v>
      </c>
      <c r="O434" s="107">
        <v>1</v>
      </c>
      <c r="P434" s="5">
        <v>6.6500000000000005E-3</v>
      </c>
      <c r="Q434" s="108">
        <v>148</v>
      </c>
      <c r="R434" s="5">
        <v>3.7</v>
      </c>
      <c r="S434" s="5">
        <v>1.1599999999999999</v>
      </c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</row>
    <row r="435" spans="1:42" x14ac:dyDescent="0.2">
      <c r="A435" s="104" t="s">
        <v>677</v>
      </c>
      <c r="B435" s="104" t="s">
        <v>678</v>
      </c>
      <c r="C435" s="105" t="s">
        <v>680</v>
      </c>
      <c r="D435" s="105" t="s">
        <v>56</v>
      </c>
      <c r="E435" s="105" t="s">
        <v>42</v>
      </c>
      <c r="F435" s="105" t="s">
        <v>784</v>
      </c>
      <c r="H435" s="105" t="s">
        <v>27</v>
      </c>
      <c r="J435" s="5">
        <v>86.75</v>
      </c>
      <c r="K435" s="5">
        <v>1.7</v>
      </c>
      <c r="L435" s="5">
        <v>60</v>
      </c>
      <c r="M435" s="5">
        <v>1.0539999999999998</v>
      </c>
      <c r="N435" s="5">
        <v>51.6</v>
      </c>
      <c r="O435" s="5">
        <v>0.33666666666666667</v>
      </c>
      <c r="P435" s="5">
        <v>5.8339999999999989E-2</v>
      </c>
      <c r="Q435" s="5">
        <v>56</v>
      </c>
      <c r="R435" s="5">
        <v>26.160000000000004</v>
      </c>
      <c r="S435" s="5">
        <v>0.49</v>
      </c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</row>
    <row r="436" spans="1:42" x14ac:dyDescent="0.2">
      <c r="A436" s="1"/>
      <c r="B436" s="1"/>
      <c r="C436" s="1"/>
      <c r="D436" s="1"/>
      <c r="E436" s="1"/>
      <c r="F436" s="1"/>
      <c r="G436" s="1"/>
      <c r="H436" s="1"/>
      <c r="J436" s="106"/>
      <c r="K436" s="106"/>
      <c r="L436" s="106"/>
      <c r="M436" s="106"/>
      <c r="N436" s="106"/>
      <c r="O436" s="106"/>
      <c r="P436" s="106"/>
      <c r="Q436" s="106"/>
      <c r="R436" s="106"/>
      <c r="S436" s="106"/>
    </row>
    <row r="437" spans="1:42" x14ac:dyDescent="0.2">
      <c r="A437" s="1"/>
      <c r="B437" s="1"/>
      <c r="C437" s="1"/>
      <c r="D437" s="1"/>
      <c r="E437" s="1"/>
      <c r="F437" s="1"/>
      <c r="G437" s="1"/>
      <c r="H437" s="1"/>
      <c r="J437" s="106"/>
      <c r="K437" s="106"/>
      <c r="L437" s="106"/>
      <c r="M437" s="106"/>
      <c r="N437" s="106"/>
      <c r="O437" s="106"/>
      <c r="P437" s="106"/>
      <c r="Q437" s="106"/>
      <c r="R437" s="106"/>
      <c r="S437" s="106"/>
    </row>
    <row r="438" spans="1:42" x14ac:dyDescent="0.2">
      <c r="A438" s="226" t="s">
        <v>1068</v>
      </c>
      <c r="B438" s="227"/>
      <c r="C438" s="228"/>
      <c r="D438" s="228"/>
      <c r="E438" s="228"/>
      <c r="F438" s="228"/>
      <c r="G438" s="228"/>
      <c r="H438" s="229"/>
      <c r="I438" s="230"/>
      <c r="J438" s="231"/>
      <c r="K438" s="232"/>
      <c r="L438" s="232"/>
      <c r="M438" s="232"/>
      <c r="N438" s="233"/>
      <c r="O438" s="232"/>
      <c r="P438" s="232"/>
      <c r="Q438" s="232"/>
      <c r="R438" s="232"/>
      <c r="S438" s="232"/>
      <c r="T438" s="232"/>
      <c r="U438" s="226" t="s">
        <v>1068</v>
      </c>
      <c r="V438" s="232"/>
      <c r="W438" s="232"/>
      <c r="X438" s="232"/>
    </row>
    <row r="439" spans="1:42" x14ac:dyDescent="0.2">
      <c r="A439" s="104" t="s">
        <v>198</v>
      </c>
      <c r="B439" s="104" t="s">
        <v>199</v>
      </c>
      <c r="C439" s="105" t="s">
        <v>200</v>
      </c>
      <c r="D439" s="105" t="s">
        <v>56</v>
      </c>
      <c r="E439" s="105" t="s">
        <v>42</v>
      </c>
      <c r="F439" s="105" t="s">
        <v>784</v>
      </c>
      <c r="H439" s="105" t="s">
        <v>37</v>
      </c>
      <c r="J439" s="5">
        <v>85.666666666666671</v>
      </c>
      <c r="K439" s="5">
        <v>2.2972999999999999</v>
      </c>
      <c r="L439" s="5">
        <v>50.999633333333328</v>
      </c>
      <c r="M439" s="108">
        <v>1.7313333333333329</v>
      </c>
      <c r="P439" s="5">
        <v>2.2912499999999999E-3</v>
      </c>
      <c r="R439" s="5">
        <v>31.991999999999997</v>
      </c>
      <c r="T439" s="5"/>
      <c r="U439" s="197" t="s">
        <v>1047</v>
      </c>
      <c r="V439" s="5">
        <f>(454-444)*9</f>
        <v>90</v>
      </c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</row>
    <row r="440" spans="1:42" x14ac:dyDescent="0.2">
      <c r="A440" s="104" t="s">
        <v>347</v>
      </c>
      <c r="B440" s="104" t="s">
        <v>348</v>
      </c>
      <c r="C440" s="105" t="s">
        <v>349</v>
      </c>
      <c r="D440" s="105" t="s">
        <v>56</v>
      </c>
      <c r="E440" s="105" t="s">
        <v>46</v>
      </c>
      <c r="F440" s="105" t="s">
        <v>782</v>
      </c>
      <c r="H440" s="105" t="s">
        <v>37</v>
      </c>
      <c r="J440" s="5">
        <v>67.5</v>
      </c>
      <c r="K440" s="5">
        <v>2.3733333333333335</v>
      </c>
      <c r="L440" s="5">
        <v>113.33333333333333</v>
      </c>
      <c r="M440" s="107">
        <v>3.4633333333333334</v>
      </c>
      <c r="N440" s="108">
        <v>65</v>
      </c>
      <c r="O440" s="109">
        <v>1.2349999999999999</v>
      </c>
      <c r="P440" s="5">
        <v>1.4255666113875069E-2</v>
      </c>
      <c r="Q440" s="5">
        <v>132.5</v>
      </c>
      <c r="R440" s="5">
        <v>30.666666666666668</v>
      </c>
      <c r="S440" s="109">
        <v>6.46</v>
      </c>
      <c r="T440" s="5"/>
      <c r="U440" s="197" t="s">
        <v>1048</v>
      </c>
      <c r="V440" s="5">
        <f>COUNTBLANK(K439:S448)</f>
        <v>14</v>
      </c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</row>
    <row r="441" spans="1:42" x14ac:dyDescent="0.2">
      <c r="A441" s="104" t="s">
        <v>382</v>
      </c>
      <c r="B441" s="104" t="s">
        <v>383</v>
      </c>
      <c r="C441" s="105" t="s">
        <v>384</v>
      </c>
      <c r="D441" s="105" t="s">
        <v>25</v>
      </c>
      <c r="E441" s="105" t="s">
        <v>42</v>
      </c>
      <c r="F441" s="105" t="s">
        <v>784</v>
      </c>
      <c r="H441" s="105" t="s">
        <v>37</v>
      </c>
      <c r="J441" s="5">
        <v>87.885000000000005</v>
      </c>
      <c r="K441" s="108">
        <v>3.3</v>
      </c>
      <c r="L441" s="5">
        <v>50</v>
      </c>
      <c r="M441" s="5">
        <v>0.97</v>
      </c>
      <c r="N441" s="5">
        <v>40</v>
      </c>
      <c r="O441" s="5">
        <v>0.37</v>
      </c>
      <c r="P441" s="5">
        <v>3.7750000000000001E-3</v>
      </c>
      <c r="Q441" s="5">
        <v>62</v>
      </c>
      <c r="R441" s="5">
        <v>12.9</v>
      </c>
      <c r="S441" s="5">
        <v>0.51</v>
      </c>
      <c r="T441" s="5"/>
      <c r="U441" s="197" t="s">
        <v>1049</v>
      </c>
      <c r="V441" s="5">
        <f>V439-V440</f>
        <v>76</v>
      </c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</row>
    <row r="442" spans="1:42" x14ac:dyDescent="0.2">
      <c r="A442" s="104" t="s">
        <v>505</v>
      </c>
      <c r="B442" s="104" t="s">
        <v>506</v>
      </c>
      <c r="C442" s="105" t="s">
        <v>507</v>
      </c>
      <c r="D442" s="105" t="s">
        <v>173</v>
      </c>
      <c r="E442" s="105" t="s">
        <v>42</v>
      </c>
      <c r="F442" s="105" t="s">
        <v>784</v>
      </c>
      <c r="H442" s="105" t="s">
        <v>37</v>
      </c>
      <c r="J442" s="5">
        <v>34.1</v>
      </c>
      <c r="K442" s="109">
        <v>12.186499999999999</v>
      </c>
      <c r="L442" s="5">
        <v>60.9983</v>
      </c>
      <c r="M442" s="107">
        <v>4.0897999999999994</v>
      </c>
      <c r="P442" s="5">
        <v>2.5000000000000001E-3</v>
      </c>
      <c r="R442" s="5">
        <v>0</v>
      </c>
      <c r="T442" s="5"/>
      <c r="U442" s="197" t="s">
        <v>1045</v>
      </c>
      <c r="V442" s="5">
        <v>3</v>
      </c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</row>
    <row r="443" spans="1:42" x14ac:dyDescent="0.2">
      <c r="A443" s="104" t="s">
        <v>505</v>
      </c>
      <c r="B443" s="104" t="s">
        <v>508</v>
      </c>
      <c r="C443" s="105" t="s">
        <v>509</v>
      </c>
      <c r="D443" s="105" t="s">
        <v>173</v>
      </c>
      <c r="E443" s="105" t="s">
        <v>42</v>
      </c>
      <c r="F443" s="105" t="s">
        <v>784</v>
      </c>
      <c r="H443" s="105" t="s">
        <v>37</v>
      </c>
      <c r="J443" s="5">
        <v>66.756666666666675</v>
      </c>
      <c r="K443" s="108">
        <v>2.8028499999999994</v>
      </c>
      <c r="L443" s="5">
        <v>50.49736</v>
      </c>
      <c r="M443" s="107">
        <v>2.8913799999999998</v>
      </c>
      <c r="N443" s="5">
        <v>54.5</v>
      </c>
      <c r="O443" s="107">
        <v>0.78</v>
      </c>
      <c r="P443" s="5">
        <v>1.5273333333333333E-2</v>
      </c>
      <c r="Q443" s="5">
        <v>34</v>
      </c>
      <c r="R443" s="5">
        <v>24.212759999999996</v>
      </c>
      <c r="S443" s="5">
        <v>0.32</v>
      </c>
      <c r="T443" s="5"/>
      <c r="U443" s="197" t="s">
        <v>1046</v>
      </c>
      <c r="V443" s="5">
        <v>8</v>
      </c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</row>
    <row r="444" spans="1:42" x14ac:dyDescent="0.2">
      <c r="A444" s="104" t="s">
        <v>525</v>
      </c>
      <c r="B444" s="104" t="s">
        <v>398</v>
      </c>
      <c r="C444" s="105" t="s">
        <v>526</v>
      </c>
      <c r="D444" s="105" t="s">
        <v>56</v>
      </c>
      <c r="E444" s="105" t="s">
        <v>46</v>
      </c>
      <c r="F444" s="105" t="s">
        <v>782</v>
      </c>
      <c r="H444" s="105" t="s">
        <v>37</v>
      </c>
      <c r="J444" s="5">
        <v>74.599999999999994</v>
      </c>
      <c r="K444" s="5">
        <v>2.2000000000000002</v>
      </c>
      <c r="L444" s="5">
        <v>30</v>
      </c>
      <c r="M444" s="108">
        <v>1.8</v>
      </c>
      <c r="N444" s="5">
        <v>35</v>
      </c>
      <c r="P444" s="5">
        <v>3.9E-2</v>
      </c>
      <c r="R444" s="5">
        <v>33</v>
      </c>
      <c r="T444" s="5"/>
      <c r="U444" s="197" t="s">
        <v>1050</v>
      </c>
      <c r="V444" s="196">
        <f>(V442+V443)/76</f>
        <v>0.14473684210526316</v>
      </c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</row>
    <row r="445" spans="1:42" x14ac:dyDescent="0.2">
      <c r="A445" s="104" t="s">
        <v>540</v>
      </c>
      <c r="B445" s="104" t="s">
        <v>544</v>
      </c>
      <c r="C445" s="105" t="s">
        <v>545</v>
      </c>
      <c r="D445" s="105" t="s">
        <v>173</v>
      </c>
      <c r="E445" s="105" t="s">
        <v>42</v>
      </c>
      <c r="F445" s="105" t="s">
        <v>784</v>
      </c>
      <c r="H445" s="105" t="s">
        <v>37</v>
      </c>
      <c r="J445" s="5">
        <v>89.52000000000001</v>
      </c>
      <c r="K445" s="5">
        <v>1.7003999999999992</v>
      </c>
      <c r="L445" s="5">
        <v>84</v>
      </c>
      <c r="M445" s="5">
        <v>1.5</v>
      </c>
      <c r="N445" s="5">
        <v>34</v>
      </c>
      <c r="O445" s="5">
        <v>0.39</v>
      </c>
      <c r="P445" s="5">
        <v>6.4000000000000003E-3</v>
      </c>
      <c r="Q445" s="5">
        <v>66</v>
      </c>
      <c r="R445" s="5">
        <v>18.3</v>
      </c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</row>
    <row r="446" spans="1:42" x14ac:dyDescent="0.2">
      <c r="A446" s="104" t="s">
        <v>674</v>
      </c>
      <c r="B446" s="104" t="s">
        <v>675</v>
      </c>
      <c r="C446" s="105" t="s">
        <v>676</v>
      </c>
      <c r="D446" s="105" t="s">
        <v>56</v>
      </c>
      <c r="E446" s="105" t="s">
        <v>46</v>
      </c>
      <c r="F446" s="105" t="s">
        <v>782</v>
      </c>
      <c r="H446" s="105" t="s">
        <v>37</v>
      </c>
      <c r="J446" s="5">
        <v>78.2</v>
      </c>
      <c r="K446" s="107">
        <v>3.6500000000000004</v>
      </c>
      <c r="L446" s="5">
        <v>26</v>
      </c>
      <c r="M446" s="108">
        <v>2</v>
      </c>
      <c r="N446" s="5">
        <v>38</v>
      </c>
      <c r="O446" s="107">
        <v>0.57999999999999996</v>
      </c>
      <c r="P446" s="5">
        <v>1.7500000000000002E-2</v>
      </c>
      <c r="Q446" s="5">
        <v>96</v>
      </c>
      <c r="R446" s="5">
        <v>33</v>
      </c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</row>
    <row r="447" spans="1:42" x14ac:dyDescent="0.2">
      <c r="A447" s="104" t="s">
        <v>677</v>
      </c>
      <c r="B447" s="104" t="s">
        <v>678</v>
      </c>
      <c r="C447" s="105" t="s">
        <v>679</v>
      </c>
      <c r="D447" s="105" t="s">
        <v>56</v>
      </c>
      <c r="E447" s="105" t="s">
        <v>42</v>
      </c>
      <c r="F447" s="105" t="s">
        <v>784</v>
      </c>
      <c r="H447" s="105" t="s">
        <v>37</v>
      </c>
      <c r="J447" s="5">
        <v>73.733333333333334</v>
      </c>
      <c r="K447" s="107">
        <v>3.9333333333333336</v>
      </c>
      <c r="L447" s="5">
        <v>93.666666666666671</v>
      </c>
      <c r="M447" s="5">
        <v>1.4333333333333336</v>
      </c>
      <c r="N447" s="5">
        <v>51</v>
      </c>
      <c r="O447" s="107">
        <v>1.0049999999999999</v>
      </c>
      <c r="P447" s="5">
        <v>1.9699999999999999E-2</v>
      </c>
      <c r="Q447" s="108">
        <v>168</v>
      </c>
      <c r="R447" s="5">
        <v>11.333333333333334</v>
      </c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</row>
    <row r="448" spans="1:42" x14ac:dyDescent="0.2">
      <c r="A448" s="104" t="s">
        <v>690</v>
      </c>
      <c r="B448" s="104" t="s">
        <v>689</v>
      </c>
      <c r="C448" s="105" t="s">
        <v>691</v>
      </c>
      <c r="D448" s="105" t="s">
        <v>56</v>
      </c>
      <c r="E448" s="105" t="s">
        <v>46</v>
      </c>
      <c r="F448" s="105" t="s">
        <v>885</v>
      </c>
      <c r="H448" s="105" t="s">
        <v>37</v>
      </c>
      <c r="J448" s="5">
        <v>75.77</v>
      </c>
      <c r="K448" s="5">
        <v>1.8166666666666667</v>
      </c>
      <c r="L448" s="5">
        <v>13</v>
      </c>
      <c r="M448" s="5">
        <v>0.71333333333333337</v>
      </c>
      <c r="N448" s="5">
        <v>39.666666666666664</v>
      </c>
      <c r="O448" s="108">
        <v>0.45500000000000002</v>
      </c>
      <c r="P448" s="5">
        <v>5.8249999999999994E-3</v>
      </c>
      <c r="Q448" s="5">
        <v>21.0275</v>
      </c>
      <c r="R448" s="5">
        <v>8.5333333333333332</v>
      </c>
      <c r="S448" s="5">
        <v>7.0000000000000007E-2</v>
      </c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</row>
    <row r="449" spans="1:46" x14ac:dyDescent="0.2">
      <c r="A449" s="1"/>
      <c r="B449" s="1"/>
      <c r="C449" s="1"/>
      <c r="D449" s="1"/>
      <c r="E449" s="1"/>
      <c r="F449" s="1"/>
      <c r="G449" s="1"/>
      <c r="H449" s="1"/>
      <c r="J449" s="106"/>
      <c r="K449" s="106"/>
      <c r="L449" s="106"/>
      <c r="M449" s="106"/>
      <c r="N449" s="106"/>
      <c r="O449" s="106"/>
      <c r="P449" s="106"/>
      <c r="Q449" s="106"/>
      <c r="R449" s="106"/>
      <c r="S449" s="106"/>
    </row>
    <row r="450" spans="1:46" x14ac:dyDescent="0.2">
      <c r="A450" s="1"/>
      <c r="B450" s="1"/>
      <c r="C450" s="1"/>
      <c r="D450" s="1"/>
      <c r="E450" s="1"/>
      <c r="F450" s="1"/>
      <c r="G450" s="1"/>
      <c r="H450" s="1"/>
      <c r="J450" s="106"/>
      <c r="K450" s="106"/>
      <c r="L450" s="106"/>
      <c r="M450" s="106"/>
      <c r="N450" s="106"/>
      <c r="O450" s="106"/>
      <c r="P450" s="106"/>
      <c r="Q450" s="106"/>
      <c r="R450" s="106"/>
      <c r="S450" s="106"/>
    </row>
    <row r="451" spans="1:46" x14ac:dyDescent="0.2">
      <c r="A451" s="1"/>
      <c r="B451" s="1"/>
      <c r="C451" s="1"/>
      <c r="D451" s="1"/>
      <c r="E451" s="1"/>
      <c r="F451" s="1"/>
      <c r="G451" s="1"/>
      <c r="H451" s="1"/>
      <c r="J451" s="106"/>
      <c r="K451" s="106"/>
      <c r="L451" s="106"/>
      <c r="M451" s="106"/>
      <c r="N451" s="106"/>
      <c r="O451" s="106"/>
      <c r="P451" s="106"/>
      <c r="Q451" s="106"/>
      <c r="R451" s="106"/>
      <c r="S451" s="106"/>
    </row>
    <row r="452" spans="1:46" x14ac:dyDescent="0.2">
      <c r="A452" s="1"/>
      <c r="B452" s="1"/>
      <c r="C452" s="1"/>
      <c r="D452" s="1"/>
      <c r="E452" s="1"/>
      <c r="F452" s="1"/>
      <c r="G452" s="1"/>
      <c r="H452" s="1"/>
      <c r="J452" s="106"/>
      <c r="K452" s="106"/>
      <c r="L452" s="106"/>
      <c r="M452" s="106"/>
      <c r="N452" s="106"/>
      <c r="O452" s="106"/>
      <c r="P452" s="106"/>
      <c r="Q452" s="106"/>
      <c r="R452" s="106"/>
      <c r="S452" s="106"/>
    </row>
    <row r="453" spans="1:46" x14ac:dyDescent="0.2">
      <c r="A453" s="1"/>
      <c r="B453" s="1"/>
      <c r="C453" s="1"/>
      <c r="D453" s="1"/>
      <c r="E453" s="1"/>
      <c r="F453" s="1"/>
      <c r="G453" s="1"/>
      <c r="H453" s="1"/>
      <c r="J453" s="106"/>
      <c r="K453" s="106"/>
      <c r="L453" s="106"/>
      <c r="M453" s="106"/>
      <c r="N453" s="106"/>
      <c r="O453" s="106"/>
      <c r="P453" s="106"/>
      <c r="Q453" s="106"/>
      <c r="R453" s="106"/>
      <c r="S453" s="106"/>
    </row>
    <row r="454" spans="1:46" x14ac:dyDescent="0.2">
      <c r="A454" s="1"/>
      <c r="B454" s="1"/>
      <c r="C454" s="1"/>
      <c r="D454" s="1"/>
      <c r="E454" s="1"/>
      <c r="F454" s="1"/>
      <c r="G454" s="1"/>
      <c r="H454" s="1"/>
      <c r="J454" s="106"/>
      <c r="K454" s="106"/>
      <c r="L454" s="106"/>
      <c r="M454" s="106"/>
      <c r="N454" s="106"/>
      <c r="O454" s="106"/>
      <c r="P454" s="106"/>
      <c r="Q454" s="106"/>
      <c r="R454" s="106"/>
      <c r="S454" s="106"/>
    </row>
    <row r="456" spans="1:46" x14ac:dyDescent="0.2">
      <c r="A456" s="1"/>
      <c r="B456" s="1"/>
      <c r="C456" s="1"/>
      <c r="D456" s="1"/>
      <c r="E456" s="1"/>
      <c r="F456" s="1"/>
      <c r="G456" s="1"/>
      <c r="H456" s="1"/>
      <c r="J456" s="106"/>
      <c r="K456" s="106"/>
      <c r="L456" s="106"/>
      <c r="M456" s="106"/>
    </row>
    <row r="457" spans="1:46" x14ac:dyDescent="0.2">
      <c r="J457" s="106"/>
      <c r="K457" s="106"/>
      <c r="L457" s="106"/>
      <c r="M457" s="106"/>
    </row>
    <row r="459" spans="1:46" x14ac:dyDescent="0.2">
      <c r="A459" s="1"/>
      <c r="B459" s="1"/>
      <c r="C459" s="1"/>
      <c r="D459" s="1"/>
      <c r="E459" s="1"/>
      <c r="F459" s="1"/>
      <c r="G459" s="1"/>
      <c r="H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</row>
    <row r="460" spans="1:46" x14ac:dyDescent="0.2">
      <c r="A460" s="1"/>
      <c r="B460" s="1"/>
      <c r="C460" s="1"/>
      <c r="D460" s="1"/>
      <c r="E460" s="1"/>
      <c r="F460" s="1"/>
      <c r="G460" s="1"/>
      <c r="H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</row>
    <row r="461" spans="1:46" x14ac:dyDescent="0.2">
      <c r="A461" s="1"/>
      <c r="B461" s="1"/>
      <c r="C461" s="1"/>
      <c r="D461" s="1"/>
      <c r="E461" s="1"/>
      <c r="F461" s="1"/>
      <c r="G461" s="1"/>
      <c r="H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</row>
    <row r="462" spans="1:46" x14ac:dyDescent="0.2">
      <c r="A462" s="1"/>
      <c r="B462" s="1"/>
      <c r="C462" s="1"/>
      <c r="D462" s="1"/>
      <c r="E462" s="1"/>
      <c r="F462" s="1"/>
      <c r="G462" s="1"/>
      <c r="H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</row>
    <row r="463" spans="1:46" x14ac:dyDescent="0.2">
      <c r="A463" s="1"/>
      <c r="B463" s="1"/>
      <c r="C463" s="1"/>
      <c r="D463" s="1"/>
      <c r="E463" s="1"/>
      <c r="F463" s="1"/>
      <c r="G463" s="1"/>
      <c r="H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</row>
    <row r="464" spans="1:46" x14ac:dyDescent="0.2">
      <c r="A464" s="1"/>
      <c r="B464" s="1"/>
      <c r="C464" s="1"/>
      <c r="D464" s="1"/>
      <c r="E464" s="1"/>
      <c r="F464" s="1"/>
      <c r="G464" s="1"/>
      <c r="H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</row>
    <row r="465" spans="1:46" x14ac:dyDescent="0.2">
      <c r="A465" s="1"/>
      <c r="B465" s="1"/>
      <c r="C465" s="1"/>
      <c r="D465" s="1"/>
      <c r="E465" s="1"/>
      <c r="F465" s="1"/>
      <c r="G465" s="1"/>
      <c r="H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</row>
    <row r="466" spans="1:46" x14ac:dyDescent="0.2">
      <c r="A466" s="1"/>
      <c r="B466" s="1"/>
      <c r="C466" s="1"/>
      <c r="D466" s="1"/>
      <c r="E466" s="1"/>
      <c r="F466" s="1"/>
      <c r="G466" s="1"/>
      <c r="H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</row>
    <row r="467" spans="1:46" x14ac:dyDescent="0.2">
      <c r="A467" s="1"/>
      <c r="B467" s="1"/>
      <c r="C467" s="1"/>
      <c r="D467" s="1"/>
      <c r="E467" s="1"/>
      <c r="F467" s="1"/>
      <c r="G467" s="1"/>
      <c r="H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</row>
    <row r="468" spans="1:46" x14ac:dyDescent="0.2">
      <c r="A468" s="1"/>
      <c r="B468" s="1"/>
      <c r="C468" s="1"/>
      <c r="D468" s="1"/>
      <c r="E468" s="1"/>
      <c r="F468" s="1"/>
      <c r="G468" s="1"/>
      <c r="H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</row>
    <row r="469" spans="1:46" x14ac:dyDescent="0.2">
      <c r="A469" s="1"/>
      <c r="B469" s="1"/>
      <c r="C469" s="1"/>
      <c r="D469" s="1"/>
      <c r="E469" s="1"/>
      <c r="F469" s="1"/>
      <c r="G469" s="1"/>
      <c r="H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</row>
    <row r="470" spans="1:46" x14ac:dyDescent="0.2">
      <c r="A470" s="1"/>
      <c r="B470" s="1"/>
      <c r="C470" s="1"/>
      <c r="D470" s="1"/>
      <c r="E470" s="1"/>
      <c r="F470" s="1"/>
      <c r="G470" s="1"/>
      <c r="H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</row>
    <row r="474" spans="1:46" s="187" customFormat="1" x14ac:dyDescent="0.2">
      <c r="A474" s="179"/>
      <c r="B474" s="179"/>
      <c r="C474" s="180"/>
      <c r="D474" s="180"/>
      <c r="E474" s="180"/>
      <c r="F474" s="180"/>
      <c r="G474" s="180"/>
      <c r="H474" s="181"/>
      <c r="I474" s="182"/>
      <c r="J474" s="183"/>
      <c r="K474" s="184"/>
      <c r="L474" s="184"/>
      <c r="M474" s="184"/>
      <c r="N474" s="185"/>
      <c r="O474" s="184"/>
      <c r="P474" s="184"/>
      <c r="Q474" s="184"/>
      <c r="R474" s="184"/>
      <c r="S474" s="184"/>
      <c r="T474" s="186"/>
      <c r="U474" s="186"/>
      <c r="V474" s="186"/>
      <c r="W474" s="186"/>
      <c r="X474" s="186"/>
      <c r="Y474" s="186"/>
      <c r="Z474" s="186"/>
      <c r="AA474" s="186"/>
      <c r="AB474" s="186"/>
      <c r="AC474" s="186"/>
      <c r="AD474" s="186"/>
      <c r="AE474" s="186"/>
      <c r="AF474" s="186"/>
      <c r="AG474" s="186"/>
      <c r="AH474" s="186"/>
      <c r="AI474" s="186"/>
      <c r="AJ474" s="186"/>
      <c r="AK474" s="186"/>
      <c r="AL474" s="186"/>
      <c r="AM474" s="186"/>
      <c r="AN474" s="186"/>
      <c r="AO474" s="186"/>
      <c r="AP474" s="186"/>
      <c r="AQ474" s="186"/>
      <c r="AR474" s="186"/>
      <c r="AS474" s="186"/>
      <c r="AT474" s="186"/>
    </row>
    <row r="475" spans="1:46" s="187" customFormat="1" x14ac:dyDescent="0.2">
      <c r="A475" s="179"/>
      <c r="B475" s="179"/>
      <c r="C475" s="180"/>
      <c r="D475" s="180"/>
      <c r="E475" s="180"/>
      <c r="F475" s="180"/>
      <c r="G475" s="180"/>
      <c r="H475" s="181"/>
      <c r="I475" s="182"/>
      <c r="J475" s="183"/>
      <c r="K475" s="184"/>
      <c r="L475" s="184"/>
      <c r="M475" s="184"/>
      <c r="N475" s="185"/>
      <c r="O475" s="184"/>
      <c r="P475" s="184"/>
      <c r="Q475" s="184"/>
      <c r="R475" s="184"/>
      <c r="S475" s="184"/>
      <c r="T475" s="186"/>
      <c r="U475" s="186"/>
      <c r="V475" s="186"/>
      <c r="W475" s="186"/>
      <c r="X475" s="186"/>
      <c r="Y475" s="186"/>
      <c r="Z475" s="186"/>
      <c r="AA475" s="186"/>
      <c r="AB475" s="186"/>
      <c r="AC475" s="186"/>
      <c r="AD475" s="186"/>
      <c r="AE475" s="186"/>
      <c r="AF475" s="186"/>
      <c r="AG475" s="186"/>
      <c r="AH475" s="186"/>
      <c r="AI475" s="186"/>
      <c r="AJ475" s="186"/>
      <c r="AK475" s="186"/>
      <c r="AL475" s="186"/>
      <c r="AM475" s="186"/>
      <c r="AN475" s="186"/>
      <c r="AO475" s="186"/>
      <c r="AP475" s="186"/>
      <c r="AQ475" s="186"/>
      <c r="AR475" s="186"/>
      <c r="AS475" s="186"/>
      <c r="AT475" s="186"/>
    </row>
    <row r="476" spans="1:46" x14ac:dyDescent="0.2">
      <c r="A476" s="1"/>
      <c r="B476" s="1"/>
      <c r="C476" s="1"/>
      <c r="D476" s="1"/>
      <c r="E476" s="1"/>
      <c r="F476" s="1"/>
      <c r="G476" s="1"/>
      <c r="H476" s="1"/>
      <c r="J476" s="106"/>
      <c r="K476" s="106"/>
      <c r="L476" s="106"/>
      <c r="M476" s="106"/>
      <c r="N476" s="106"/>
      <c r="O476" s="106"/>
      <c r="P476" s="106"/>
      <c r="Q476" s="106"/>
      <c r="R476" s="106"/>
      <c r="S476" s="106"/>
    </row>
    <row r="477" spans="1:46" x14ac:dyDescent="0.2">
      <c r="A477" s="1"/>
      <c r="B477" s="1"/>
      <c r="C477" s="1"/>
      <c r="D477" s="1"/>
      <c r="E477" s="1"/>
      <c r="F477" s="1"/>
      <c r="G477" s="1"/>
      <c r="H477" s="1"/>
      <c r="J477" s="106"/>
      <c r="K477" s="106"/>
      <c r="L477" s="106"/>
      <c r="M477" s="106"/>
      <c r="N477" s="106"/>
      <c r="O477" s="106"/>
      <c r="P477" s="106"/>
      <c r="Q477" s="106"/>
      <c r="R477" s="106"/>
      <c r="S477" s="106"/>
    </row>
    <row r="478" spans="1:46" x14ac:dyDescent="0.2">
      <c r="A478" s="1"/>
      <c r="B478" s="1"/>
      <c r="C478" s="1"/>
      <c r="D478" s="1"/>
      <c r="E478" s="1"/>
      <c r="F478" s="1"/>
      <c r="G478" s="1"/>
      <c r="H478" s="1"/>
      <c r="J478" s="106"/>
      <c r="K478" s="106"/>
      <c r="L478" s="106"/>
      <c r="M478" s="106"/>
      <c r="N478" s="106"/>
      <c r="O478" s="106"/>
      <c r="P478" s="106"/>
      <c r="Q478" s="106"/>
      <c r="R478" s="106"/>
      <c r="S478" s="106"/>
    </row>
    <row r="479" spans="1:46" x14ac:dyDescent="0.2">
      <c r="A479" s="1"/>
      <c r="B479" s="1"/>
      <c r="C479" s="1"/>
      <c r="D479" s="1"/>
      <c r="E479" s="1"/>
      <c r="F479" s="1"/>
      <c r="G479" s="1"/>
      <c r="H479" s="1"/>
      <c r="J479" s="106"/>
      <c r="K479" s="106"/>
      <c r="L479" s="106"/>
      <c r="M479" s="106"/>
      <c r="N479" s="106"/>
      <c r="O479" s="106"/>
      <c r="P479" s="106"/>
      <c r="Q479" s="106"/>
      <c r="R479" s="106"/>
      <c r="S479" s="106"/>
    </row>
    <row r="480" spans="1:46" x14ac:dyDescent="0.2">
      <c r="A480" s="1"/>
      <c r="B480" s="1"/>
      <c r="C480" s="1"/>
      <c r="D480" s="1"/>
      <c r="E480" s="1"/>
      <c r="F480" s="1"/>
      <c r="G480" s="1"/>
      <c r="H480" s="1"/>
      <c r="J480" s="106"/>
      <c r="K480" s="106"/>
      <c r="L480" s="106"/>
      <c r="M480" s="106"/>
      <c r="N480" s="106"/>
      <c r="O480" s="106"/>
      <c r="P480" s="106"/>
      <c r="Q480" s="106"/>
      <c r="R480" s="106"/>
      <c r="S480" s="106"/>
    </row>
    <row r="481" spans="1:19" x14ac:dyDescent="0.2">
      <c r="A481" s="1"/>
      <c r="B481" s="1"/>
      <c r="C481" s="1"/>
      <c r="D481" s="1"/>
      <c r="E481" s="1"/>
      <c r="F481" s="1"/>
      <c r="G481" s="1"/>
      <c r="H481" s="1"/>
      <c r="J481" s="106"/>
      <c r="K481" s="106"/>
      <c r="L481" s="106"/>
      <c r="M481" s="106"/>
      <c r="N481" s="106"/>
      <c r="O481" s="106"/>
      <c r="P481" s="106"/>
      <c r="Q481" s="106"/>
      <c r="R481" s="106"/>
      <c r="S481" s="106"/>
    </row>
    <row r="482" spans="1:19" x14ac:dyDescent="0.2">
      <c r="A482" s="1"/>
      <c r="B482" s="1"/>
      <c r="C482" s="1"/>
      <c r="D482" s="1"/>
      <c r="E482" s="1"/>
      <c r="F482" s="1"/>
      <c r="G482" s="1"/>
      <c r="H482" s="1"/>
      <c r="J482" s="106"/>
      <c r="K482" s="106"/>
      <c r="L482" s="106"/>
      <c r="M482" s="106"/>
      <c r="N482" s="106"/>
      <c r="O482" s="106"/>
      <c r="P482" s="106"/>
      <c r="Q482" s="106"/>
      <c r="R482" s="106"/>
      <c r="S482" s="106"/>
    </row>
    <row r="483" spans="1:19" x14ac:dyDescent="0.2">
      <c r="A483" s="1"/>
      <c r="B483" s="1"/>
      <c r="C483" s="1"/>
      <c r="D483" s="1"/>
      <c r="E483" s="1"/>
      <c r="F483" s="1"/>
      <c r="G483" s="1"/>
      <c r="H483" s="1"/>
      <c r="J483" s="106"/>
      <c r="K483" s="106"/>
      <c r="L483" s="106"/>
      <c r="M483" s="106"/>
      <c r="N483" s="106"/>
      <c r="O483" s="106"/>
      <c r="P483" s="106"/>
      <c r="Q483" s="106"/>
      <c r="R483" s="106"/>
      <c r="S483" s="106"/>
    </row>
    <row r="484" spans="1:19" x14ac:dyDescent="0.2">
      <c r="A484" s="1"/>
      <c r="B484" s="1"/>
      <c r="C484" s="1"/>
      <c r="D484" s="1"/>
      <c r="E484" s="1"/>
      <c r="F484" s="1"/>
      <c r="G484" s="1"/>
      <c r="H484" s="1"/>
      <c r="J484" s="106"/>
      <c r="K484" s="106"/>
      <c r="L484" s="106"/>
      <c r="M484" s="106"/>
      <c r="N484" s="106"/>
      <c r="O484" s="106"/>
      <c r="P484" s="106"/>
      <c r="Q484" s="106"/>
      <c r="R484" s="106"/>
      <c r="S484" s="106"/>
    </row>
    <row r="485" spans="1:19" x14ac:dyDescent="0.2">
      <c r="A485" s="1"/>
      <c r="B485" s="1"/>
      <c r="C485" s="1"/>
      <c r="D485" s="1"/>
      <c r="E485" s="1"/>
      <c r="F485" s="1"/>
      <c r="G485" s="1"/>
      <c r="H485" s="1"/>
      <c r="J485" s="106"/>
      <c r="K485" s="106"/>
      <c r="L485" s="106"/>
      <c r="M485" s="106"/>
      <c r="N485" s="106"/>
      <c r="O485" s="106"/>
      <c r="P485" s="106"/>
      <c r="Q485" s="106"/>
      <c r="R485" s="106"/>
      <c r="S485" s="106"/>
    </row>
    <row r="486" spans="1:19" x14ac:dyDescent="0.2">
      <c r="A486" s="1"/>
      <c r="B486" s="1"/>
      <c r="C486" s="1"/>
      <c r="D486" s="1"/>
      <c r="E486" s="1"/>
      <c r="F486" s="1"/>
      <c r="G486" s="1"/>
      <c r="H486" s="1"/>
      <c r="J486" s="106"/>
      <c r="K486" s="106"/>
      <c r="L486" s="106"/>
      <c r="M486" s="106"/>
      <c r="N486" s="106"/>
      <c r="O486" s="106"/>
      <c r="P486" s="106"/>
      <c r="Q486" s="106"/>
      <c r="R486" s="106"/>
      <c r="S486" s="106"/>
    </row>
    <row r="487" spans="1:19" x14ac:dyDescent="0.2">
      <c r="A487" s="1"/>
      <c r="B487" s="1"/>
      <c r="C487" s="1"/>
      <c r="D487" s="1"/>
      <c r="E487" s="1"/>
      <c r="F487" s="1"/>
      <c r="G487" s="1"/>
      <c r="H487" s="1"/>
      <c r="J487" s="106"/>
      <c r="K487" s="106"/>
      <c r="L487" s="106"/>
      <c r="M487" s="106"/>
      <c r="N487" s="106"/>
      <c r="O487" s="106"/>
      <c r="P487" s="106"/>
      <c r="Q487" s="106"/>
      <c r="R487" s="106"/>
      <c r="S487" s="106"/>
    </row>
    <row r="488" spans="1:19" x14ac:dyDescent="0.2">
      <c r="A488" s="1"/>
      <c r="B488" s="1"/>
      <c r="C488" s="1"/>
      <c r="D488" s="1"/>
      <c r="E488" s="1"/>
      <c r="F488" s="1"/>
      <c r="G488" s="1"/>
      <c r="H488" s="1"/>
      <c r="J488" s="106"/>
      <c r="K488" s="106"/>
      <c r="L488" s="106"/>
      <c r="M488" s="106"/>
      <c r="N488" s="106"/>
      <c r="O488" s="106"/>
      <c r="P488" s="106"/>
      <c r="Q488" s="106"/>
      <c r="R488" s="106"/>
      <c r="S488" s="106"/>
    </row>
    <row r="489" spans="1:19" x14ac:dyDescent="0.2">
      <c r="A489" s="1"/>
      <c r="B489" s="1"/>
      <c r="C489" s="1"/>
      <c r="D489" s="1"/>
      <c r="E489" s="1"/>
      <c r="F489" s="1"/>
      <c r="G489" s="1"/>
      <c r="H489" s="1"/>
      <c r="J489" s="106"/>
      <c r="K489" s="106"/>
      <c r="L489" s="106"/>
      <c r="M489" s="106"/>
      <c r="N489" s="106"/>
      <c r="O489" s="106"/>
      <c r="P489" s="106"/>
      <c r="Q489" s="106"/>
      <c r="R489" s="106"/>
      <c r="S489" s="106"/>
    </row>
    <row r="490" spans="1:19" x14ac:dyDescent="0.2">
      <c r="A490" s="1"/>
      <c r="B490" s="1"/>
      <c r="C490" s="1"/>
      <c r="D490" s="1"/>
      <c r="E490" s="1"/>
      <c r="F490" s="1"/>
      <c r="G490" s="1"/>
      <c r="H490" s="1"/>
      <c r="J490" s="106"/>
      <c r="K490" s="106"/>
      <c r="L490" s="106"/>
      <c r="M490" s="106"/>
      <c r="N490" s="106"/>
      <c r="O490" s="106"/>
      <c r="P490" s="106"/>
      <c r="Q490" s="106"/>
      <c r="R490" s="106"/>
      <c r="S490" s="106"/>
    </row>
    <row r="491" spans="1:19" x14ac:dyDescent="0.2">
      <c r="A491" s="1"/>
      <c r="B491" s="1"/>
      <c r="C491" s="1"/>
      <c r="D491" s="1"/>
      <c r="E491" s="1"/>
      <c r="F491" s="1"/>
      <c r="G491" s="1"/>
      <c r="H491" s="1"/>
      <c r="J491" s="106"/>
      <c r="K491" s="106"/>
      <c r="L491" s="106"/>
      <c r="M491" s="106"/>
      <c r="N491" s="106"/>
      <c r="O491" s="106"/>
      <c r="P491" s="106"/>
      <c r="Q491" s="106"/>
      <c r="R491" s="106"/>
      <c r="S491" s="106"/>
    </row>
    <row r="492" spans="1:19" x14ac:dyDescent="0.2">
      <c r="A492" s="1"/>
      <c r="B492" s="1"/>
      <c r="C492" s="1"/>
      <c r="D492" s="1"/>
      <c r="E492" s="1"/>
      <c r="F492" s="1"/>
      <c r="G492" s="1"/>
      <c r="H492" s="1"/>
      <c r="J492" s="106"/>
      <c r="K492" s="106"/>
      <c r="L492" s="106"/>
      <c r="M492" s="106"/>
      <c r="N492" s="106"/>
      <c r="O492" s="106"/>
      <c r="P492" s="106"/>
      <c r="Q492" s="106"/>
      <c r="R492" s="106"/>
      <c r="S492" s="106"/>
    </row>
    <row r="493" spans="1:19" x14ac:dyDescent="0.2">
      <c r="A493" s="1"/>
      <c r="B493" s="1"/>
      <c r="C493" s="1"/>
      <c r="D493" s="1"/>
      <c r="E493" s="1"/>
      <c r="F493" s="1"/>
      <c r="G493" s="1"/>
      <c r="H493" s="1"/>
      <c r="J493" s="106"/>
      <c r="K493" s="106"/>
      <c r="L493" s="106"/>
      <c r="M493" s="106"/>
      <c r="N493" s="106"/>
      <c r="O493" s="106"/>
      <c r="P493" s="106"/>
      <c r="Q493" s="106"/>
      <c r="R493" s="106"/>
      <c r="S493" s="106"/>
    </row>
    <row r="494" spans="1:19" x14ac:dyDescent="0.2">
      <c r="A494" s="1"/>
      <c r="B494" s="1"/>
      <c r="C494" s="1"/>
      <c r="D494" s="1"/>
      <c r="E494" s="1"/>
      <c r="F494" s="1"/>
      <c r="G494" s="1"/>
      <c r="H494" s="1"/>
      <c r="J494" s="106"/>
      <c r="K494" s="106"/>
      <c r="L494" s="106"/>
      <c r="M494" s="106"/>
      <c r="N494" s="106"/>
      <c r="O494" s="106"/>
      <c r="P494" s="106"/>
      <c r="Q494" s="106"/>
      <c r="R494" s="106"/>
      <c r="S494" s="106"/>
    </row>
    <row r="495" spans="1:19" x14ac:dyDescent="0.2">
      <c r="A495" s="1"/>
      <c r="B495" s="1"/>
      <c r="C495" s="1"/>
      <c r="D495" s="1"/>
      <c r="E495" s="1"/>
      <c r="F495" s="1"/>
      <c r="G495" s="1"/>
      <c r="H495" s="1"/>
      <c r="J495" s="106"/>
      <c r="K495" s="106"/>
      <c r="L495" s="106"/>
      <c r="M495" s="106"/>
      <c r="N495" s="106"/>
      <c r="O495" s="106"/>
      <c r="P495" s="106"/>
      <c r="Q495" s="106"/>
      <c r="R495" s="106"/>
      <c r="S495" s="106"/>
    </row>
    <row r="496" spans="1:19" x14ac:dyDescent="0.2">
      <c r="A496" s="1"/>
      <c r="B496" s="1"/>
      <c r="C496" s="1"/>
      <c r="D496" s="1"/>
      <c r="E496" s="1"/>
      <c r="F496" s="1"/>
      <c r="G496" s="1"/>
      <c r="H496" s="1"/>
      <c r="J496" s="106"/>
      <c r="K496" s="106"/>
      <c r="L496" s="106"/>
      <c r="M496" s="106"/>
      <c r="N496" s="106"/>
      <c r="O496" s="106"/>
      <c r="P496" s="106"/>
      <c r="Q496" s="106"/>
      <c r="R496" s="106"/>
      <c r="S496" s="106"/>
    </row>
    <row r="497" spans="1:50" x14ac:dyDescent="0.2">
      <c r="A497" s="1"/>
      <c r="B497" s="1"/>
      <c r="C497" s="1"/>
      <c r="D497" s="1"/>
      <c r="E497" s="1"/>
      <c r="F497" s="1"/>
      <c r="G497" s="1"/>
      <c r="H497" s="1"/>
      <c r="J497" s="106"/>
      <c r="K497" s="106"/>
      <c r="L497" s="106"/>
      <c r="M497" s="106"/>
      <c r="N497" s="106"/>
      <c r="O497" s="106"/>
      <c r="P497" s="106"/>
      <c r="Q497" s="106"/>
      <c r="R497" s="106"/>
      <c r="S497" s="106"/>
    </row>
    <row r="498" spans="1:50" x14ac:dyDescent="0.2">
      <c r="A498" s="1"/>
      <c r="B498" s="1"/>
      <c r="C498" s="1"/>
      <c r="D498" s="1"/>
      <c r="E498" s="1"/>
      <c r="F498" s="1"/>
      <c r="G498" s="1"/>
      <c r="H498" s="1"/>
      <c r="J498" s="106"/>
      <c r="K498" s="106"/>
      <c r="L498" s="106"/>
      <c r="M498" s="106"/>
      <c r="N498" s="106"/>
      <c r="O498" s="106"/>
      <c r="P498" s="106"/>
      <c r="Q498" s="106"/>
      <c r="R498" s="106"/>
      <c r="S498" s="106"/>
    </row>
    <row r="499" spans="1:50" x14ac:dyDescent="0.2">
      <c r="A499" s="1"/>
      <c r="B499" s="1"/>
      <c r="C499" s="1"/>
      <c r="D499" s="1"/>
      <c r="E499" s="1"/>
      <c r="F499" s="1"/>
      <c r="G499" s="1"/>
      <c r="H499" s="1"/>
      <c r="J499" s="106"/>
      <c r="K499" s="106"/>
      <c r="L499" s="106"/>
      <c r="M499" s="106"/>
      <c r="N499" s="106"/>
      <c r="O499" s="106"/>
      <c r="P499" s="106"/>
      <c r="Q499" s="106"/>
      <c r="R499" s="106"/>
      <c r="S499" s="106"/>
    </row>
    <row r="500" spans="1:50" x14ac:dyDescent="0.2">
      <c r="A500" s="1"/>
      <c r="B500" s="1"/>
      <c r="C500" s="1"/>
      <c r="D500" s="1"/>
      <c r="E500" s="1"/>
      <c r="F500" s="1"/>
      <c r="G500" s="1"/>
      <c r="H500" s="1"/>
      <c r="J500" s="106"/>
      <c r="K500" s="106"/>
      <c r="L500" s="106"/>
      <c r="M500" s="106"/>
      <c r="N500" s="106"/>
      <c r="O500" s="106"/>
      <c r="P500" s="106"/>
      <c r="Q500" s="106"/>
      <c r="R500" s="106"/>
      <c r="S500" s="106"/>
      <c r="T500" s="113"/>
      <c r="U500" s="113"/>
      <c r="V500" s="113"/>
      <c r="W500" s="113"/>
      <c r="X500" s="113"/>
      <c r="Y500" s="113"/>
      <c r="Z500" s="113"/>
      <c r="AA500" s="113"/>
      <c r="AB500" s="113"/>
      <c r="AC500" s="113"/>
      <c r="AD500" s="113"/>
      <c r="AE500" s="113"/>
      <c r="AF500" s="113"/>
      <c r="AG500" s="113"/>
      <c r="AH500" s="113"/>
      <c r="AI500" s="113"/>
      <c r="AJ500" s="113"/>
      <c r="AK500" s="113"/>
      <c r="AL500" s="113"/>
      <c r="AM500" s="113"/>
      <c r="AN500" s="113"/>
      <c r="AO500" s="113"/>
      <c r="AP500" s="113"/>
      <c r="AQ500" s="113"/>
      <c r="AR500" s="113"/>
      <c r="AS500" s="113"/>
      <c r="AT500" s="113"/>
      <c r="AU500" s="112"/>
      <c r="AV500" s="112"/>
      <c r="AW500" s="112"/>
      <c r="AX500" s="112"/>
    </row>
    <row r="501" spans="1:50" x14ac:dyDescent="0.2">
      <c r="A501" s="1"/>
      <c r="B501" s="1"/>
      <c r="C501" s="1"/>
      <c r="D501" s="1"/>
      <c r="E501" s="1"/>
      <c r="F501" s="1"/>
      <c r="G501" s="1"/>
      <c r="H501" s="1"/>
      <c r="J501" s="106"/>
      <c r="K501" s="106"/>
      <c r="L501" s="106"/>
      <c r="M501" s="106"/>
      <c r="N501" s="106"/>
      <c r="O501" s="106"/>
      <c r="P501" s="106"/>
      <c r="Q501" s="106"/>
      <c r="R501" s="106"/>
      <c r="S501" s="106"/>
    </row>
    <row r="502" spans="1:50" x14ac:dyDescent="0.2">
      <c r="A502" s="1"/>
      <c r="B502" s="1"/>
      <c r="C502" s="1"/>
      <c r="D502" s="1"/>
      <c r="E502" s="1"/>
      <c r="F502" s="1"/>
      <c r="G502" s="1"/>
      <c r="H502" s="1"/>
      <c r="J502" s="106"/>
      <c r="K502" s="106"/>
      <c r="L502" s="106"/>
      <c r="M502" s="106"/>
      <c r="N502" s="106"/>
      <c r="O502" s="106"/>
      <c r="P502" s="106"/>
      <c r="Q502" s="106"/>
      <c r="R502" s="106"/>
      <c r="S502" s="106"/>
    </row>
    <row r="503" spans="1:50" x14ac:dyDescent="0.2">
      <c r="A503" s="1"/>
      <c r="B503" s="1"/>
      <c r="C503" s="1"/>
      <c r="D503" s="1"/>
      <c r="E503" s="1"/>
      <c r="F503" s="1"/>
      <c r="G503" s="1"/>
      <c r="H503" s="1"/>
      <c r="J503" s="106"/>
      <c r="K503" s="106"/>
      <c r="L503" s="106"/>
      <c r="M503" s="106"/>
      <c r="N503" s="106"/>
      <c r="O503" s="106"/>
      <c r="P503" s="106"/>
      <c r="Q503" s="106"/>
      <c r="R503" s="106"/>
      <c r="S503" s="106"/>
    </row>
    <row r="504" spans="1:50" x14ac:dyDescent="0.2">
      <c r="A504" s="1"/>
      <c r="B504" s="1"/>
      <c r="C504" s="1"/>
      <c r="D504" s="1"/>
      <c r="E504" s="1"/>
      <c r="F504" s="1"/>
      <c r="G504" s="1"/>
      <c r="H504" s="1"/>
      <c r="J504" s="106"/>
      <c r="K504" s="106"/>
      <c r="L504" s="106"/>
      <c r="M504" s="106"/>
      <c r="N504" s="106"/>
      <c r="O504" s="106"/>
      <c r="P504" s="106"/>
      <c r="Q504" s="106"/>
      <c r="R504" s="106"/>
      <c r="S504" s="106"/>
    </row>
    <row r="505" spans="1:50" x14ac:dyDescent="0.2">
      <c r="A505" s="1"/>
      <c r="B505" s="1"/>
      <c r="C505" s="1"/>
      <c r="D505" s="1"/>
      <c r="E505" s="1"/>
      <c r="F505" s="1"/>
      <c r="G505" s="1"/>
      <c r="H505" s="1"/>
      <c r="J505" s="106"/>
      <c r="K505" s="106"/>
      <c r="L505" s="106"/>
      <c r="M505" s="106"/>
      <c r="N505" s="106"/>
      <c r="O505" s="106"/>
      <c r="P505" s="106"/>
      <c r="Q505" s="106"/>
      <c r="R505" s="106"/>
      <c r="S505" s="106"/>
    </row>
    <row r="506" spans="1:50" x14ac:dyDescent="0.2">
      <c r="A506" s="1"/>
      <c r="B506" s="1"/>
      <c r="C506" s="1"/>
      <c r="D506" s="1"/>
      <c r="E506" s="1"/>
      <c r="F506" s="1"/>
      <c r="G506" s="1"/>
      <c r="H506" s="1"/>
      <c r="J506" s="106"/>
      <c r="K506" s="106"/>
      <c r="L506" s="106"/>
      <c r="M506" s="106"/>
      <c r="N506" s="106"/>
      <c r="O506" s="106"/>
      <c r="P506" s="106"/>
      <c r="Q506" s="106"/>
      <c r="R506" s="106"/>
      <c r="S506" s="106"/>
    </row>
    <row r="507" spans="1:50" x14ac:dyDescent="0.2">
      <c r="A507" s="1"/>
      <c r="B507" s="1"/>
      <c r="C507" s="1"/>
      <c r="D507" s="1"/>
      <c r="E507" s="1"/>
      <c r="F507" s="1"/>
      <c r="G507" s="1"/>
      <c r="H507" s="1"/>
      <c r="J507" s="106"/>
      <c r="K507" s="106"/>
      <c r="L507" s="106"/>
      <c r="M507" s="106"/>
      <c r="N507" s="106"/>
      <c r="O507" s="106"/>
      <c r="P507" s="106"/>
      <c r="Q507" s="106"/>
      <c r="R507" s="106"/>
      <c r="S507" s="106"/>
    </row>
    <row r="508" spans="1:50" x14ac:dyDescent="0.2">
      <c r="A508" s="1"/>
      <c r="B508" s="1"/>
      <c r="C508" s="1"/>
      <c r="D508" s="1"/>
      <c r="E508" s="1"/>
      <c r="F508" s="1"/>
      <c r="G508" s="1"/>
      <c r="H508" s="1"/>
      <c r="J508" s="106"/>
      <c r="K508" s="106"/>
      <c r="L508" s="106"/>
      <c r="M508" s="106"/>
      <c r="N508" s="106"/>
      <c r="O508" s="106"/>
      <c r="P508" s="106"/>
      <c r="Q508" s="106"/>
      <c r="R508" s="106"/>
      <c r="S508" s="106"/>
    </row>
    <row r="509" spans="1:50" x14ac:dyDescent="0.2">
      <c r="A509" s="1"/>
      <c r="B509" s="1"/>
      <c r="C509" s="1"/>
      <c r="D509" s="1"/>
      <c r="E509" s="1"/>
      <c r="F509" s="1"/>
      <c r="G509" s="1"/>
      <c r="H509" s="1"/>
      <c r="J509" s="106"/>
      <c r="K509" s="106"/>
      <c r="L509" s="106"/>
      <c r="M509" s="106"/>
      <c r="N509" s="106"/>
      <c r="O509" s="106"/>
      <c r="P509" s="106"/>
      <c r="Q509" s="106"/>
      <c r="R509" s="106"/>
      <c r="S509" s="106"/>
    </row>
    <row r="510" spans="1:50" x14ac:dyDescent="0.2">
      <c r="A510" s="1"/>
      <c r="B510" s="1"/>
      <c r="C510" s="1"/>
      <c r="D510" s="1"/>
      <c r="E510" s="1"/>
      <c r="F510" s="1"/>
      <c r="G510" s="1"/>
      <c r="H510" s="1"/>
      <c r="J510" s="106"/>
      <c r="K510" s="106"/>
      <c r="L510" s="106"/>
      <c r="M510" s="106"/>
      <c r="N510" s="106"/>
      <c r="O510" s="106"/>
      <c r="P510" s="106"/>
      <c r="Q510" s="106"/>
      <c r="R510" s="106"/>
      <c r="S510" s="106"/>
    </row>
    <row r="511" spans="1:50" x14ac:dyDescent="0.2">
      <c r="A511" s="1"/>
      <c r="B511" s="1"/>
      <c r="C511" s="1"/>
      <c r="D511" s="1"/>
      <c r="E511" s="1"/>
      <c r="F511" s="1"/>
      <c r="G511" s="1"/>
      <c r="H511" s="1"/>
      <c r="J511" s="106"/>
      <c r="K511" s="106"/>
      <c r="L511" s="106"/>
      <c r="M511" s="106"/>
      <c r="N511" s="106"/>
      <c r="O511" s="106"/>
      <c r="P511" s="106"/>
      <c r="Q511" s="106"/>
      <c r="R511" s="106"/>
      <c r="S511" s="106"/>
    </row>
    <row r="512" spans="1:50" x14ac:dyDescent="0.2">
      <c r="A512" s="1"/>
      <c r="B512" s="1"/>
      <c r="C512" s="1"/>
      <c r="D512" s="1"/>
      <c r="E512" s="1"/>
      <c r="F512" s="1"/>
      <c r="G512" s="1"/>
      <c r="H512" s="1"/>
      <c r="J512" s="106"/>
      <c r="K512" s="106"/>
      <c r="L512" s="106"/>
      <c r="M512" s="106"/>
      <c r="N512" s="106"/>
      <c r="O512" s="106"/>
      <c r="P512" s="106"/>
      <c r="Q512" s="106"/>
      <c r="R512" s="106"/>
      <c r="S512" s="106"/>
    </row>
    <row r="513" spans="1:19" x14ac:dyDescent="0.2">
      <c r="A513" s="1"/>
      <c r="B513" s="1"/>
      <c r="C513" s="1"/>
      <c r="D513" s="1"/>
      <c r="E513" s="1"/>
      <c r="F513" s="1"/>
      <c r="G513" s="1"/>
      <c r="H513" s="1"/>
      <c r="J513" s="106"/>
      <c r="K513" s="106"/>
      <c r="L513" s="106"/>
      <c r="M513" s="106"/>
      <c r="N513" s="106"/>
      <c r="O513" s="106"/>
      <c r="P513" s="106"/>
      <c r="Q513" s="106"/>
      <c r="R513" s="106"/>
      <c r="S513" s="106"/>
    </row>
    <row r="514" spans="1:19" x14ac:dyDescent="0.2">
      <c r="A514" s="1"/>
      <c r="B514" s="1"/>
      <c r="C514" s="1"/>
      <c r="D514" s="1"/>
      <c r="E514" s="1"/>
      <c r="F514" s="1"/>
      <c r="G514" s="1"/>
      <c r="H514" s="1"/>
      <c r="J514" s="106"/>
      <c r="K514" s="106"/>
      <c r="L514" s="106"/>
      <c r="M514" s="106"/>
      <c r="N514" s="106"/>
      <c r="O514" s="106"/>
      <c r="P514" s="106"/>
      <c r="Q514" s="106"/>
      <c r="R514" s="106"/>
      <c r="S514" s="106"/>
    </row>
    <row r="515" spans="1:19" x14ac:dyDescent="0.2">
      <c r="A515" s="1"/>
      <c r="B515" s="1"/>
      <c r="C515" s="1"/>
      <c r="D515" s="1"/>
      <c r="E515" s="1"/>
      <c r="F515" s="1"/>
      <c r="G515" s="1"/>
      <c r="H515" s="1"/>
      <c r="J515" s="106"/>
      <c r="K515" s="106"/>
      <c r="L515" s="106"/>
      <c r="M515" s="106"/>
      <c r="N515" s="106"/>
      <c r="O515" s="106"/>
      <c r="P515" s="106"/>
      <c r="Q515" s="106"/>
      <c r="R515" s="106"/>
      <c r="S515" s="106"/>
    </row>
    <row r="516" spans="1:19" x14ac:dyDescent="0.2">
      <c r="A516" s="1"/>
      <c r="B516" s="1"/>
      <c r="C516" s="1"/>
      <c r="D516" s="1"/>
      <c r="E516" s="1"/>
      <c r="F516" s="1"/>
      <c r="G516" s="1"/>
      <c r="H516" s="1"/>
      <c r="J516" s="106"/>
      <c r="K516" s="106"/>
      <c r="L516" s="106"/>
      <c r="M516" s="106"/>
      <c r="N516" s="106"/>
      <c r="O516" s="106"/>
      <c r="P516" s="106"/>
      <c r="Q516" s="106"/>
      <c r="R516" s="106"/>
      <c r="S516" s="106"/>
    </row>
    <row r="517" spans="1:19" x14ac:dyDescent="0.2">
      <c r="A517" s="1"/>
      <c r="B517" s="1"/>
      <c r="C517" s="1"/>
      <c r="D517" s="1"/>
      <c r="E517" s="1"/>
      <c r="F517" s="1"/>
      <c r="G517" s="1"/>
      <c r="H517" s="1"/>
      <c r="J517" s="106"/>
      <c r="K517" s="106"/>
      <c r="L517" s="106"/>
      <c r="M517" s="106"/>
      <c r="N517" s="106"/>
      <c r="O517" s="106"/>
      <c r="P517" s="106"/>
      <c r="Q517" s="106"/>
      <c r="R517" s="106"/>
      <c r="S517" s="106"/>
    </row>
    <row r="518" spans="1:19" x14ac:dyDescent="0.2">
      <c r="A518" s="1"/>
      <c r="B518" s="1"/>
      <c r="C518" s="1"/>
      <c r="D518" s="1"/>
      <c r="E518" s="1"/>
      <c r="F518" s="1"/>
      <c r="G518" s="1"/>
      <c r="H518" s="1"/>
      <c r="J518" s="106"/>
      <c r="K518" s="106"/>
      <c r="L518" s="106"/>
      <c r="M518" s="106"/>
      <c r="N518" s="106"/>
      <c r="O518" s="106"/>
      <c r="P518" s="106"/>
      <c r="Q518" s="106"/>
      <c r="R518" s="106"/>
      <c r="S518" s="106"/>
    </row>
    <row r="519" spans="1:19" x14ac:dyDescent="0.2">
      <c r="A519" s="1"/>
      <c r="B519" s="1"/>
      <c r="C519" s="1"/>
      <c r="D519" s="1"/>
      <c r="E519" s="1"/>
      <c r="F519" s="1"/>
      <c r="G519" s="1"/>
      <c r="H519" s="1"/>
      <c r="J519" s="106"/>
      <c r="K519" s="106"/>
      <c r="L519" s="106"/>
      <c r="M519" s="106"/>
      <c r="N519" s="106"/>
      <c r="O519" s="106"/>
      <c r="P519" s="106"/>
      <c r="Q519" s="106"/>
      <c r="R519" s="106"/>
      <c r="S519" s="106"/>
    </row>
    <row r="520" spans="1:19" x14ac:dyDescent="0.2">
      <c r="A520" s="1"/>
      <c r="B520" s="1"/>
      <c r="C520" s="1"/>
      <c r="D520" s="1"/>
      <c r="E520" s="1"/>
      <c r="F520" s="1"/>
      <c r="G520" s="1"/>
      <c r="H520" s="1"/>
      <c r="J520" s="106"/>
      <c r="K520" s="106"/>
      <c r="L520" s="106"/>
      <c r="M520" s="106"/>
      <c r="N520" s="106"/>
      <c r="O520" s="106"/>
      <c r="P520" s="106"/>
      <c r="Q520" s="106"/>
      <c r="R520" s="106"/>
      <c r="S520" s="106"/>
    </row>
    <row r="521" spans="1:19" x14ac:dyDescent="0.2">
      <c r="A521" s="1"/>
      <c r="B521" s="1"/>
      <c r="C521" s="1"/>
      <c r="D521" s="1"/>
      <c r="E521" s="1"/>
      <c r="F521" s="1"/>
      <c r="G521" s="1"/>
      <c r="H521" s="1"/>
      <c r="J521" s="106"/>
      <c r="K521" s="106"/>
      <c r="L521" s="106"/>
      <c r="M521" s="106"/>
      <c r="N521" s="106"/>
      <c r="O521" s="106"/>
      <c r="P521" s="106"/>
      <c r="Q521" s="106"/>
      <c r="R521" s="106"/>
      <c r="S521" s="106"/>
    </row>
    <row r="522" spans="1:19" x14ac:dyDescent="0.2">
      <c r="A522" s="1"/>
      <c r="B522" s="1"/>
      <c r="C522" s="1"/>
      <c r="D522" s="1"/>
      <c r="E522" s="1"/>
      <c r="F522" s="1"/>
      <c r="G522" s="1"/>
      <c r="H522" s="1"/>
      <c r="J522" s="106"/>
      <c r="K522" s="106"/>
      <c r="L522" s="106"/>
      <c r="M522" s="106"/>
      <c r="N522" s="106"/>
      <c r="O522" s="106"/>
      <c r="P522" s="106"/>
      <c r="Q522" s="106"/>
      <c r="R522" s="106"/>
      <c r="S522" s="106"/>
    </row>
    <row r="523" spans="1:19" x14ac:dyDescent="0.2">
      <c r="A523" s="1"/>
      <c r="B523" s="1"/>
      <c r="C523" s="1"/>
      <c r="D523" s="1"/>
      <c r="E523" s="1"/>
      <c r="F523" s="1"/>
      <c r="G523" s="1"/>
      <c r="H523" s="1"/>
      <c r="J523" s="106"/>
      <c r="K523" s="106"/>
      <c r="L523" s="106"/>
      <c r="M523" s="106"/>
      <c r="N523" s="106"/>
      <c r="O523" s="106"/>
      <c r="P523" s="106"/>
      <c r="Q523" s="106"/>
      <c r="R523" s="106"/>
      <c r="S523" s="106"/>
    </row>
    <row r="524" spans="1:19" x14ac:dyDescent="0.2">
      <c r="A524" s="1"/>
      <c r="B524" s="1"/>
      <c r="C524" s="1"/>
      <c r="D524" s="1"/>
      <c r="E524" s="1"/>
      <c r="F524" s="1"/>
      <c r="G524" s="1"/>
      <c r="H524" s="1"/>
      <c r="J524" s="106"/>
      <c r="K524" s="106"/>
      <c r="L524" s="106"/>
      <c r="M524" s="106"/>
      <c r="N524" s="106"/>
      <c r="O524" s="106"/>
      <c r="P524" s="106"/>
      <c r="Q524" s="106"/>
      <c r="R524" s="106"/>
      <c r="S524" s="106"/>
    </row>
    <row r="525" spans="1:19" x14ac:dyDescent="0.2">
      <c r="A525" s="1"/>
      <c r="B525" s="1"/>
      <c r="C525" s="1"/>
      <c r="D525" s="1"/>
      <c r="E525" s="1"/>
      <c r="F525" s="1"/>
      <c r="G525" s="1"/>
      <c r="H525" s="1"/>
      <c r="J525" s="106"/>
      <c r="K525" s="106"/>
      <c r="L525" s="106"/>
      <c r="M525" s="106"/>
      <c r="N525" s="106"/>
      <c r="O525" s="106"/>
      <c r="P525" s="106"/>
      <c r="Q525" s="106"/>
      <c r="R525" s="106"/>
      <c r="S525" s="106"/>
    </row>
    <row r="526" spans="1:19" x14ac:dyDescent="0.2">
      <c r="A526" s="1"/>
      <c r="B526" s="1"/>
      <c r="C526" s="1"/>
      <c r="D526" s="1"/>
      <c r="E526" s="1"/>
      <c r="F526" s="1"/>
      <c r="G526" s="1"/>
      <c r="H526" s="1"/>
      <c r="J526" s="106"/>
      <c r="K526" s="106"/>
      <c r="L526" s="106"/>
      <c r="M526" s="106"/>
      <c r="N526" s="106"/>
      <c r="O526" s="106"/>
      <c r="P526" s="106"/>
      <c r="Q526" s="106"/>
      <c r="R526" s="106"/>
      <c r="S526" s="106"/>
    </row>
    <row r="527" spans="1:19" x14ac:dyDescent="0.2">
      <c r="A527" s="1"/>
      <c r="B527" s="1"/>
      <c r="C527" s="1"/>
      <c r="D527" s="1"/>
      <c r="E527" s="1"/>
      <c r="F527" s="1"/>
      <c r="G527" s="1"/>
      <c r="H527" s="1"/>
      <c r="J527" s="106"/>
      <c r="K527" s="106"/>
      <c r="L527" s="106"/>
      <c r="M527" s="106"/>
      <c r="N527" s="106"/>
      <c r="O527" s="106"/>
      <c r="P527" s="106"/>
      <c r="Q527" s="106"/>
      <c r="R527" s="106"/>
      <c r="S527" s="106"/>
    </row>
    <row r="528" spans="1:19" x14ac:dyDescent="0.2">
      <c r="A528" s="1"/>
      <c r="B528" s="1"/>
      <c r="C528" s="1"/>
      <c r="D528" s="1"/>
      <c r="E528" s="1"/>
      <c r="F528" s="1"/>
      <c r="G528" s="1"/>
      <c r="H528" s="1"/>
      <c r="J528" s="106"/>
      <c r="K528" s="106"/>
      <c r="L528" s="106"/>
      <c r="M528" s="106"/>
      <c r="N528" s="106"/>
      <c r="O528" s="106"/>
      <c r="P528" s="106"/>
      <c r="Q528" s="106"/>
      <c r="R528" s="106"/>
      <c r="S528" s="106"/>
    </row>
    <row r="529" spans="1:19" x14ac:dyDescent="0.2">
      <c r="A529" s="1"/>
      <c r="B529" s="1"/>
      <c r="C529" s="1"/>
      <c r="D529" s="1"/>
      <c r="E529" s="1"/>
      <c r="F529" s="1"/>
      <c r="G529" s="1"/>
      <c r="H529" s="1"/>
      <c r="J529" s="106"/>
      <c r="K529" s="106"/>
      <c r="L529" s="106"/>
      <c r="M529" s="106"/>
      <c r="N529" s="106"/>
      <c r="O529" s="106"/>
      <c r="P529" s="106"/>
      <c r="Q529" s="106"/>
      <c r="R529" s="106"/>
      <c r="S529" s="106"/>
    </row>
    <row r="530" spans="1:19" x14ac:dyDescent="0.2">
      <c r="A530" s="1"/>
      <c r="B530" s="1"/>
      <c r="C530" s="1"/>
      <c r="D530" s="1"/>
      <c r="E530" s="1"/>
      <c r="F530" s="1"/>
      <c r="G530" s="1"/>
      <c r="H530" s="1"/>
      <c r="J530" s="106"/>
      <c r="K530" s="106"/>
      <c r="L530" s="106"/>
      <c r="M530" s="106"/>
      <c r="N530" s="106"/>
      <c r="O530" s="106"/>
      <c r="P530" s="106"/>
      <c r="Q530" s="106"/>
      <c r="R530" s="106"/>
      <c r="S530" s="106"/>
    </row>
    <row r="531" spans="1:19" x14ac:dyDescent="0.2">
      <c r="A531" s="1"/>
      <c r="B531" s="1"/>
      <c r="C531" s="1"/>
      <c r="D531" s="1"/>
      <c r="E531" s="1"/>
      <c r="F531" s="1"/>
      <c r="G531" s="1"/>
      <c r="H531" s="1"/>
      <c r="J531" s="106"/>
      <c r="K531" s="106"/>
      <c r="L531" s="106"/>
      <c r="M531" s="106"/>
      <c r="N531" s="106"/>
      <c r="O531" s="106"/>
      <c r="P531" s="106"/>
      <c r="Q531" s="106"/>
      <c r="R531" s="106"/>
      <c r="S531" s="106"/>
    </row>
    <row r="532" spans="1:19" x14ac:dyDescent="0.2">
      <c r="A532" s="1"/>
      <c r="B532" s="1"/>
      <c r="C532" s="1"/>
      <c r="D532" s="1"/>
      <c r="E532" s="1"/>
      <c r="F532" s="1"/>
      <c r="G532" s="1"/>
      <c r="H532" s="1"/>
      <c r="J532" s="106"/>
      <c r="K532" s="106"/>
      <c r="L532" s="106"/>
      <c r="M532" s="106"/>
      <c r="N532" s="106"/>
      <c r="O532" s="106"/>
      <c r="P532" s="106"/>
      <c r="Q532" s="106"/>
      <c r="R532" s="106"/>
      <c r="S532" s="106"/>
    </row>
    <row r="533" spans="1:19" x14ac:dyDescent="0.2">
      <c r="A533" s="1"/>
      <c r="B533" s="1"/>
      <c r="C533" s="1"/>
      <c r="D533" s="1"/>
      <c r="E533" s="1"/>
      <c r="F533" s="1"/>
      <c r="G533" s="1"/>
      <c r="H533" s="1"/>
      <c r="J533" s="106"/>
      <c r="K533" s="106"/>
      <c r="L533" s="106"/>
      <c r="M533" s="106"/>
      <c r="N533" s="106"/>
      <c r="O533" s="106"/>
      <c r="P533" s="106"/>
      <c r="Q533" s="106"/>
      <c r="R533" s="106"/>
      <c r="S533" s="106"/>
    </row>
    <row r="534" spans="1:19" x14ac:dyDescent="0.2">
      <c r="A534" s="1"/>
      <c r="B534" s="1"/>
      <c r="C534" s="1"/>
      <c r="D534" s="1"/>
      <c r="E534" s="1"/>
      <c r="F534" s="1"/>
      <c r="G534" s="1"/>
      <c r="H534" s="1"/>
      <c r="J534" s="106"/>
      <c r="K534" s="106"/>
      <c r="L534" s="106"/>
      <c r="M534" s="106"/>
      <c r="N534" s="106"/>
      <c r="O534" s="106"/>
      <c r="P534" s="106"/>
      <c r="Q534" s="106"/>
      <c r="R534" s="106"/>
      <c r="S534" s="106"/>
    </row>
    <row r="535" spans="1:19" x14ac:dyDescent="0.2">
      <c r="A535" s="1"/>
      <c r="B535" s="1"/>
      <c r="C535" s="1"/>
      <c r="D535" s="1"/>
      <c r="E535" s="1"/>
      <c r="F535" s="1"/>
      <c r="G535" s="1"/>
      <c r="H535" s="1"/>
      <c r="J535" s="106"/>
      <c r="K535" s="106"/>
      <c r="L535" s="106"/>
      <c r="M535" s="106"/>
      <c r="N535" s="106"/>
      <c r="O535" s="106"/>
      <c r="P535" s="106"/>
      <c r="Q535" s="106"/>
      <c r="R535" s="106"/>
      <c r="S535" s="106"/>
    </row>
    <row r="536" spans="1:19" x14ac:dyDescent="0.2">
      <c r="A536" s="1"/>
      <c r="B536" s="1"/>
      <c r="C536" s="1"/>
      <c r="D536" s="1"/>
      <c r="E536" s="1"/>
      <c r="F536" s="1"/>
      <c r="G536" s="1"/>
      <c r="H536" s="1"/>
      <c r="J536" s="106"/>
      <c r="K536" s="106"/>
      <c r="L536" s="106"/>
      <c r="M536" s="106"/>
      <c r="N536" s="106"/>
      <c r="O536" s="106"/>
      <c r="P536" s="106"/>
      <c r="Q536" s="106"/>
      <c r="R536" s="106"/>
      <c r="S536" s="106"/>
    </row>
    <row r="537" spans="1:19" x14ac:dyDescent="0.2">
      <c r="A537" s="1"/>
      <c r="B537" s="1"/>
      <c r="C537" s="1"/>
      <c r="D537" s="1"/>
      <c r="E537" s="1"/>
      <c r="F537" s="1"/>
      <c r="G537" s="1"/>
      <c r="H537" s="1"/>
      <c r="J537" s="106"/>
      <c r="K537" s="106"/>
      <c r="L537" s="106"/>
      <c r="M537" s="106"/>
      <c r="N537" s="106"/>
      <c r="O537" s="106"/>
      <c r="P537" s="106"/>
      <c r="Q537" s="106"/>
      <c r="R537" s="106"/>
      <c r="S537" s="106"/>
    </row>
    <row r="538" spans="1:19" x14ac:dyDescent="0.2">
      <c r="A538" s="1"/>
      <c r="B538" s="1"/>
      <c r="C538" s="1"/>
      <c r="D538" s="1"/>
      <c r="E538" s="1"/>
      <c r="F538" s="1"/>
      <c r="G538" s="1"/>
      <c r="H538" s="1"/>
      <c r="J538" s="106"/>
      <c r="K538" s="106"/>
      <c r="L538" s="106"/>
      <c r="M538" s="106"/>
      <c r="N538" s="106"/>
      <c r="O538" s="106"/>
      <c r="P538" s="106"/>
      <c r="Q538" s="106"/>
      <c r="R538" s="106"/>
      <c r="S538" s="106"/>
    </row>
    <row r="539" spans="1:19" x14ac:dyDescent="0.2">
      <c r="A539" s="1"/>
      <c r="B539" s="1"/>
      <c r="C539" s="1"/>
      <c r="D539" s="1"/>
      <c r="E539" s="1"/>
      <c r="F539" s="1"/>
      <c r="G539" s="1"/>
      <c r="H539" s="1"/>
      <c r="J539" s="106"/>
      <c r="K539" s="106"/>
      <c r="L539" s="106"/>
      <c r="M539" s="106"/>
      <c r="N539" s="106"/>
      <c r="O539" s="106"/>
      <c r="P539" s="106"/>
      <c r="Q539" s="106"/>
      <c r="R539" s="106"/>
      <c r="S539" s="106"/>
    </row>
    <row r="540" spans="1:19" x14ac:dyDescent="0.2">
      <c r="A540" s="1"/>
      <c r="B540" s="1"/>
      <c r="C540" s="1"/>
      <c r="D540" s="1"/>
      <c r="E540" s="1"/>
      <c r="F540" s="1"/>
      <c r="G540" s="1"/>
      <c r="H540" s="1"/>
      <c r="J540" s="106"/>
      <c r="K540" s="106"/>
      <c r="L540" s="106"/>
      <c r="M540" s="106"/>
      <c r="N540" s="106"/>
      <c r="O540" s="106"/>
      <c r="P540" s="106"/>
      <c r="Q540" s="106"/>
      <c r="R540" s="106"/>
      <c r="S540" s="106"/>
    </row>
    <row r="541" spans="1:19" x14ac:dyDescent="0.2">
      <c r="A541" s="1"/>
      <c r="B541" s="1"/>
      <c r="C541" s="1"/>
      <c r="D541" s="1"/>
      <c r="E541" s="1"/>
      <c r="F541" s="1"/>
      <c r="G541" s="1"/>
      <c r="H541" s="1"/>
      <c r="J541" s="106"/>
      <c r="K541" s="106"/>
      <c r="L541" s="106"/>
      <c r="M541" s="106"/>
      <c r="N541" s="106"/>
      <c r="O541" s="106"/>
      <c r="P541" s="106"/>
      <c r="Q541" s="106"/>
      <c r="R541" s="106"/>
      <c r="S541" s="106"/>
    </row>
    <row r="542" spans="1:19" x14ac:dyDescent="0.2">
      <c r="A542" s="1"/>
      <c r="B542" s="1"/>
      <c r="C542" s="1"/>
      <c r="D542" s="1"/>
      <c r="E542" s="1"/>
      <c r="F542" s="1"/>
      <c r="G542" s="1"/>
      <c r="H542" s="1"/>
      <c r="J542" s="106"/>
      <c r="K542" s="106"/>
      <c r="L542" s="106"/>
      <c r="M542" s="106"/>
      <c r="N542" s="106"/>
      <c r="O542" s="106"/>
      <c r="P542" s="106"/>
      <c r="Q542" s="106"/>
      <c r="R542" s="106"/>
      <c r="S542" s="106"/>
    </row>
    <row r="543" spans="1:19" x14ac:dyDescent="0.2">
      <c r="A543" s="1"/>
      <c r="B543" s="1"/>
      <c r="C543" s="1"/>
      <c r="D543" s="1"/>
      <c r="E543" s="1"/>
      <c r="F543" s="1"/>
      <c r="G543" s="1"/>
      <c r="H543" s="1"/>
      <c r="J543" s="106"/>
      <c r="K543" s="106"/>
      <c r="L543" s="106"/>
      <c r="M543" s="106"/>
      <c r="N543" s="106"/>
      <c r="O543" s="106"/>
      <c r="P543" s="106"/>
      <c r="Q543" s="106"/>
      <c r="R543" s="106"/>
      <c r="S543" s="106"/>
    </row>
    <row r="544" spans="1:19" x14ac:dyDescent="0.2">
      <c r="A544" s="1"/>
      <c r="B544" s="1"/>
      <c r="C544" s="1"/>
      <c r="D544" s="1"/>
      <c r="E544" s="1"/>
      <c r="F544" s="1"/>
      <c r="G544" s="1"/>
      <c r="H544" s="1"/>
      <c r="J544" s="106"/>
      <c r="K544" s="106"/>
      <c r="L544" s="106"/>
      <c r="M544" s="106"/>
      <c r="N544" s="106"/>
      <c r="O544" s="106"/>
      <c r="P544" s="106"/>
      <c r="Q544" s="106"/>
      <c r="R544" s="106"/>
      <c r="S544" s="106"/>
    </row>
    <row r="545" spans="1:50" x14ac:dyDescent="0.2">
      <c r="A545" s="1"/>
      <c r="B545" s="1"/>
      <c r="C545" s="1"/>
      <c r="D545" s="1"/>
      <c r="E545" s="1"/>
      <c r="F545" s="1"/>
      <c r="G545" s="1"/>
      <c r="H545" s="1"/>
      <c r="J545" s="106"/>
      <c r="K545" s="106"/>
      <c r="L545" s="106"/>
      <c r="M545" s="106"/>
      <c r="N545" s="106"/>
      <c r="O545" s="106"/>
      <c r="P545" s="106"/>
      <c r="Q545" s="106"/>
      <c r="R545" s="106"/>
      <c r="S545" s="106"/>
    </row>
    <row r="546" spans="1:50" x14ac:dyDescent="0.2">
      <c r="A546" s="1"/>
      <c r="B546" s="1"/>
      <c r="C546" s="1"/>
      <c r="D546" s="1"/>
      <c r="E546" s="1"/>
      <c r="F546" s="1"/>
      <c r="G546" s="1"/>
      <c r="H546" s="1"/>
      <c r="J546" s="106"/>
      <c r="K546" s="106"/>
      <c r="L546" s="106"/>
      <c r="M546" s="106"/>
      <c r="N546" s="106"/>
      <c r="O546" s="106"/>
      <c r="P546" s="106"/>
      <c r="Q546" s="106"/>
      <c r="R546" s="106"/>
      <c r="S546" s="106"/>
    </row>
    <row r="547" spans="1:50" x14ac:dyDescent="0.2">
      <c r="A547" s="1"/>
      <c r="B547" s="1"/>
      <c r="C547" s="1"/>
      <c r="D547" s="1"/>
      <c r="E547" s="1"/>
      <c r="F547" s="1"/>
      <c r="G547" s="1"/>
      <c r="H547" s="1"/>
      <c r="J547" s="106"/>
      <c r="K547" s="106"/>
      <c r="L547" s="106"/>
      <c r="M547" s="106"/>
      <c r="N547" s="106"/>
      <c r="O547" s="106"/>
      <c r="P547" s="106"/>
      <c r="Q547" s="106"/>
      <c r="R547" s="106"/>
      <c r="S547" s="106"/>
    </row>
    <row r="548" spans="1:50" x14ac:dyDescent="0.2">
      <c r="A548" s="1"/>
      <c r="B548" s="1"/>
      <c r="C548" s="1"/>
      <c r="D548" s="1"/>
      <c r="E548" s="1"/>
      <c r="F548" s="1"/>
      <c r="G548" s="1"/>
      <c r="H548" s="1"/>
      <c r="J548" s="106"/>
      <c r="K548" s="106"/>
      <c r="L548" s="106"/>
      <c r="M548" s="106"/>
      <c r="N548" s="106"/>
      <c r="O548" s="106"/>
      <c r="P548" s="106"/>
      <c r="Q548" s="106"/>
      <c r="R548" s="106"/>
      <c r="S548" s="106"/>
    </row>
    <row r="549" spans="1:50" x14ac:dyDescent="0.2">
      <c r="A549" s="1"/>
      <c r="B549" s="1"/>
      <c r="C549" s="1"/>
      <c r="D549" s="1"/>
      <c r="E549" s="1"/>
      <c r="F549" s="1"/>
      <c r="G549" s="1"/>
      <c r="H549" s="1"/>
      <c r="J549" s="106"/>
      <c r="K549" s="106"/>
      <c r="L549" s="106"/>
      <c r="M549" s="106"/>
      <c r="N549" s="106"/>
      <c r="O549" s="106"/>
      <c r="P549" s="106"/>
      <c r="Q549" s="106"/>
      <c r="R549" s="106"/>
      <c r="S549" s="106"/>
    </row>
    <row r="550" spans="1:50" x14ac:dyDescent="0.2">
      <c r="A550" s="1"/>
      <c r="B550" s="1"/>
      <c r="C550" s="1"/>
      <c r="D550" s="1"/>
      <c r="E550" s="1"/>
      <c r="F550" s="1"/>
      <c r="G550" s="1"/>
      <c r="H550" s="1"/>
      <c r="J550" s="106"/>
      <c r="K550" s="106"/>
      <c r="L550" s="106"/>
      <c r="M550" s="106"/>
      <c r="N550" s="106"/>
      <c r="O550" s="106"/>
      <c r="P550" s="106"/>
      <c r="Q550" s="106"/>
      <c r="R550" s="106"/>
      <c r="S550" s="106"/>
    </row>
    <row r="551" spans="1:50" x14ac:dyDescent="0.2">
      <c r="A551" s="1"/>
      <c r="B551" s="1"/>
      <c r="C551" s="1"/>
      <c r="D551" s="1"/>
      <c r="E551" s="1"/>
      <c r="F551" s="1"/>
      <c r="G551" s="1"/>
      <c r="H551" s="1"/>
      <c r="J551" s="106"/>
      <c r="K551" s="106"/>
      <c r="L551" s="106"/>
      <c r="M551" s="106"/>
      <c r="N551" s="106"/>
      <c r="O551" s="106"/>
      <c r="P551" s="106"/>
      <c r="Q551" s="106"/>
      <c r="R551" s="106"/>
      <c r="S551" s="106"/>
    </row>
    <row r="552" spans="1:50" x14ac:dyDescent="0.2">
      <c r="A552" s="1"/>
      <c r="B552" s="1"/>
      <c r="C552" s="1"/>
      <c r="D552" s="1"/>
      <c r="E552" s="1"/>
      <c r="F552" s="1"/>
      <c r="G552" s="1"/>
      <c r="H552" s="1"/>
      <c r="J552" s="106"/>
      <c r="K552" s="106"/>
      <c r="L552" s="106"/>
      <c r="M552" s="106"/>
      <c r="N552" s="106"/>
      <c r="O552" s="106"/>
      <c r="P552" s="106"/>
      <c r="Q552" s="106"/>
      <c r="R552" s="106"/>
      <c r="S552" s="106"/>
    </row>
    <row r="553" spans="1:50" s="112" customForma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06"/>
      <c r="K553" s="106"/>
      <c r="L553" s="106"/>
      <c r="M553" s="106"/>
      <c r="N553" s="106"/>
      <c r="O553" s="106"/>
      <c r="P553" s="106"/>
      <c r="Q553" s="106"/>
      <c r="R553" s="106"/>
      <c r="S553" s="106"/>
      <c r="T553" s="106"/>
      <c r="U553" s="106"/>
      <c r="V553" s="106"/>
      <c r="W553" s="106"/>
      <c r="X553" s="106"/>
      <c r="Y553" s="106"/>
      <c r="Z553" s="106"/>
      <c r="AA553" s="106"/>
      <c r="AB553" s="106"/>
      <c r="AC553" s="106"/>
      <c r="AD553" s="106"/>
      <c r="AE553" s="106"/>
      <c r="AF553" s="106"/>
      <c r="AG553" s="106"/>
      <c r="AH553" s="106"/>
      <c r="AI553" s="106"/>
      <c r="AJ553" s="106"/>
      <c r="AK553" s="106"/>
      <c r="AL553" s="106"/>
      <c r="AM553" s="106"/>
      <c r="AN553" s="106"/>
      <c r="AO553" s="106"/>
      <c r="AP553" s="106"/>
      <c r="AQ553" s="106"/>
      <c r="AR553" s="106"/>
      <c r="AS553" s="106"/>
      <c r="AT553" s="106"/>
      <c r="AU553" s="1"/>
      <c r="AV553" s="1"/>
      <c r="AW553" s="1"/>
      <c r="AX553" s="1"/>
    </row>
    <row r="554" spans="1:50" s="112" customForma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06"/>
      <c r="K554" s="106"/>
      <c r="L554" s="106"/>
      <c r="M554" s="106"/>
      <c r="N554" s="106"/>
      <c r="O554" s="106"/>
      <c r="P554" s="106"/>
      <c r="Q554" s="106"/>
      <c r="R554" s="106"/>
      <c r="S554" s="106"/>
      <c r="T554" s="106"/>
      <c r="U554" s="106"/>
      <c r="V554" s="106"/>
      <c r="W554" s="106"/>
      <c r="X554" s="106"/>
      <c r="Y554" s="106"/>
      <c r="Z554" s="106"/>
      <c r="AA554" s="106"/>
      <c r="AB554" s="106"/>
      <c r="AC554" s="106"/>
      <c r="AD554" s="106"/>
      <c r="AE554" s="106"/>
      <c r="AF554" s="106"/>
      <c r="AG554" s="106"/>
      <c r="AH554" s="106"/>
      <c r="AI554" s="106"/>
      <c r="AJ554" s="106"/>
      <c r="AK554" s="106"/>
      <c r="AL554" s="106"/>
      <c r="AM554" s="106"/>
      <c r="AN554" s="106"/>
      <c r="AO554" s="106"/>
      <c r="AP554" s="106"/>
      <c r="AQ554" s="106"/>
      <c r="AR554" s="106"/>
      <c r="AS554" s="106"/>
      <c r="AT554" s="106"/>
      <c r="AU554" s="1"/>
      <c r="AV554" s="1"/>
      <c r="AW554" s="1"/>
      <c r="AX554" s="1"/>
    </row>
    <row r="555" spans="1:50" s="112" customForma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06"/>
      <c r="K555" s="106"/>
      <c r="L555" s="106"/>
      <c r="M555" s="106"/>
      <c r="N555" s="106"/>
      <c r="O555" s="106"/>
      <c r="P555" s="106"/>
      <c r="Q555" s="106"/>
      <c r="R555" s="106"/>
      <c r="S555" s="106"/>
      <c r="T555" s="113"/>
      <c r="U555" s="113"/>
      <c r="V555" s="113"/>
      <c r="W555" s="113"/>
      <c r="X555" s="113"/>
      <c r="Y555" s="113"/>
      <c r="Z555" s="113"/>
      <c r="AA555" s="113"/>
      <c r="AB555" s="113"/>
      <c r="AC555" s="113"/>
      <c r="AD555" s="113"/>
      <c r="AE555" s="113"/>
      <c r="AF555" s="113"/>
      <c r="AG555" s="113"/>
      <c r="AH555" s="113"/>
      <c r="AI555" s="113"/>
      <c r="AJ555" s="113"/>
      <c r="AK555" s="113"/>
      <c r="AL555" s="113"/>
      <c r="AM555" s="113"/>
      <c r="AN555" s="113"/>
      <c r="AO555" s="113"/>
      <c r="AP555" s="113"/>
      <c r="AQ555" s="113"/>
      <c r="AR555" s="113"/>
      <c r="AS555" s="113"/>
      <c r="AT555" s="113"/>
    </row>
    <row r="556" spans="1:50" x14ac:dyDescent="0.2">
      <c r="A556" s="1"/>
      <c r="B556" s="1"/>
      <c r="C556" s="1"/>
      <c r="D556" s="1"/>
      <c r="E556" s="1"/>
      <c r="F556" s="1"/>
      <c r="G556" s="1"/>
      <c r="H556" s="1"/>
      <c r="J556" s="106"/>
      <c r="K556" s="106"/>
      <c r="L556" s="106"/>
      <c r="M556" s="106"/>
      <c r="N556" s="106"/>
      <c r="O556" s="106"/>
      <c r="P556" s="106"/>
      <c r="Q556" s="106"/>
      <c r="R556" s="106"/>
      <c r="S556" s="106"/>
    </row>
    <row r="557" spans="1:50" x14ac:dyDescent="0.2">
      <c r="A557" s="1"/>
      <c r="B557" s="1"/>
      <c r="C557" s="1"/>
      <c r="D557" s="1"/>
      <c r="E557" s="1"/>
      <c r="F557" s="1"/>
      <c r="G557" s="1"/>
      <c r="H557" s="1"/>
      <c r="J557" s="106"/>
      <c r="K557" s="106"/>
      <c r="L557" s="106"/>
      <c r="M557" s="106"/>
      <c r="N557" s="106"/>
      <c r="O557" s="106"/>
      <c r="P557" s="106"/>
      <c r="Q557" s="106"/>
      <c r="R557" s="106"/>
      <c r="S557" s="106"/>
    </row>
    <row r="558" spans="1:50" s="112" customForma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06"/>
      <c r="K558" s="106"/>
      <c r="L558" s="106"/>
      <c r="M558" s="106"/>
      <c r="N558" s="106"/>
      <c r="O558" s="106"/>
      <c r="P558" s="106"/>
      <c r="Q558" s="106"/>
      <c r="R558" s="106"/>
      <c r="S558" s="106"/>
      <c r="T558" s="106"/>
      <c r="U558" s="106"/>
      <c r="V558" s="106"/>
      <c r="W558" s="106"/>
      <c r="X558" s="106"/>
      <c r="Y558" s="106"/>
      <c r="Z558" s="106"/>
      <c r="AA558" s="106"/>
      <c r="AB558" s="106"/>
      <c r="AC558" s="106"/>
      <c r="AD558" s="106"/>
      <c r="AE558" s="106"/>
      <c r="AF558" s="106"/>
      <c r="AG558" s="106"/>
      <c r="AH558" s="106"/>
      <c r="AI558" s="106"/>
      <c r="AJ558" s="106"/>
      <c r="AK558" s="106"/>
      <c r="AL558" s="106"/>
      <c r="AM558" s="106"/>
      <c r="AN558" s="106"/>
      <c r="AO558" s="106"/>
      <c r="AP558" s="106"/>
      <c r="AQ558" s="106"/>
      <c r="AR558" s="106"/>
      <c r="AS558" s="106"/>
      <c r="AT558" s="106"/>
      <c r="AU558" s="1"/>
      <c r="AV558" s="1"/>
      <c r="AW558" s="1"/>
      <c r="AX558" s="1"/>
    </row>
    <row r="559" spans="1:50" s="112" customForma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06"/>
      <c r="K559" s="106"/>
      <c r="L559" s="106"/>
      <c r="M559" s="106"/>
      <c r="N559" s="106"/>
      <c r="O559" s="106"/>
      <c r="P559" s="106"/>
      <c r="Q559" s="106"/>
      <c r="R559" s="106"/>
      <c r="S559" s="106"/>
      <c r="T559" s="106"/>
      <c r="U559" s="106"/>
      <c r="V559" s="106"/>
      <c r="W559" s="106"/>
      <c r="X559" s="106"/>
      <c r="Y559" s="106"/>
      <c r="Z559" s="106"/>
      <c r="AA559" s="106"/>
      <c r="AB559" s="106"/>
      <c r="AC559" s="106"/>
      <c r="AD559" s="106"/>
      <c r="AE559" s="106"/>
      <c r="AF559" s="106"/>
      <c r="AG559" s="106"/>
      <c r="AH559" s="106"/>
      <c r="AI559" s="106"/>
      <c r="AJ559" s="106"/>
      <c r="AK559" s="106"/>
      <c r="AL559" s="106"/>
      <c r="AM559" s="106"/>
      <c r="AN559" s="106"/>
      <c r="AO559" s="106"/>
      <c r="AP559" s="106"/>
      <c r="AQ559" s="106"/>
      <c r="AR559" s="106"/>
      <c r="AS559" s="106"/>
      <c r="AT559" s="106"/>
      <c r="AU559" s="1"/>
      <c r="AV559" s="1"/>
      <c r="AW559" s="1"/>
      <c r="AX559" s="1"/>
    </row>
    <row r="560" spans="1:50" x14ac:dyDescent="0.2">
      <c r="A560" s="1"/>
      <c r="B560" s="1"/>
      <c r="C560" s="1"/>
      <c r="D560" s="1"/>
      <c r="E560" s="1"/>
      <c r="F560" s="1"/>
      <c r="G560" s="1"/>
      <c r="H560" s="1"/>
      <c r="J560" s="106"/>
      <c r="K560" s="106"/>
      <c r="L560" s="106"/>
      <c r="M560" s="106"/>
      <c r="N560" s="106"/>
      <c r="O560" s="106"/>
      <c r="P560" s="106"/>
      <c r="Q560" s="106"/>
      <c r="R560" s="106"/>
      <c r="S560" s="106"/>
    </row>
    <row r="561" spans="1:8" x14ac:dyDescent="0.2">
      <c r="A561" s="1"/>
      <c r="B561" s="1"/>
      <c r="C561" s="1"/>
      <c r="D561" s="1"/>
      <c r="E561" s="1"/>
      <c r="F561" s="1"/>
      <c r="G561" s="1"/>
      <c r="H561" s="1"/>
    </row>
    <row r="562" spans="1:8" x14ac:dyDescent="0.2">
      <c r="A562" s="1"/>
      <c r="B562" s="1"/>
      <c r="C562" s="1"/>
      <c r="D562" s="1"/>
      <c r="E562" s="1"/>
      <c r="F562" s="1"/>
      <c r="G562" s="1"/>
      <c r="H562" s="1"/>
    </row>
    <row r="563" spans="1:8" x14ac:dyDescent="0.2">
      <c r="A563" s="1"/>
      <c r="B563" s="1"/>
      <c r="C563" s="1"/>
      <c r="D563" s="1"/>
      <c r="E563" s="1"/>
      <c r="F563" s="1"/>
      <c r="G563" s="1"/>
      <c r="H563" s="1"/>
    </row>
    <row r="564" spans="1:8" x14ac:dyDescent="0.2">
      <c r="A564" s="1"/>
      <c r="B564" s="1"/>
      <c r="C564" s="1"/>
      <c r="D564" s="1"/>
      <c r="E564" s="1"/>
      <c r="F564" s="1"/>
      <c r="G564" s="1"/>
      <c r="H564" s="1"/>
    </row>
    <row r="565" spans="1:8" x14ac:dyDescent="0.2">
      <c r="A565" s="1"/>
      <c r="B565" s="1"/>
      <c r="C565" s="1"/>
      <c r="D565" s="1"/>
      <c r="E565" s="1"/>
      <c r="F565" s="1"/>
      <c r="G565" s="1"/>
      <c r="H565" s="1"/>
    </row>
    <row r="566" spans="1:8" x14ac:dyDescent="0.2">
      <c r="A566" s="1"/>
      <c r="B566" s="1"/>
      <c r="C566" s="1"/>
      <c r="D566" s="1"/>
      <c r="E566" s="1"/>
      <c r="F566" s="1"/>
      <c r="G566" s="1"/>
      <c r="H566" s="1"/>
    </row>
    <row r="567" spans="1:8" x14ac:dyDescent="0.2">
      <c r="A567" s="1"/>
      <c r="B567" s="1"/>
      <c r="C567" s="1"/>
      <c r="D567" s="1"/>
      <c r="E567" s="1"/>
      <c r="F567" s="1"/>
      <c r="G567" s="1"/>
      <c r="H567" s="1"/>
    </row>
    <row r="568" spans="1:8" x14ac:dyDescent="0.2">
      <c r="A568" s="1"/>
      <c r="B568" s="1"/>
      <c r="C568" s="1"/>
      <c r="D568" s="1"/>
      <c r="E568" s="1"/>
      <c r="F568" s="1"/>
      <c r="G568" s="1"/>
      <c r="H568" s="1"/>
    </row>
    <row r="569" spans="1:8" x14ac:dyDescent="0.2">
      <c r="A569" s="1"/>
      <c r="B569" s="1"/>
      <c r="C569" s="1"/>
      <c r="D569" s="1"/>
      <c r="E569" s="1"/>
      <c r="F569" s="1"/>
      <c r="G569" s="1"/>
      <c r="H569" s="1"/>
    </row>
    <row r="570" spans="1:8" x14ac:dyDescent="0.2">
      <c r="A570" s="1"/>
      <c r="B570" s="1"/>
      <c r="C570" s="1"/>
      <c r="D570" s="1"/>
      <c r="E570" s="1"/>
      <c r="F570" s="1"/>
      <c r="G570" s="1"/>
      <c r="H570" s="1"/>
    </row>
    <row r="571" spans="1:8" x14ac:dyDescent="0.2">
      <c r="A571" s="1"/>
      <c r="B571" s="1"/>
      <c r="C571" s="1"/>
      <c r="D571" s="1"/>
      <c r="E571" s="1"/>
      <c r="F571" s="1"/>
      <c r="G571" s="1"/>
      <c r="H571" s="1"/>
    </row>
    <row r="572" spans="1:8" x14ac:dyDescent="0.2">
      <c r="A572" s="1"/>
      <c r="B572" s="1"/>
      <c r="C572" s="1"/>
      <c r="D572" s="1"/>
      <c r="E572" s="1"/>
      <c r="F572" s="1"/>
      <c r="G572" s="1"/>
      <c r="H572" s="1"/>
    </row>
    <row r="573" spans="1:8" x14ac:dyDescent="0.2">
      <c r="A573" s="1"/>
      <c r="B573" s="1"/>
      <c r="C573" s="1"/>
      <c r="D573" s="1"/>
      <c r="E573" s="1"/>
      <c r="F573" s="1"/>
      <c r="G573" s="1"/>
      <c r="H573" s="1"/>
    </row>
    <row r="574" spans="1:8" x14ac:dyDescent="0.2">
      <c r="A574" s="1"/>
      <c r="B574" s="1"/>
      <c r="C574" s="1"/>
      <c r="D574" s="1"/>
      <c r="E574" s="1"/>
      <c r="F574" s="1"/>
      <c r="G574" s="1"/>
      <c r="H574" s="1"/>
    </row>
    <row r="575" spans="1:8" x14ac:dyDescent="0.2">
      <c r="A575" s="1"/>
      <c r="B575" s="1"/>
      <c r="C575" s="1"/>
      <c r="D575" s="1"/>
      <c r="E575" s="1"/>
      <c r="F575" s="1"/>
      <c r="G575" s="1"/>
      <c r="H575" s="1"/>
    </row>
    <row r="576" spans="1:8" x14ac:dyDescent="0.2">
      <c r="A576" s="1"/>
      <c r="B576" s="1"/>
      <c r="C576" s="1"/>
      <c r="D576" s="1"/>
      <c r="E576" s="1"/>
      <c r="F576" s="1"/>
      <c r="G576" s="1"/>
      <c r="H576" s="1"/>
    </row>
    <row r="577" spans="1:8" x14ac:dyDescent="0.2">
      <c r="A577" s="1"/>
      <c r="B577" s="1"/>
      <c r="C577" s="1"/>
      <c r="D577" s="1"/>
      <c r="E577" s="1"/>
      <c r="F577" s="1"/>
      <c r="G577" s="1"/>
      <c r="H577" s="1"/>
    </row>
    <row r="578" spans="1:8" x14ac:dyDescent="0.2">
      <c r="A578" s="1"/>
      <c r="B578" s="1"/>
      <c r="C578" s="1"/>
      <c r="D578" s="1"/>
      <c r="E578" s="1"/>
      <c r="F578" s="1"/>
      <c r="G578" s="1"/>
      <c r="H578" s="1"/>
    </row>
    <row r="579" spans="1:8" x14ac:dyDescent="0.2">
      <c r="A579" s="1"/>
      <c r="B579" s="1"/>
      <c r="C579" s="1"/>
      <c r="D579" s="1"/>
      <c r="E579" s="1"/>
      <c r="F579" s="1"/>
      <c r="G579" s="1"/>
      <c r="H579" s="1"/>
    </row>
    <row r="580" spans="1:8" x14ac:dyDescent="0.2">
      <c r="A580" s="1"/>
      <c r="B580" s="1"/>
      <c r="C580" s="1"/>
      <c r="D580" s="1"/>
      <c r="E580" s="1"/>
      <c r="F580" s="1"/>
      <c r="G580" s="1"/>
      <c r="H580" s="1"/>
    </row>
    <row r="581" spans="1:8" x14ac:dyDescent="0.2">
      <c r="A581" s="1"/>
      <c r="B581" s="1"/>
      <c r="C581" s="1"/>
      <c r="D581" s="1"/>
      <c r="E581" s="1"/>
      <c r="F581" s="1"/>
      <c r="G581" s="1"/>
      <c r="H581" s="1"/>
    </row>
  </sheetData>
  <sortState xmlns:xlrd2="http://schemas.microsoft.com/office/spreadsheetml/2017/richdata2" ref="A321:AX384">
    <sortCondition ref="A321:A384"/>
    <sortCondition ref="B321:B384"/>
  </sortState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057C8-D5F0-0149-ADAA-E8014D864BF8}">
  <dimension ref="A1:AT13"/>
  <sheetViews>
    <sheetView tabSelected="1" zoomScale="140" zoomScaleNormal="140" workbookViewId="0">
      <selection activeCell="A2" sqref="A2"/>
    </sheetView>
  </sheetViews>
  <sheetFormatPr baseColWidth="10" defaultRowHeight="16" x14ac:dyDescent="0.2"/>
  <cols>
    <col min="1" max="1" width="24.83203125" style="1" customWidth="1"/>
    <col min="2" max="3" width="10.83203125" style="1"/>
    <col min="4" max="4" width="12.33203125" style="1" customWidth="1"/>
    <col min="5" max="16384" width="10.83203125" style="1"/>
  </cols>
  <sheetData>
    <row r="1" spans="1:46" s="219" customFormat="1" x14ac:dyDescent="0.2">
      <c r="A1" s="218" t="s">
        <v>1093</v>
      </c>
      <c r="B1" s="218"/>
      <c r="C1" s="218"/>
      <c r="D1" s="218"/>
      <c r="E1" s="218"/>
      <c r="F1" s="218"/>
      <c r="G1" s="218"/>
      <c r="H1" s="218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</row>
    <row r="2" spans="1:46" ht="51" x14ac:dyDescent="0.2">
      <c r="B2" s="203" t="s">
        <v>32</v>
      </c>
      <c r="C2" s="203" t="s">
        <v>1074</v>
      </c>
      <c r="D2" s="203" t="s">
        <v>1075</v>
      </c>
      <c r="E2" s="203" t="s">
        <v>1076</v>
      </c>
    </row>
    <row r="3" spans="1:46" x14ac:dyDescent="0.2">
      <c r="A3" s="112" t="s">
        <v>105</v>
      </c>
      <c r="B3" s="205">
        <f>'Ranking by Plant Form'!V17</f>
        <v>0.44782608695652176</v>
      </c>
      <c r="C3" s="205">
        <f>'Ranking by Plant Form'!V119</f>
        <v>0.27083333333333331</v>
      </c>
      <c r="D3" s="205">
        <f>'Ranking by Plant Form'!V177</f>
        <v>0.23559322033898306</v>
      </c>
      <c r="E3" s="205">
        <f>'Ranking by Plant Form'!V326</f>
        <v>0.19957983193277312</v>
      </c>
    </row>
    <row r="4" spans="1:46" ht="17" x14ac:dyDescent="0.2">
      <c r="A4" s="112" t="s">
        <v>1070</v>
      </c>
      <c r="B4" s="205">
        <f>'Ranking by Plant Form'!V55</f>
        <v>0.13725490196078433</v>
      </c>
      <c r="C4" s="204" t="s">
        <v>856</v>
      </c>
      <c r="D4" s="205">
        <f>'Ranking by Plant Form'!V276</f>
        <v>6.741573033707865E-2</v>
      </c>
      <c r="E4" s="204" t="s">
        <v>856</v>
      </c>
    </row>
    <row r="5" spans="1:46" x14ac:dyDescent="0.2">
      <c r="A5" s="112" t="s">
        <v>1071</v>
      </c>
      <c r="B5" s="205">
        <f>'Ranking by Plant Form'!V76</f>
        <v>0.21052631578947367</v>
      </c>
      <c r="C5" s="205">
        <f>'Ranking by Plant Form'!V139</f>
        <v>0</v>
      </c>
      <c r="D5" s="205">
        <f>'Ranking by Plant Form'!V292</f>
        <v>0.14285714285714285</v>
      </c>
      <c r="E5" s="205">
        <f>'Ranking by Plant Form'!V393</f>
        <v>6.6666666666666666E-2</v>
      </c>
    </row>
    <row r="6" spans="1:46" x14ac:dyDescent="0.2">
      <c r="A6" s="112" t="s">
        <v>1072</v>
      </c>
      <c r="B6" s="205">
        <f>'Ranking by Plant Form'!V85</f>
        <v>0.1640625</v>
      </c>
      <c r="C6" s="205">
        <f>'Ranking by Plant Form'!V148</f>
        <v>0.17142857142857143</v>
      </c>
      <c r="D6" s="205">
        <f>'Ranking by Plant Form'!V311</f>
        <v>0</v>
      </c>
      <c r="E6" s="205">
        <f>'Ranking by Plant Form'!V404</f>
        <v>2.8985507246376812E-2</v>
      </c>
    </row>
    <row r="7" spans="1:46" ht="17" x14ac:dyDescent="0.2">
      <c r="A7" s="112" t="s">
        <v>1073</v>
      </c>
      <c r="B7" s="205">
        <f>'Ranking by Plant Form'!V111</f>
        <v>0.25</v>
      </c>
      <c r="C7" s="205">
        <f>'Ranking by Plant Form'!V169</f>
        <v>0.12121212121212122</v>
      </c>
      <c r="D7" s="204" t="s">
        <v>856</v>
      </c>
      <c r="E7" s="205">
        <f>'Ranking by Plant Form'!V444</f>
        <v>0.14473684210526316</v>
      </c>
    </row>
    <row r="9" spans="1:46" ht="34" x14ac:dyDescent="0.2">
      <c r="B9" s="206" t="s">
        <v>105</v>
      </c>
      <c r="C9" s="206" t="s">
        <v>1070</v>
      </c>
      <c r="D9" s="206" t="s">
        <v>1071</v>
      </c>
      <c r="E9" s="206" t="s">
        <v>1077</v>
      </c>
      <c r="F9" s="206" t="s">
        <v>1073</v>
      </c>
    </row>
    <row r="10" spans="1:46" x14ac:dyDescent="0.2">
      <c r="A10" s="112" t="s">
        <v>1069</v>
      </c>
      <c r="B10" s="207">
        <f>B3</f>
        <v>0.44782608695652176</v>
      </c>
      <c r="C10" s="207">
        <f>B4</f>
        <v>0.13725490196078433</v>
      </c>
      <c r="D10" s="207">
        <f>B5</f>
        <v>0.21052631578947367</v>
      </c>
      <c r="E10" s="207">
        <f>B6</f>
        <v>0.1640625</v>
      </c>
      <c r="F10" s="207">
        <f>B7</f>
        <v>0.25</v>
      </c>
    </row>
    <row r="11" spans="1:46" x14ac:dyDescent="0.2">
      <c r="A11" s="112" t="s">
        <v>1074</v>
      </c>
      <c r="B11" s="207">
        <f>C3</f>
        <v>0.27083333333333331</v>
      </c>
      <c r="D11" s="207">
        <f>C5</f>
        <v>0</v>
      </c>
      <c r="E11" s="207">
        <f>C6</f>
        <v>0.17142857142857143</v>
      </c>
      <c r="F11" s="207">
        <f>C7</f>
        <v>0.12121212121212122</v>
      </c>
    </row>
    <row r="12" spans="1:46" x14ac:dyDescent="0.2">
      <c r="A12" s="112" t="s">
        <v>1075</v>
      </c>
      <c r="B12" s="207">
        <f>D3</f>
        <v>0.23559322033898306</v>
      </c>
      <c r="C12" s="207">
        <f>D4</f>
        <v>6.741573033707865E-2</v>
      </c>
      <c r="D12" s="207">
        <f>D5</f>
        <v>0.14285714285714285</v>
      </c>
      <c r="E12" s="207">
        <f>D6</f>
        <v>0</v>
      </c>
    </row>
    <row r="13" spans="1:46" x14ac:dyDescent="0.2">
      <c r="A13" s="112" t="s">
        <v>1076</v>
      </c>
      <c r="B13" s="207">
        <f>E3</f>
        <v>0.19957983193277312</v>
      </c>
      <c r="D13" s="207">
        <f>E5</f>
        <v>6.6666666666666666E-2</v>
      </c>
      <c r="E13" s="207">
        <f>E6</f>
        <v>2.8985507246376812E-2</v>
      </c>
      <c r="F13" s="207">
        <f>E7</f>
        <v>0.14473684210526316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2B67F-3F3C-CA40-B483-DD9F0C759CB3}">
  <dimension ref="A1:AX1729"/>
  <sheetViews>
    <sheetView zoomScale="160" zoomScaleNormal="160" workbookViewId="0">
      <pane xSplit="2" ySplit="7" topLeftCell="C1596" activePane="bottomRight" state="frozen"/>
      <selection pane="topRight" activeCell="C1" sqref="C1"/>
      <selection pane="bottomLeft" activeCell="A6" sqref="A6"/>
      <selection pane="bottomRight" activeCell="B1" sqref="B1"/>
    </sheetView>
  </sheetViews>
  <sheetFormatPr baseColWidth="10" defaultColWidth="11.1640625" defaultRowHeight="16" x14ac:dyDescent="0.2"/>
  <cols>
    <col min="1" max="1" width="13.83203125" style="2" customWidth="1"/>
    <col min="2" max="2" width="14.5" style="2" customWidth="1"/>
    <col min="3" max="3" width="17" style="2" customWidth="1"/>
    <col min="4" max="4" width="9.5" style="2" customWidth="1"/>
    <col min="5" max="5" width="12.83203125" style="2" customWidth="1"/>
    <col min="6" max="6" width="11.33203125" style="2" customWidth="1"/>
    <col min="7" max="7" width="8.5" style="2" customWidth="1"/>
    <col min="8" max="8" width="14.1640625" style="2" customWidth="1"/>
    <col min="9" max="9" width="23" style="243" customWidth="1"/>
    <col min="10" max="15" width="11.33203125" style="3" bestFit="1" customWidth="1"/>
    <col min="16" max="16" width="11.33203125" style="4" customWidth="1"/>
    <col min="17" max="28" width="11.33203125" style="3" bestFit="1" customWidth="1"/>
    <col min="29" max="30" width="11.1640625" style="5"/>
    <col min="31" max="31" width="15.1640625" style="5" customWidth="1"/>
    <col min="32" max="32" width="11.1640625" style="5"/>
    <col min="33" max="33" width="15" style="5" customWidth="1"/>
    <col min="34" max="36" width="11.1640625" style="5"/>
    <col min="37" max="37" width="12.1640625" style="5" customWidth="1"/>
    <col min="38" max="50" width="11.1640625" style="5"/>
    <col min="51" max="16384" width="11.1640625" style="2"/>
  </cols>
  <sheetData>
    <row r="1" spans="1:50" s="253" customFormat="1" x14ac:dyDescent="0.2">
      <c r="A1" s="253" t="s">
        <v>1078</v>
      </c>
      <c r="I1" s="254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  <c r="AW1" s="220"/>
      <c r="AX1" s="220"/>
    </row>
    <row r="2" spans="1:50" s="239" customFormat="1" x14ac:dyDescent="0.2">
      <c r="A2" s="239" t="s">
        <v>1079</v>
      </c>
      <c r="I2" s="256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</row>
    <row r="3" spans="1:50" s="239" customFormat="1" x14ac:dyDescent="0.2">
      <c r="A3" s="239" t="s">
        <v>1080</v>
      </c>
      <c r="I3" s="256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</row>
    <row r="5" spans="1:50" s="239" customFormat="1" x14ac:dyDescent="0.2">
      <c r="A5" s="237" t="s">
        <v>1042</v>
      </c>
      <c r="B5" s="238"/>
      <c r="C5" s="238"/>
      <c r="E5" s="238"/>
      <c r="F5" s="238"/>
      <c r="G5" s="238"/>
      <c r="H5" s="238"/>
      <c r="I5" s="240"/>
      <c r="J5" s="241"/>
      <c r="K5" s="241"/>
      <c r="L5" s="241"/>
      <c r="M5" s="241"/>
      <c r="N5" s="241"/>
      <c r="O5" s="241"/>
      <c r="P5" s="238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59"/>
      <c r="AD5" s="259"/>
      <c r="AE5" s="259"/>
      <c r="AF5" s="259"/>
      <c r="AG5" s="259"/>
      <c r="AH5" s="259"/>
      <c r="AI5" s="259"/>
      <c r="AJ5" s="259"/>
      <c r="AK5" s="259"/>
      <c r="AL5" s="259"/>
      <c r="AM5" s="259"/>
      <c r="AN5" s="259"/>
      <c r="AO5" s="259"/>
      <c r="AP5" s="259"/>
      <c r="AQ5" s="259"/>
      <c r="AR5" s="259"/>
      <c r="AS5" s="259"/>
      <c r="AT5" s="258"/>
      <c r="AU5" s="258"/>
      <c r="AV5" s="258"/>
      <c r="AW5" s="258"/>
      <c r="AX5" s="258"/>
    </row>
    <row r="6" spans="1:50" ht="49" customHeight="1" x14ac:dyDescent="0.2">
      <c r="A6" s="6" t="s">
        <v>1</v>
      </c>
      <c r="B6" s="6" t="s">
        <v>2</v>
      </c>
      <c r="C6" s="7" t="s">
        <v>3</v>
      </c>
      <c r="D6" s="7" t="s">
        <v>4</v>
      </c>
      <c r="E6" s="7" t="s">
        <v>5</v>
      </c>
      <c r="F6" s="7" t="s">
        <v>779</v>
      </c>
      <c r="G6" s="7" t="s">
        <v>6</v>
      </c>
      <c r="H6" s="7" t="s">
        <v>7</v>
      </c>
      <c r="I6" s="7" t="s">
        <v>8</v>
      </c>
      <c r="J6" s="8" t="s">
        <v>9</v>
      </c>
      <c r="K6" s="8" t="s">
        <v>10</v>
      </c>
      <c r="L6" s="8" t="s">
        <v>11</v>
      </c>
      <c r="M6" s="8" t="s">
        <v>12</v>
      </c>
      <c r="N6" s="9" t="s">
        <v>13</v>
      </c>
      <c r="O6" s="8" t="s">
        <v>14</v>
      </c>
      <c r="P6" s="10" t="s">
        <v>786</v>
      </c>
      <c r="Q6" s="8" t="s">
        <v>15</v>
      </c>
      <c r="R6" s="8" t="s">
        <v>16</v>
      </c>
      <c r="S6" s="8" t="s">
        <v>17</v>
      </c>
      <c r="T6" s="8"/>
      <c r="U6" s="8"/>
      <c r="V6" s="8"/>
      <c r="W6" s="8"/>
      <c r="X6" s="8"/>
      <c r="Y6" s="8"/>
      <c r="Z6" s="8"/>
      <c r="AA6" s="8"/>
      <c r="AB6" s="8"/>
      <c r="AC6" s="11"/>
      <c r="AD6" s="11"/>
      <c r="AE6" s="12"/>
      <c r="AF6" s="11"/>
      <c r="AG6" s="12"/>
      <c r="AH6" s="11"/>
      <c r="AI6" s="12"/>
      <c r="AJ6" s="11"/>
      <c r="AK6" s="12"/>
      <c r="AL6" s="11"/>
      <c r="AM6" s="12"/>
      <c r="AN6" s="11"/>
      <c r="AO6" s="11"/>
      <c r="AP6" s="11"/>
      <c r="AQ6" s="11"/>
      <c r="AR6" s="11"/>
      <c r="AS6" s="11"/>
    </row>
    <row r="7" spans="1:50" ht="44" customHeight="1" x14ac:dyDescent="0.2">
      <c r="A7" s="13"/>
      <c r="B7" s="13"/>
      <c r="C7" s="14"/>
      <c r="D7" s="14"/>
      <c r="E7" s="14"/>
      <c r="F7" s="14"/>
      <c r="G7" s="14"/>
      <c r="H7" s="14"/>
      <c r="I7" s="13"/>
      <c r="J7" s="16" t="s">
        <v>18</v>
      </c>
      <c r="K7" s="16" t="s">
        <v>18</v>
      </c>
      <c r="L7" s="16" t="s">
        <v>19</v>
      </c>
      <c r="M7" s="16" t="s">
        <v>19</v>
      </c>
      <c r="N7" s="17" t="s">
        <v>19</v>
      </c>
      <c r="O7" s="16" t="s">
        <v>19</v>
      </c>
      <c r="P7" s="18" t="s">
        <v>20</v>
      </c>
      <c r="Q7" s="16" t="s">
        <v>21</v>
      </c>
      <c r="R7" s="16" t="s">
        <v>19</v>
      </c>
      <c r="S7" s="16" t="s">
        <v>22</v>
      </c>
      <c r="T7" s="16"/>
      <c r="U7" s="16"/>
      <c r="V7" s="16"/>
      <c r="W7" s="16"/>
      <c r="X7" s="16"/>
      <c r="Y7" s="16"/>
      <c r="Z7" s="16"/>
      <c r="AA7" s="16"/>
      <c r="AB7" s="16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</row>
    <row r="8" spans="1:50" s="22" customFormat="1" ht="34" x14ac:dyDescent="0.2">
      <c r="A8" s="21" t="s">
        <v>23</v>
      </c>
      <c r="B8" s="21" t="s">
        <v>24</v>
      </c>
      <c r="D8" s="2"/>
      <c r="E8" s="2"/>
      <c r="F8" s="22" t="s">
        <v>0</v>
      </c>
      <c r="H8" s="22" t="s">
        <v>27</v>
      </c>
      <c r="I8" s="65" t="s">
        <v>1004</v>
      </c>
      <c r="J8" s="4">
        <v>90</v>
      </c>
      <c r="K8" s="4">
        <v>1</v>
      </c>
      <c r="L8" s="4">
        <v>80</v>
      </c>
      <c r="M8" s="4">
        <v>3</v>
      </c>
      <c r="N8" s="4"/>
      <c r="O8" s="4"/>
      <c r="P8" s="4" t="s">
        <v>0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</row>
    <row r="9" spans="1:50" s="22" customFormat="1" ht="34" x14ac:dyDescent="0.2">
      <c r="A9" s="24" t="s">
        <v>23</v>
      </c>
      <c r="B9" s="24" t="s">
        <v>24</v>
      </c>
      <c r="D9" s="2"/>
      <c r="E9" s="2"/>
      <c r="H9" s="22" t="s">
        <v>27</v>
      </c>
      <c r="I9" s="65" t="s">
        <v>1005</v>
      </c>
      <c r="J9" s="4"/>
      <c r="K9" s="4"/>
      <c r="L9" s="4"/>
      <c r="M9" s="4"/>
      <c r="N9" s="4"/>
      <c r="O9" s="4"/>
      <c r="P9" s="4">
        <f>AN9</f>
        <v>0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</row>
    <row r="10" spans="1:50" s="22" customFormat="1" ht="17" x14ac:dyDescent="0.2">
      <c r="A10" s="25" t="s">
        <v>23</v>
      </c>
      <c r="B10" s="25" t="s">
        <v>24</v>
      </c>
      <c r="D10" s="2"/>
      <c r="E10" s="2"/>
      <c r="H10" s="22" t="s">
        <v>27</v>
      </c>
      <c r="I10" s="65" t="s">
        <v>1006</v>
      </c>
      <c r="J10" s="4"/>
      <c r="K10" s="4"/>
      <c r="L10" s="4"/>
      <c r="M10" s="4"/>
      <c r="N10" s="4"/>
      <c r="O10" s="4"/>
      <c r="P10" s="4">
        <f>AN10</f>
        <v>0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</row>
    <row r="11" spans="1:50" s="22" customFormat="1" ht="17" x14ac:dyDescent="0.2">
      <c r="A11" s="21" t="s">
        <v>23</v>
      </c>
      <c r="B11" s="21" t="s">
        <v>24</v>
      </c>
      <c r="D11" s="2"/>
      <c r="E11" s="2"/>
      <c r="H11" s="22" t="s">
        <v>27</v>
      </c>
      <c r="I11" s="65" t="s">
        <v>1006</v>
      </c>
      <c r="J11" s="4"/>
      <c r="K11" s="4"/>
      <c r="L11" s="4"/>
      <c r="M11" s="4"/>
      <c r="N11" s="4"/>
      <c r="O11" s="4"/>
      <c r="P11" s="4" t="s">
        <v>0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</row>
    <row r="12" spans="1:50" s="22" customFormat="1" ht="17" x14ac:dyDescent="0.2">
      <c r="A12" s="21" t="s">
        <v>23</v>
      </c>
      <c r="B12" s="21" t="s">
        <v>24</v>
      </c>
      <c r="D12" s="2"/>
      <c r="E12" s="2"/>
      <c r="H12" s="22" t="s">
        <v>27</v>
      </c>
      <c r="I12" s="65" t="s">
        <v>1006</v>
      </c>
      <c r="J12" s="4">
        <v>88.9</v>
      </c>
      <c r="K12" s="4">
        <v>1</v>
      </c>
      <c r="L12" s="4">
        <v>92</v>
      </c>
      <c r="M12" s="4">
        <v>0.6</v>
      </c>
      <c r="N12" s="4"/>
      <c r="O12" s="4"/>
      <c r="P12" s="4" t="s">
        <v>0</v>
      </c>
      <c r="Q12" s="4"/>
      <c r="R12" s="4">
        <v>31</v>
      </c>
      <c r="S12" s="4"/>
      <c r="T12" s="4"/>
      <c r="U12" s="4"/>
      <c r="V12" s="4"/>
      <c r="W12" s="4"/>
      <c r="X12" s="4"/>
      <c r="Y12" s="4"/>
      <c r="Z12" s="4"/>
      <c r="AA12" s="4"/>
      <c r="AB12" s="4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</row>
    <row r="13" spans="1:50" s="22" customFormat="1" ht="17" x14ac:dyDescent="0.2">
      <c r="A13" s="25" t="s">
        <v>23</v>
      </c>
      <c r="B13" s="25" t="s">
        <v>24</v>
      </c>
      <c r="C13" s="26"/>
      <c r="D13" s="2"/>
      <c r="E13" s="2"/>
      <c r="H13" s="22" t="s">
        <v>27</v>
      </c>
      <c r="I13" s="65" t="s">
        <v>1006</v>
      </c>
      <c r="J13" s="4">
        <v>89</v>
      </c>
      <c r="K13" s="4">
        <v>0.99899999999999989</v>
      </c>
      <c r="L13" s="4">
        <v>91.996799999999979</v>
      </c>
      <c r="M13" s="4">
        <v>0.59939999999999993</v>
      </c>
      <c r="N13" s="4"/>
      <c r="O13" s="4"/>
      <c r="P13" s="4" t="s">
        <v>0</v>
      </c>
      <c r="Q13" s="4"/>
      <c r="R13" s="4">
        <v>31.002299999999998</v>
      </c>
      <c r="S13" s="4"/>
      <c r="T13" s="4"/>
      <c r="U13" s="4"/>
      <c r="V13" s="4"/>
      <c r="W13" s="4"/>
      <c r="X13" s="4"/>
      <c r="Y13" s="4"/>
      <c r="Z13" s="4"/>
      <c r="AA13" s="4"/>
      <c r="AB13" s="4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</row>
    <row r="14" spans="1:50" s="22" customFormat="1" ht="17" x14ac:dyDescent="0.2">
      <c r="A14" s="21" t="s">
        <v>23</v>
      </c>
      <c r="B14" s="21" t="s">
        <v>24</v>
      </c>
      <c r="D14" s="2"/>
      <c r="E14" s="2"/>
      <c r="H14" s="22" t="s">
        <v>27</v>
      </c>
      <c r="I14" s="65" t="s">
        <v>1007</v>
      </c>
      <c r="J14" s="4"/>
      <c r="K14" s="4"/>
      <c r="L14" s="4"/>
      <c r="M14" s="4"/>
      <c r="N14" s="4"/>
      <c r="O14" s="4"/>
      <c r="P14" s="4">
        <f>AN14</f>
        <v>0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</row>
    <row r="15" spans="1:50" s="22" customFormat="1" ht="17" x14ac:dyDescent="0.2">
      <c r="A15" s="21" t="s">
        <v>23</v>
      </c>
      <c r="B15" s="21" t="s">
        <v>24</v>
      </c>
      <c r="C15" s="27" t="s">
        <v>0</v>
      </c>
      <c r="D15" s="2"/>
      <c r="E15" s="2"/>
      <c r="H15" s="22" t="s">
        <v>27</v>
      </c>
      <c r="I15" s="65" t="s">
        <v>1007</v>
      </c>
      <c r="J15" s="4">
        <v>85.6</v>
      </c>
      <c r="K15" s="4">
        <v>3.2</v>
      </c>
      <c r="L15" s="4">
        <v>82</v>
      </c>
      <c r="M15" s="4">
        <v>0.6</v>
      </c>
      <c r="N15" s="4">
        <v>57</v>
      </c>
      <c r="O15" s="4">
        <v>0.6</v>
      </c>
      <c r="P15" s="4" t="s">
        <v>0</v>
      </c>
      <c r="Q15" s="4">
        <v>60</v>
      </c>
      <c r="R15" s="4">
        <v>23</v>
      </c>
      <c r="S15" s="4">
        <v>0.3</v>
      </c>
      <c r="T15" s="4"/>
      <c r="U15" s="4"/>
      <c r="V15" s="4"/>
      <c r="W15" s="4"/>
      <c r="X15" s="4"/>
      <c r="Y15" s="4"/>
      <c r="Z15" s="4"/>
      <c r="AA15" s="4"/>
      <c r="AB15" s="4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</row>
    <row r="16" spans="1:50" s="22" customFormat="1" ht="34" x14ac:dyDescent="0.2">
      <c r="A16" s="21" t="s">
        <v>23</v>
      </c>
      <c r="B16" s="21" t="s">
        <v>24</v>
      </c>
      <c r="D16" s="2"/>
      <c r="E16" s="2"/>
      <c r="H16" s="22" t="s">
        <v>27</v>
      </c>
      <c r="I16" s="65" t="s">
        <v>1009</v>
      </c>
      <c r="J16" s="4"/>
      <c r="K16" s="4">
        <v>0.9</v>
      </c>
      <c r="L16" s="4">
        <v>46</v>
      </c>
      <c r="M16" s="4">
        <v>0.72</v>
      </c>
      <c r="N16" s="4"/>
      <c r="O16" s="4"/>
      <c r="P16" s="4" t="s">
        <v>0</v>
      </c>
      <c r="Q16" s="4">
        <v>22</v>
      </c>
      <c r="R16" s="4">
        <v>33</v>
      </c>
      <c r="S16" s="4">
        <v>0.43</v>
      </c>
      <c r="T16" s="4"/>
      <c r="U16" s="4"/>
      <c r="V16" s="4"/>
      <c r="W16" s="4"/>
      <c r="X16" s="4"/>
      <c r="Y16" s="4"/>
      <c r="Z16" s="4"/>
      <c r="AA16" s="4"/>
      <c r="AB16" s="4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</row>
    <row r="17" spans="1:50" s="22" customFormat="1" ht="34" x14ac:dyDescent="0.2">
      <c r="A17" s="21" t="s">
        <v>23</v>
      </c>
      <c r="B17" s="21" t="s">
        <v>24</v>
      </c>
      <c r="D17" s="2"/>
      <c r="E17" s="2"/>
      <c r="H17" s="22" t="s">
        <v>27</v>
      </c>
      <c r="I17" s="65" t="s">
        <v>1009</v>
      </c>
      <c r="J17" s="4"/>
      <c r="K17" s="4">
        <v>0.83</v>
      </c>
      <c r="L17" s="4">
        <v>33</v>
      </c>
      <c r="M17" s="4">
        <v>0.87</v>
      </c>
      <c r="N17" s="4"/>
      <c r="O17" s="4"/>
      <c r="P17" s="4" t="s">
        <v>0</v>
      </c>
      <c r="Q17" s="4">
        <v>23</v>
      </c>
      <c r="R17" s="4">
        <v>24</v>
      </c>
      <c r="S17" s="4">
        <v>0.27</v>
      </c>
      <c r="T17" s="4"/>
      <c r="U17" s="4"/>
      <c r="V17" s="4"/>
      <c r="W17" s="4"/>
      <c r="X17" s="4"/>
      <c r="Y17" s="4"/>
      <c r="Z17" s="4"/>
      <c r="AA17" s="4"/>
      <c r="AB17" s="4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</row>
    <row r="18" spans="1:50" s="22" customFormat="1" ht="34" x14ac:dyDescent="0.2">
      <c r="A18" s="21" t="s">
        <v>23</v>
      </c>
      <c r="B18" s="21" t="s">
        <v>24</v>
      </c>
      <c r="D18" s="2"/>
      <c r="E18" s="2"/>
      <c r="H18" s="22" t="s">
        <v>27</v>
      </c>
      <c r="I18" s="65" t="s">
        <v>1009</v>
      </c>
      <c r="J18" s="4"/>
      <c r="K18" s="4">
        <v>0.76</v>
      </c>
      <c r="L18" s="4">
        <v>112</v>
      </c>
      <c r="M18" s="4">
        <v>0.6</v>
      </c>
      <c r="N18" s="4"/>
      <c r="O18" s="4">
        <v>0.41</v>
      </c>
      <c r="P18" s="4" t="s">
        <v>0</v>
      </c>
      <c r="Q18" s="4">
        <v>26</v>
      </c>
      <c r="R18" s="4">
        <v>26</v>
      </c>
      <c r="S18" s="4">
        <v>0.51</v>
      </c>
      <c r="T18" s="4"/>
      <c r="U18" s="4"/>
      <c r="V18" s="4"/>
      <c r="W18" s="4"/>
      <c r="X18" s="4"/>
      <c r="Y18" s="4"/>
      <c r="Z18" s="4"/>
      <c r="AA18" s="4"/>
      <c r="AB18" s="4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</row>
    <row r="19" spans="1:50" s="22" customFormat="1" ht="34" x14ac:dyDescent="0.2">
      <c r="A19" s="21" t="s">
        <v>23</v>
      </c>
      <c r="B19" s="21" t="s">
        <v>24</v>
      </c>
      <c r="D19" s="2"/>
      <c r="E19" s="2"/>
      <c r="H19" s="22" t="s">
        <v>27</v>
      </c>
      <c r="I19" s="65" t="s">
        <v>1009</v>
      </c>
      <c r="J19" s="4"/>
      <c r="K19" s="4">
        <v>0.86</v>
      </c>
      <c r="L19" s="4">
        <v>49</v>
      </c>
      <c r="M19" s="4">
        <v>1.75</v>
      </c>
      <c r="N19" s="4"/>
      <c r="O19" s="4"/>
      <c r="P19" s="4" t="s">
        <v>0</v>
      </c>
      <c r="Q19" s="4">
        <v>27</v>
      </c>
      <c r="R19" s="4">
        <v>44</v>
      </c>
      <c r="S19" s="4">
        <v>0.45</v>
      </c>
      <c r="T19" s="4"/>
      <c r="U19" s="4"/>
      <c r="V19" s="4"/>
      <c r="W19" s="4"/>
      <c r="X19" s="4"/>
      <c r="Y19" s="4"/>
      <c r="Z19" s="4"/>
      <c r="AA19" s="4"/>
      <c r="AB19" s="4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</row>
    <row r="20" spans="1:50" s="22" customFormat="1" ht="34" x14ac:dyDescent="0.2">
      <c r="A20" s="21" t="s">
        <v>23</v>
      </c>
      <c r="B20" s="21" t="s">
        <v>24</v>
      </c>
      <c r="D20" s="2"/>
      <c r="E20" s="2"/>
      <c r="H20" s="22" t="s">
        <v>27</v>
      </c>
      <c r="I20" s="65" t="s">
        <v>1009</v>
      </c>
      <c r="J20" s="4"/>
      <c r="K20" s="4">
        <v>0.88</v>
      </c>
      <c r="L20" s="4">
        <v>64</v>
      </c>
      <c r="M20" s="4">
        <v>0.97</v>
      </c>
      <c r="N20" s="4"/>
      <c r="O20" s="4"/>
      <c r="P20" s="4" t="s">
        <v>0</v>
      </c>
      <c r="Q20" s="4">
        <v>32</v>
      </c>
      <c r="R20" s="4">
        <v>40</v>
      </c>
      <c r="S20" s="4">
        <v>0.45</v>
      </c>
      <c r="T20" s="4"/>
      <c r="U20" s="4"/>
      <c r="V20" s="4"/>
      <c r="W20" s="4"/>
      <c r="X20" s="4"/>
      <c r="Y20" s="4"/>
      <c r="Z20" s="4"/>
      <c r="AA20" s="4"/>
      <c r="AB20" s="4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</row>
    <row r="21" spans="1:50" s="22" customFormat="1" ht="34" x14ac:dyDescent="0.2">
      <c r="A21" s="21" t="s">
        <v>23</v>
      </c>
      <c r="B21" s="21" t="s">
        <v>24</v>
      </c>
      <c r="D21" s="2"/>
      <c r="E21" s="2"/>
      <c r="H21" s="22" t="s">
        <v>27</v>
      </c>
      <c r="I21" s="65" t="s">
        <v>1009</v>
      </c>
      <c r="J21" s="4"/>
      <c r="K21" s="4">
        <v>0.87</v>
      </c>
      <c r="L21" s="4">
        <v>38</v>
      </c>
      <c r="M21" s="4">
        <v>0.69</v>
      </c>
      <c r="N21" s="4"/>
      <c r="O21" s="4"/>
      <c r="P21" s="4" t="s">
        <v>0</v>
      </c>
      <c r="Q21" s="4">
        <v>42</v>
      </c>
      <c r="R21" s="4">
        <v>36</v>
      </c>
      <c r="S21" s="4">
        <v>0.61</v>
      </c>
      <c r="T21" s="4"/>
      <c r="U21" s="4"/>
      <c r="V21" s="4"/>
      <c r="W21" s="4"/>
      <c r="X21" s="4"/>
      <c r="Y21" s="4"/>
      <c r="Z21" s="4"/>
      <c r="AA21" s="4"/>
      <c r="AB21" s="4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</row>
    <row r="22" spans="1:50" s="22" customFormat="1" ht="34" x14ac:dyDescent="0.2">
      <c r="A22" s="21" t="s">
        <v>23</v>
      </c>
      <c r="B22" s="21" t="s">
        <v>24</v>
      </c>
      <c r="D22" s="2"/>
      <c r="E22" s="2"/>
      <c r="H22" s="22" t="s">
        <v>27</v>
      </c>
      <c r="I22" s="65" t="s">
        <v>1009</v>
      </c>
      <c r="J22" s="4"/>
      <c r="K22" s="4">
        <v>0.82</v>
      </c>
      <c r="L22" s="4">
        <v>32</v>
      </c>
      <c r="M22" s="4">
        <v>0.69</v>
      </c>
      <c r="N22" s="4"/>
      <c r="O22" s="4"/>
      <c r="P22" s="4" t="s">
        <v>0</v>
      </c>
      <c r="Q22" s="4">
        <v>46</v>
      </c>
      <c r="R22" s="4">
        <v>43</v>
      </c>
      <c r="S22" s="4">
        <v>0.55000000000000004</v>
      </c>
      <c r="T22" s="4"/>
      <c r="U22" s="4"/>
      <c r="V22" s="4"/>
      <c r="W22" s="4"/>
      <c r="X22" s="4"/>
      <c r="Y22" s="4"/>
      <c r="Z22" s="4"/>
      <c r="AA22" s="4"/>
      <c r="AB22" s="4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</row>
    <row r="23" spans="1:50" s="22" customFormat="1" ht="34" x14ac:dyDescent="0.2">
      <c r="A23" s="21" t="s">
        <v>23</v>
      </c>
      <c r="B23" s="21" t="s">
        <v>24</v>
      </c>
      <c r="D23" s="2"/>
      <c r="E23" s="2"/>
      <c r="H23" s="28" t="s">
        <v>27</v>
      </c>
      <c r="I23" s="65" t="s">
        <v>1009</v>
      </c>
      <c r="J23" s="4"/>
      <c r="K23" s="4"/>
      <c r="L23" s="4"/>
      <c r="M23" s="4"/>
      <c r="N23" s="4"/>
      <c r="O23" s="4"/>
      <c r="P23" s="4" t="s">
        <v>0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</row>
    <row r="24" spans="1:50" s="22" customFormat="1" ht="34" x14ac:dyDescent="0.2">
      <c r="A24" s="21" t="s">
        <v>23</v>
      </c>
      <c r="B24" s="21" t="s">
        <v>24</v>
      </c>
      <c r="D24" s="2"/>
      <c r="E24" s="2"/>
      <c r="H24" s="22" t="s">
        <v>27</v>
      </c>
      <c r="I24" s="242" t="s">
        <v>1009</v>
      </c>
      <c r="J24" s="4"/>
      <c r="K24" s="4"/>
      <c r="L24" s="4"/>
      <c r="M24" s="4"/>
      <c r="N24" s="4"/>
      <c r="O24" s="4"/>
      <c r="P24" s="4" t="s">
        <v>0</v>
      </c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</row>
    <row r="25" spans="1:50" s="22" customFormat="1" ht="34" x14ac:dyDescent="0.2">
      <c r="A25" s="21" t="s">
        <v>23</v>
      </c>
      <c r="B25" s="21" t="s">
        <v>24</v>
      </c>
      <c r="D25" s="2"/>
      <c r="E25" s="2"/>
      <c r="H25" s="22" t="s">
        <v>27</v>
      </c>
      <c r="I25" s="65" t="s">
        <v>1009</v>
      </c>
      <c r="J25" s="4"/>
      <c r="K25" s="4"/>
      <c r="L25" s="4"/>
      <c r="M25" s="4"/>
      <c r="N25" s="4"/>
      <c r="O25" s="4"/>
      <c r="P25" s="4" t="s">
        <v>0</v>
      </c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</row>
    <row r="26" spans="1:50" s="22" customFormat="1" ht="34" x14ac:dyDescent="0.2">
      <c r="A26" s="21" t="s">
        <v>23</v>
      </c>
      <c r="B26" s="21" t="s">
        <v>24</v>
      </c>
      <c r="D26" s="2"/>
      <c r="E26" s="2"/>
      <c r="H26" s="22" t="s">
        <v>27</v>
      </c>
      <c r="I26" s="65" t="s">
        <v>1009</v>
      </c>
      <c r="J26" s="4"/>
      <c r="K26" s="4"/>
      <c r="L26" s="4"/>
      <c r="M26" s="4"/>
      <c r="N26" s="4"/>
      <c r="O26" s="4"/>
      <c r="P26" s="4" t="s">
        <v>0</v>
      </c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</row>
    <row r="27" spans="1:50" s="22" customFormat="1" ht="34" x14ac:dyDescent="0.2">
      <c r="A27" s="21" t="s">
        <v>23</v>
      </c>
      <c r="B27" s="21" t="s">
        <v>24</v>
      </c>
      <c r="D27" s="2"/>
      <c r="E27" s="2"/>
      <c r="H27" s="22" t="s">
        <v>27</v>
      </c>
      <c r="I27" s="65" t="s">
        <v>1009</v>
      </c>
      <c r="J27" s="4"/>
      <c r="K27" s="4"/>
      <c r="L27" s="4"/>
      <c r="M27" s="4"/>
      <c r="N27" s="4"/>
      <c r="O27" s="4"/>
      <c r="P27" s="4" t="s">
        <v>0</v>
      </c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</row>
    <row r="28" spans="1:50" s="22" customFormat="1" ht="34" x14ac:dyDescent="0.2">
      <c r="A28" s="21" t="s">
        <v>23</v>
      </c>
      <c r="B28" s="21" t="s">
        <v>24</v>
      </c>
      <c r="D28" s="2"/>
      <c r="E28" s="2"/>
      <c r="H28" s="22" t="s">
        <v>27</v>
      </c>
      <c r="I28" s="65" t="s">
        <v>1009</v>
      </c>
      <c r="J28" s="4"/>
      <c r="K28" s="4"/>
      <c r="L28" s="4"/>
      <c r="M28" s="4"/>
      <c r="N28" s="4"/>
      <c r="O28" s="4"/>
      <c r="P28" s="4" t="s">
        <v>0</v>
      </c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</row>
    <row r="29" spans="1:50" s="22" customFormat="1" ht="34" x14ac:dyDescent="0.2">
      <c r="A29" s="21" t="s">
        <v>23</v>
      </c>
      <c r="B29" s="21" t="s">
        <v>24</v>
      </c>
      <c r="D29" s="2"/>
      <c r="E29" s="2"/>
      <c r="H29" s="22" t="s">
        <v>27</v>
      </c>
      <c r="I29" s="65" t="s">
        <v>1009</v>
      </c>
      <c r="J29" s="4"/>
      <c r="K29" s="4"/>
      <c r="L29" s="4"/>
      <c r="M29" s="4"/>
      <c r="N29" s="4"/>
      <c r="O29" s="4"/>
      <c r="P29" s="4" t="s">
        <v>0</v>
      </c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</row>
    <row r="30" spans="1:50" s="22" customFormat="1" ht="34" x14ac:dyDescent="0.2">
      <c r="A30" s="21" t="s">
        <v>23</v>
      </c>
      <c r="B30" s="21" t="s">
        <v>24</v>
      </c>
      <c r="D30" s="2"/>
      <c r="E30" s="2"/>
      <c r="H30" s="22" t="s">
        <v>27</v>
      </c>
      <c r="I30" s="65" t="s">
        <v>1009</v>
      </c>
      <c r="J30" s="4"/>
      <c r="K30" s="4"/>
      <c r="L30" s="4"/>
      <c r="M30" s="4"/>
      <c r="N30" s="4"/>
      <c r="O30" s="4"/>
      <c r="P30" s="4" t="s">
        <v>0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</row>
    <row r="31" spans="1:50" s="22" customFormat="1" ht="34" x14ac:dyDescent="0.2">
      <c r="A31" s="21" t="s">
        <v>23</v>
      </c>
      <c r="B31" s="21" t="s">
        <v>24</v>
      </c>
      <c r="D31" s="2"/>
      <c r="E31" s="2"/>
      <c r="H31" s="22" t="s">
        <v>27</v>
      </c>
      <c r="I31" s="65" t="s">
        <v>1009</v>
      </c>
      <c r="J31" s="4"/>
      <c r="K31" s="4">
        <v>0.79</v>
      </c>
      <c r="L31" s="4">
        <v>92</v>
      </c>
      <c r="M31" s="4">
        <v>0.43</v>
      </c>
      <c r="N31" s="4"/>
      <c r="O31" s="4">
        <v>0.22</v>
      </c>
      <c r="P31" s="4" t="s">
        <v>0</v>
      </c>
      <c r="Q31" s="4"/>
      <c r="R31" s="4">
        <v>11</v>
      </c>
      <c r="S31" s="4"/>
      <c r="T31" s="4"/>
      <c r="U31" s="4"/>
      <c r="V31" s="4"/>
      <c r="W31" s="4"/>
      <c r="X31" s="4"/>
      <c r="Y31" s="4"/>
      <c r="Z31" s="4"/>
      <c r="AA31" s="4"/>
      <c r="AB31" s="4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</row>
    <row r="32" spans="1:50" s="22" customFormat="1" ht="34" x14ac:dyDescent="0.2">
      <c r="A32" s="21" t="s">
        <v>23</v>
      </c>
      <c r="B32" s="21" t="s">
        <v>24</v>
      </c>
      <c r="D32" s="2"/>
      <c r="E32" s="2"/>
      <c r="H32" s="22" t="s">
        <v>27</v>
      </c>
      <c r="I32" s="65" t="s">
        <v>1010</v>
      </c>
      <c r="J32" s="4"/>
      <c r="K32" s="4"/>
      <c r="L32" s="4"/>
      <c r="M32" s="4"/>
      <c r="N32" s="4"/>
      <c r="O32" s="4"/>
      <c r="P32" s="4">
        <f>AN32</f>
        <v>0</v>
      </c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</row>
    <row r="33" spans="1:50" s="22" customFormat="1" ht="34" x14ac:dyDescent="0.2">
      <c r="A33" s="21" t="s">
        <v>23</v>
      </c>
      <c r="B33" s="21" t="s">
        <v>24</v>
      </c>
      <c r="D33" s="2"/>
      <c r="E33" s="2"/>
      <c r="H33" s="22" t="s">
        <v>27</v>
      </c>
      <c r="I33" s="65" t="s">
        <v>1010</v>
      </c>
      <c r="J33" s="4">
        <v>88.9</v>
      </c>
      <c r="K33" s="4">
        <v>1</v>
      </c>
      <c r="L33" s="4">
        <v>89</v>
      </c>
      <c r="M33" s="4">
        <v>0.9</v>
      </c>
      <c r="N33" s="4">
        <v>46</v>
      </c>
      <c r="O33" s="4"/>
      <c r="P33" s="4" t="s">
        <v>0</v>
      </c>
      <c r="Q33" s="4"/>
      <c r="R33" s="4">
        <v>30</v>
      </c>
      <c r="S33" s="4"/>
      <c r="T33" s="4"/>
      <c r="U33" s="4"/>
      <c r="V33" s="4"/>
      <c r="W33" s="4"/>
      <c r="X33" s="4"/>
      <c r="Y33" s="4"/>
      <c r="Z33" s="4"/>
      <c r="AA33" s="4"/>
      <c r="AB33" s="4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</row>
    <row r="34" spans="1:50" s="71" customFormat="1" x14ac:dyDescent="0.2">
      <c r="A34" s="70" t="s">
        <v>23</v>
      </c>
      <c r="B34" s="70" t="s">
        <v>24</v>
      </c>
      <c r="C34" s="71" t="s">
        <v>29</v>
      </c>
      <c r="D34" s="71" t="s">
        <v>25</v>
      </c>
      <c r="E34" s="71" t="s">
        <v>26</v>
      </c>
      <c r="F34" s="71" t="s">
        <v>783</v>
      </c>
      <c r="H34" s="71" t="s">
        <v>27</v>
      </c>
      <c r="I34" s="87"/>
      <c r="J34" s="72">
        <f>AVERAGEIF(J8:J33, "&lt;&gt;0")</f>
        <v>88.47999999999999</v>
      </c>
      <c r="K34" s="72">
        <f t="shared" ref="K34:S34" si="0">AVERAGEIF(K8:K33, "&lt;&gt;0")</f>
        <v>1.0699230769230768</v>
      </c>
      <c r="L34" s="72">
        <f t="shared" si="0"/>
        <v>69.307446153846158</v>
      </c>
      <c r="M34" s="72">
        <f t="shared" si="0"/>
        <v>0.95533846153846147</v>
      </c>
      <c r="N34" s="72">
        <f t="shared" si="0"/>
        <v>51.5</v>
      </c>
      <c r="O34" s="72">
        <f t="shared" si="0"/>
        <v>0.41</v>
      </c>
      <c r="P34" s="72">
        <f>AVERAGE(P8:P33)</f>
        <v>0</v>
      </c>
      <c r="Q34" s="72">
        <f t="shared" si="0"/>
        <v>34.75</v>
      </c>
      <c r="R34" s="72">
        <f t="shared" si="0"/>
        <v>31.000191666666666</v>
      </c>
      <c r="S34" s="72">
        <f t="shared" si="0"/>
        <v>0.44625000000000004</v>
      </c>
      <c r="T34" s="72"/>
      <c r="U34" s="72"/>
      <c r="V34" s="72"/>
      <c r="W34" s="72"/>
      <c r="X34" s="72"/>
      <c r="Y34" s="72"/>
      <c r="Z34" s="72"/>
      <c r="AA34" s="72"/>
      <c r="AB34" s="72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</row>
    <row r="35" spans="1:50" s="30" customFormat="1" ht="51" x14ac:dyDescent="0.2">
      <c r="A35" s="21" t="s">
        <v>23</v>
      </c>
      <c r="B35" s="21" t="s">
        <v>30</v>
      </c>
      <c r="C35" s="2"/>
      <c r="D35" s="2"/>
      <c r="E35" s="2"/>
      <c r="F35" s="2"/>
      <c r="G35" s="2"/>
      <c r="H35" s="22" t="s">
        <v>33</v>
      </c>
      <c r="I35" s="65" t="s">
        <v>1011</v>
      </c>
      <c r="J35" s="4">
        <v>89</v>
      </c>
      <c r="K35" s="4">
        <v>3.8</v>
      </c>
      <c r="L35" s="4">
        <v>268</v>
      </c>
      <c r="M35" s="4">
        <v>1.9</v>
      </c>
      <c r="N35" s="4">
        <v>18</v>
      </c>
      <c r="O35" s="4">
        <v>1.4</v>
      </c>
      <c r="P35" s="4" t="s">
        <v>0</v>
      </c>
      <c r="Q35" s="4"/>
      <c r="R35" s="4">
        <v>26</v>
      </c>
      <c r="S35" s="4">
        <v>2</v>
      </c>
      <c r="T35" s="4"/>
      <c r="U35" s="4"/>
      <c r="V35" s="4"/>
      <c r="W35" s="4"/>
      <c r="X35" s="4"/>
      <c r="Y35" s="4"/>
      <c r="Z35" s="4"/>
      <c r="AA35" s="4"/>
      <c r="AB35" s="4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</row>
    <row r="36" spans="1:50" ht="34" x14ac:dyDescent="0.2">
      <c r="A36" s="24" t="s">
        <v>23</v>
      </c>
      <c r="B36" s="24" t="s">
        <v>30</v>
      </c>
      <c r="H36" s="2" t="s">
        <v>33</v>
      </c>
      <c r="I36" s="243" t="s">
        <v>1004</v>
      </c>
      <c r="P36" s="4">
        <f>AN36</f>
        <v>0</v>
      </c>
      <c r="AI36" s="23"/>
      <c r="AN36" s="23"/>
    </row>
    <row r="37" spans="1:50" ht="34" x14ac:dyDescent="0.2">
      <c r="A37" s="24" t="s">
        <v>23</v>
      </c>
      <c r="B37" s="24" t="s">
        <v>30</v>
      </c>
      <c r="H37" s="2" t="s">
        <v>33</v>
      </c>
      <c r="I37" s="243" t="s">
        <v>1004</v>
      </c>
      <c r="J37" s="3">
        <v>90</v>
      </c>
      <c r="K37" s="3">
        <v>1</v>
      </c>
      <c r="L37" s="3">
        <v>580</v>
      </c>
      <c r="P37" s="4" t="s">
        <v>0</v>
      </c>
      <c r="R37" s="3">
        <v>118</v>
      </c>
    </row>
    <row r="38" spans="1:50" ht="34" x14ac:dyDescent="0.2">
      <c r="A38" s="24" t="s">
        <v>23</v>
      </c>
      <c r="B38" s="24" t="s">
        <v>30</v>
      </c>
      <c r="H38" s="2" t="s">
        <v>33</v>
      </c>
      <c r="I38" s="243" t="s">
        <v>1009</v>
      </c>
      <c r="P38" s="4" t="s">
        <v>0</v>
      </c>
    </row>
    <row r="39" spans="1:50" ht="34" x14ac:dyDescent="0.2">
      <c r="A39" s="24" t="s">
        <v>23</v>
      </c>
      <c r="B39" s="24" t="s">
        <v>30</v>
      </c>
      <c r="H39" s="2" t="s">
        <v>33</v>
      </c>
      <c r="I39" s="243" t="s">
        <v>1009</v>
      </c>
      <c r="K39" s="3">
        <v>1.41</v>
      </c>
      <c r="L39" s="3">
        <v>176</v>
      </c>
      <c r="M39" s="3">
        <v>1.39</v>
      </c>
      <c r="P39" s="4" t="s">
        <v>0</v>
      </c>
      <c r="R39" s="3">
        <v>82</v>
      </c>
      <c r="S39" s="3">
        <v>4.51</v>
      </c>
    </row>
    <row r="40" spans="1:50" ht="34" x14ac:dyDescent="0.2">
      <c r="A40" s="24" t="s">
        <v>23</v>
      </c>
      <c r="B40" s="24" t="s">
        <v>30</v>
      </c>
      <c r="H40" s="2" t="s">
        <v>33</v>
      </c>
      <c r="I40" s="243" t="s">
        <v>1010</v>
      </c>
      <c r="J40" s="3">
        <v>90</v>
      </c>
      <c r="K40" s="3">
        <v>1</v>
      </c>
      <c r="L40" s="3">
        <v>580</v>
      </c>
      <c r="M40" s="3">
        <v>3</v>
      </c>
      <c r="P40" s="4">
        <f>AN40</f>
        <v>0</v>
      </c>
      <c r="R40" s="3">
        <v>118</v>
      </c>
      <c r="AI40" s="23"/>
      <c r="AN40" s="23"/>
    </row>
    <row r="41" spans="1:50" ht="34" x14ac:dyDescent="0.2">
      <c r="A41" s="24" t="s">
        <v>23</v>
      </c>
      <c r="B41" s="24" t="s">
        <v>30</v>
      </c>
      <c r="H41" s="2" t="s">
        <v>33</v>
      </c>
      <c r="I41" s="243" t="s">
        <v>1010</v>
      </c>
      <c r="P41" s="4" t="s">
        <v>0</v>
      </c>
    </row>
    <row r="42" spans="1:50" s="71" customFormat="1" x14ac:dyDescent="0.2">
      <c r="A42" s="70" t="s">
        <v>23</v>
      </c>
      <c r="B42" s="70" t="s">
        <v>30</v>
      </c>
      <c r="C42" s="71" t="s">
        <v>34</v>
      </c>
      <c r="D42" s="71" t="s">
        <v>31</v>
      </c>
      <c r="E42" s="71" t="s">
        <v>32</v>
      </c>
      <c r="F42" s="71" t="s">
        <v>783</v>
      </c>
      <c r="H42" s="71" t="s">
        <v>33</v>
      </c>
      <c r="I42" s="87"/>
      <c r="J42" s="72">
        <f t="shared" ref="J42:O42" si="1">AVERAGEIF(J35:J41, "&lt;&gt;0")</f>
        <v>89.666666666666671</v>
      </c>
      <c r="K42" s="72">
        <f t="shared" si="1"/>
        <v>1.8025</v>
      </c>
      <c r="L42" s="72">
        <f t="shared" si="1"/>
        <v>401</v>
      </c>
      <c r="M42" s="72">
        <f t="shared" si="1"/>
        <v>2.0966666666666667</v>
      </c>
      <c r="N42" s="72">
        <f t="shared" si="1"/>
        <v>18</v>
      </c>
      <c r="O42" s="72">
        <f t="shared" si="1"/>
        <v>1.4</v>
      </c>
      <c r="P42" s="72">
        <f>AVERAGE(P35:P41)</f>
        <v>0</v>
      </c>
      <c r="Q42" s="72" t="s">
        <v>0</v>
      </c>
      <c r="R42" s="72">
        <f>AVERAGEIF(R35:R41, "&lt;&gt;0")</f>
        <v>86</v>
      </c>
      <c r="S42" s="72">
        <f>AVERAGEIF(S35:S41, "&lt;&gt;0")</f>
        <v>3.2549999999999999</v>
      </c>
      <c r="T42" s="72"/>
      <c r="U42" s="72"/>
      <c r="V42" s="72"/>
      <c r="W42" s="72"/>
      <c r="X42" s="72"/>
      <c r="Y42" s="72"/>
      <c r="Z42" s="72"/>
      <c r="AA42" s="72"/>
      <c r="AB42" s="72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</row>
    <row r="43" spans="1:50" s="22" customFormat="1" ht="34" x14ac:dyDescent="0.2">
      <c r="A43" s="21" t="s">
        <v>35</v>
      </c>
      <c r="B43" s="21" t="s">
        <v>36</v>
      </c>
      <c r="C43" s="2"/>
      <c r="D43" s="2"/>
      <c r="E43" s="2"/>
      <c r="F43" s="2"/>
      <c r="G43" s="2"/>
      <c r="H43" s="22" t="s">
        <v>37</v>
      </c>
      <c r="I43" s="65" t="s">
        <v>1012</v>
      </c>
      <c r="J43" s="4">
        <v>56.8</v>
      </c>
      <c r="K43" s="4">
        <v>3.3</v>
      </c>
      <c r="L43" s="4">
        <v>137</v>
      </c>
      <c r="M43" s="4">
        <v>3.2</v>
      </c>
      <c r="N43" s="4">
        <v>75</v>
      </c>
      <c r="O43" s="4"/>
      <c r="P43" s="4" t="s">
        <v>0</v>
      </c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</row>
    <row r="44" spans="1:50" s="76" customFormat="1" ht="15" customHeight="1" x14ac:dyDescent="0.2">
      <c r="A44" s="70" t="s">
        <v>35</v>
      </c>
      <c r="B44" s="70" t="s">
        <v>36</v>
      </c>
      <c r="C44" s="71" t="s">
        <v>38</v>
      </c>
      <c r="D44" s="71" t="s">
        <v>31</v>
      </c>
      <c r="E44" s="71" t="s">
        <v>32</v>
      </c>
      <c r="F44" s="71" t="s">
        <v>781</v>
      </c>
      <c r="G44" s="71"/>
      <c r="H44" s="71" t="s">
        <v>37</v>
      </c>
      <c r="I44" s="244"/>
      <c r="J44" s="72">
        <f>AVERAGEIF(J43, "&lt;&gt;0")</f>
        <v>56.8</v>
      </c>
      <c r="K44" s="72">
        <f t="shared" ref="K44:N44" si="2">AVERAGEIF(K43, "&lt;&gt;0")</f>
        <v>3.3</v>
      </c>
      <c r="L44" s="72">
        <f t="shared" si="2"/>
        <v>137</v>
      </c>
      <c r="M44" s="72">
        <f t="shared" si="2"/>
        <v>3.2</v>
      </c>
      <c r="N44" s="72">
        <f t="shared" si="2"/>
        <v>75</v>
      </c>
      <c r="O44" s="74"/>
      <c r="P44" s="74"/>
      <c r="Q44" s="74"/>
      <c r="R44" s="74"/>
      <c r="S44" s="74"/>
      <c r="T44" s="72"/>
      <c r="U44" s="72"/>
      <c r="V44" s="72"/>
      <c r="W44" s="74"/>
      <c r="X44" s="72"/>
      <c r="Y44" s="72"/>
      <c r="Z44" s="74"/>
      <c r="AA44" s="74"/>
      <c r="AB44" s="74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</row>
    <row r="45" spans="1:50" s="22" customFormat="1" ht="17" x14ac:dyDescent="0.2">
      <c r="A45" s="21" t="s">
        <v>35</v>
      </c>
      <c r="B45" s="21" t="s">
        <v>39</v>
      </c>
      <c r="D45" s="2"/>
      <c r="E45" s="2"/>
      <c r="H45" s="22" t="s">
        <v>33</v>
      </c>
      <c r="I45" s="65" t="s">
        <v>1013</v>
      </c>
      <c r="J45" s="4">
        <v>82.4</v>
      </c>
      <c r="K45" s="4">
        <v>3.9</v>
      </c>
      <c r="L45" s="4">
        <v>41</v>
      </c>
      <c r="M45" s="4">
        <v>2.5</v>
      </c>
      <c r="N45" s="4"/>
      <c r="O45" s="4">
        <v>0.5</v>
      </c>
      <c r="P45" s="4" t="s">
        <v>0</v>
      </c>
      <c r="Q45" s="4"/>
      <c r="R45" s="4">
        <v>47</v>
      </c>
      <c r="S45" s="4"/>
      <c r="T45" s="4"/>
      <c r="U45" s="4"/>
      <c r="V45" s="4"/>
      <c r="W45" s="4"/>
      <c r="X45" s="4"/>
      <c r="Y45" s="4"/>
      <c r="Z45" s="4"/>
      <c r="AA45" s="4"/>
      <c r="AB45" s="4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</row>
    <row r="46" spans="1:50" s="71" customFormat="1" ht="15" customHeight="1" x14ac:dyDescent="0.2">
      <c r="A46" s="70" t="s">
        <v>35</v>
      </c>
      <c r="B46" s="70" t="s">
        <v>39</v>
      </c>
      <c r="C46" s="71" t="s">
        <v>862</v>
      </c>
      <c r="D46" s="71" t="s">
        <v>31</v>
      </c>
      <c r="E46" s="71" t="s">
        <v>32</v>
      </c>
      <c r="F46" s="71" t="s">
        <v>781</v>
      </c>
      <c r="H46" s="71" t="s">
        <v>33</v>
      </c>
      <c r="I46" s="87"/>
      <c r="J46" s="72">
        <f t="shared" ref="J46" si="3">J45</f>
        <v>82.4</v>
      </c>
      <c r="K46" s="72">
        <f>K45</f>
        <v>3.9</v>
      </c>
      <c r="L46" s="72">
        <f>L45</f>
        <v>41</v>
      </c>
      <c r="M46" s="72">
        <f>M45</f>
        <v>2.5</v>
      </c>
      <c r="N46" s="72"/>
      <c r="O46" s="72">
        <f>O45</f>
        <v>0.5</v>
      </c>
      <c r="P46" s="72" t="str">
        <f>P45</f>
        <v xml:space="preserve"> </v>
      </c>
      <c r="Q46" s="72"/>
      <c r="R46" s="72">
        <f>R45</f>
        <v>47</v>
      </c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</row>
    <row r="47" spans="1:50" s="22" customFormat="1" ht="34" x14ac:dyDescent="0.2">
      <c r="A47" s="21" t="s">
        <v>40</v>
      </c>
      <c r="B47" s="21" t="s">
        <v>41</v>
      </c>
      <c r="C47" s="22" t="s">
        <v>0</v>
      </c>
      <c r="D47" s="2"/>
      <c r="E47" s="2"/>
      <c r="H47" s="22" t="s">
        <v>28</v>
      </c>
      <c r="I47" s="65" t="s">
        <v>1005</v>
      </c>
      <c r="J47" s="4"/>
      <c r="K47" s="4"/>
      <c r="L47" s="4"/>
      <c r="M47" s="4">
        <v>4</v>
      </c>
      <c r="N47" s="4"/>
      <c r="O47" s="4"/>
      <c r="P47" s="4" t="s">
        <v>0</v>
      </c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</row>
    <row r="48" spans="1:50" s="71" customFormat="1" ht="15" customHeight="1" x14ac:dyDescent="0.2">
      <c r="A48" s="70" t="s">
        <v>40</v>
      </c>
      <c r="B48" s="70" t="s">
        <v>41</v>
      </c>
      <c r="C48" s="71" t="s">
        <v>43</v>
      </c>
      <c r="D48" s="71" t="s">
        <v>31</v>
      </c>
      <c r="E48" s="71" t="s">
        <v>42</v>
      </c>
      <c r="F48" s="71" t="s">
        <v>784</v>
      </c>
      <c r="H48" s="71" t="s">
        <v>28</v>
      </c>
      <c r="I48" s="87"/>
      <c r="J48" s="72"/>
      <c r="K48" s="72"/>
      <c r="L48" s="72"/>
      <c r="M48" s="72">
        <f>AVERAGEIF(M47, "&lt;&gt;0")</f>
        <v>4</v>
      </c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</row>
    <row r="49" spans="1:50" s="30" customFormat="1" ht="15" customHeight="1" x14ac:dyDescent="0.2">
      <c r="A49" s="21" t="s">
        <v>44</v>
      </c>
      <c r="B49" s="21" t="s">
        <v>45</v>
      </c>
      <c r="C49" s="22"/>
      <c r="D49" s="2"/>
      <c r="E49" s="2"/>
      <c r="F49" s="22"/>
      <c r="G49" s="22"/>
      <c r="H49" s="22" t="s">
        <v>33</v>
      </c>
      <c r="I49" s="65" t="s">
        <v>1014</v>
      </c>
      <c r="J49" s="4">
        <v>89</v>
      </c>
      <c r="K49" s="4"/>
      <c r="L49" s="4">
        <v>162</v>
      </c>
      <c r="M49" s="4">
        <v>4</v>
      </c>
      <c r="N49" s="4"/>
      <c r="O49" s="4"/>
      <c r="P49" s="4" t="s">
        <v>0</v>
      </c>
      <c r="Q49" s="4"/>
      <c r="R49" s="4">
        <v>20</v>
      </c>
      <c r="S49" s="4"/>
      <c r="T49" s="4"/>
      <c r="U49" s="4"/>
      <c r="V49" s="4"/>
      <c r="W49" s="4"/>
      <c r="X49" s="4"/>
      <c r="Y49" s="4"/>
      <c r="Z49" s="4"/>
      <c r="AA49" s="4"/>
      <c r="AB49" s="4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</row>
    <row r="50" spans="1:50" ht="34" x14ac:dyDescent="0.2">
      <c r="A50" s="24" t="s">
        <v>44</v>
      </c>
      <c r="B50" s="24" t="s">
        <v>45</v>
      </c>
      <c r="H50" s="2" t="s">
        <v>33</v>
      </c>
      <c r="I50" s="243" t="s">
        <v>1004</v>
      </c>
      <c r="J50" s="3">
        <v>93</v>
      </c>
      <c r="P50" s="4">
        <f>AN50</f>
        <v>0</v>
      </c>
      <c r="AI50" s="23"/>
      <c r="AN50" s="23"/>
    </row>
    <row r="51" spans="1:50" ht="34" x14ac:dyDescent="0.2">
      <c r="A51" s="24" t="s">
        <v>44</v>
      </c>
      <c r="B51" s="24" t="s">
        <v>45</v>
      </c>
      <c r="H51" s="2" t="s">
        <v>33</v>
      </c>
      <c r="I51" s="243" t="s">
        <v>1004</v>
      </c>
      <c r="P51" s="4" t="s">
        <v>0</v>
      </c>
    </row>
    <row r="52" spans="1:50" ht="34" x14ac:dyDescent="0.2">
      <c r="A52" s="24" t="s">
        <v>44</v>
      </c>
      <c r="B52" s="24" t="s">
        <v>45</v>
      </c>
      <c r="H52" s="2" t="s">
        <v>33</v>
      </c>
      <c r="I52" s="243" t="s">
        <v>1004</v>
      </c>
      <c r="J52" s="3">
        <v>89</v>
      </c>
      <c r="L52" s="3">
        <v>162</v>
      </c>
      <c r="P52" s="4" t="s">
        <v>0</v>
      </c>
      <c r="R52" s="3">
        <v>20</v>
      </c>
    </row>
    <row r="53" spans="1:50" s="71" customFormat="1" x14ac:dyDescent="0.2">
      <c r="A53" s="70" t="s">
        <v>44</v>
      </c>
      <c r="B53" s="70" t="s">
        <v>45</v>
      </c>
      <c r="C53" s="71" t="s">
        <v>47</v>
      </c>
      <c r="D53" s="71" t="s">
        <v>31</v>
      </c>
      <c r="E53" s="71" t="s">
        <v>46</v>
      </c>
      <c r="F53" s="71" t="s">
        <v>782</v>
      </c>
      <c r="H53" s="71" t="s">
        <v>33</v>
      </c>
      <c r="I53" s="87"/>
      <c r="J53" s="72">
        <f>AVERAGEIF(J49:J52, "&lt;&gt;0")</f>
        <v>90.333333333333329</v>
      </c>
      <c r="K53" s="72"/>
      <c r="L53" s="72">
        <f>AVERAGEIF(L49:L52, "&lt;&gt;0")</f>
        <v>162</v>
      </c>
      <c r="M53" s="72">
        <f>AVERAGEIF(M49:M52, "&lt;&gt;0")</f>
        <v>4</v>
      </c>
      <c r="N53" s="72"/>
      <c r="O53" s="72"/>
      <c r="P53" s="72">
        <f>AVERAGE(P49:P52)</f>
        <v>0</v>
      </c>
      <c r="Q53" s="72"/>
      <c r="R53" s="72">
        <f>AVERAGEIF(R49:R52, "&lt;&gt;0")</f>
        <v>20</v>
      </c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</row>
    <row r="54" spans="1:50" ht="34" x14ac:dyDescent="0.2">
      <c r="A54" s="24" t="s">
        <v>48</v>
      </c>
      <c r="B54" s="24" t="s">
        <v>49</v>
      </c>
      <c r="H54" s="2" t="s">
        <v>33</v>
      </c>
      <c r="I54" s="243" t="s">
        <v>1015</v>
      </c>
      <c r="P54" s="4">
        <f>AN54</f>
        <v>0</v>
      </c>
      <c r="AE54" s="23"/>
      <c r="AN54" s="23"/>
    </row>
    <row r="55" spans="1:50" ht="34" x14ac:dyDescent="0.2">
      <c r="A55" s="24" t="s">
        <v>48</v>
      </c>
      <c r="B55" s="24" t="s">
        <v>49</v>
      </c>
      <c r="H55" s="2" t="s">
        <v>33</v>
      </c>
      <c r="I55" s="243" t="s">
        <v>1015</v>
      </c>
      <c r="J55" s="3">
        <v>78.3</v>
      </c>
      <c r="K55" s="3">
        <v>2.5</v>
      </c>
      <c r="L55" s="3">
        <v>313</v>
      </c>
      <c r="M55" s="3">
        <v>2.6</v>
      </c>
      <c r="N55" s="3">
        <v>26</v>
      </c>
      <c r="O55" s="3">
        <v>0.8</v>
      </c>
      <c r="P55" s="4" t="s">
        <v>0</v>
      </c>
      <c r="R55" s="3">
        <v>52</v>
      </c>
      <c r="S55" s="3">
        <v>3.5</v>
      </c>
    </row>
    <row r="56" spans="1:50" ht="34" x14ac:dyDescent="0.2">
      <c r="A56" s="24" t="s">
        <v>48</v>
      </c>
      <c r="B56" s="24" t="s">
        <v>49</v>
      </c>
      <c r="H56" s="2" t="s">
        <v>33</v>
      </c>
      <c r="I56" s="243" t="s">
        <v>1005</v>
      </c>
      <c r="J56" s="3">
        <v>77</v>
      </c>
      <c r="K56" s="3">
        <v>2.8</v>
      </c>
      <c r="L56" s="3">
        <v>402</v>
      </c>
      <c r="M56" s="3">
        <v>1</v>
      </c>
      <c r="P56" s="4" t="s">
        <v>0</v>
      </c>
      <c r="R56" s="3">
        <v>52</v>
      </c>
    </row>
    <row r="57" spans="1:50" ht="34" x14ac:dyDescent="0.2">
      <c r="A57" s="24" t="s">
        <v>48</v>
      </c>
      <c r="B57" s="24" t="s">
        <v>49</v>
      </c>
      <c r="H57" s="2" t="s">
        <v>33</v>
      </c>
      <c r="I57" s="243" t="s">
        <v>1009</v>
      </c>
      <c r="K57" s="3">
        <v>1.43</v>
      </c>
      <c r="L57" s="3">
        <v>247</v>
      </c>
      <c r="M57" s="3">
        <v>2.2999999999999998</v>
      </c>
      <c r="O57" s="3">
        <v>1.1100000000000001</v>
      </c>
      <c r="P57" s="4" t="s">
        <v>0</v>
      </c>
      <c r="Q57" s="3">
        <v>12</v>
      </c>
      <c r="R57" s="3">
        <v>80</v>
      </c>
      <c r="S57" s="3">
        <v>3.7</v>
      </c>
    </row>
    <row r="58" spans="1:50" ht="34" x14ac:dyDescent="0.2">
      <c r="A58" s="24" t="s">
        <v>48</v>
      </c>
      <c r="B58" s="24" t="s">
        <v>49</v>
      </c>
      <c r="H58" s="2" t="s">
        <v>33</v>
      </c>
      <c r="I58" s="243" t="s">
        <v>1009</v>
      </c>
      <c r="K58" s="3">
        <v>2.39</v>
      </c>
      <c r="L58" s="3">
        <v>406</v>
      </c>
      <c r="M58" s="3">
        <v>2.02</v>
      </c>
      <c r="O58" s="3">
        <v>0.66</v>
      </c>
      <c r="P58" s="4" t="s">
        <v>0</v>
      </c>
      <c r="Q58" s="3">
        <v>34</v>
      </c>
      <c r="R58" s="3">
        <v>28</v>
      </c>
      <c r="S58" s="3">
        <v>7.38</v>
      </c>
    </row>
    <row r="59" spans="1:50" ht="34" x14ac:dyDescent="0.2">
      <c r="A59" s="24" t="s">
        <v>48</v>
      </c>
      <c r="B59" s="24" t="s">
        <v>49</v>
      </c>
      <c r="H59" s="2" t="s">
        <v>33</v>
      </c>
      <c r="I59" s="243" t="s">
        <v>1009</v>
      </c>
      <c r="K59" s="3">
        <v>1.61</v>
      </c>
      <c r="L59" s="3">
        <v>197</v>
      </c>
      <c r="M59" s="3">
        <v>2.4500000000000002</v>
      </c>
      <c r="P59" s="4" t="s">
        <v>0</v>
      </c>
      <c r="Q59" s="3">
        <v>49</v>
      </c>
      <c r="R59" s="3">
        <v>87</v>
      </c>
      <c r="S59" s="3">
        <v>3.29</v>
      </c>
    </row>
    <row r="60" spans="1:50" ht="34" x14ac:dyDescent="0.2">
      <c r="A60" s="24" t="s">
        <v>48</v>
      </c>
      <c r="B60" s="24" t="s">
        <v>49</v>
      </c>
      <c r="H60" s="2" t="s">
        <v>33</v>
      </c>
      <c r="I60" s="243" t="s">
        <v>1009</v>
      </c>
      <c r="K60" s="3">
        <v>2.12</v>
      </c>
      <c r="L60" s="3">
        <v>232</v>
      </c>
      <c r="M60" s="3">
        <v>1.55</v>
      </c>
      <c r="O60" s="3">
        <v>0.84</v>
      </c>
      <c r="P60" s="4" t="s">
        <v>0</v>
      </c>
      <c r="Q60" s="3">
        <v>52</v>
      </c>
      <c r="R60" s="3">
        <v>65</v>
      </c>
      <c r="S60" s="3">
        <v>3.46</v>
      </c>
    </row>
    <row r="61" spans="1:50" ht="34" x14ac:dyDescent="0.2">
      <c r="A61" s="24" t="s">
        <v>48</v>
      </c>
      <c r="B61" s="24" t="s">
        <v>49</v>
      </c>
      <c r="H61" s="2" t="s">
        <v>33</v>
      </c>
      <c r="I61" s="243" t="s">
        <v>1009</v>
      </c>
      <c r="K61" s="3">
        <v>1.94</v>
      </c>
      <c r="L61" s="3">
        <v>355</v>
      </c>
      <c r="M61" s="3">
        <v>1.4</v>
      </c>
      <c r="P61" s="4" t="s">
        <v>0</v>
      </c>
      <c r="R61" s="3">
        <v>99</v>
      </c>
    </row>
    <row r="62" spans="1:50" ht="34" x14ac:dyDescent="0.2">
      <c r="A62" s="24" t="s">
        <v>48</v>
      </c>
      <c r="B62" s="24" t="s">
        <v>49</v>
      </c>
      <c r="H62" s="2" t="s">
        <v>33</v>
      </c>
      <c r="I62" s="243" t="s">
        <v>1009</v>
      </c>
      <c r="K62" s="3">
        <v>1.1599999999999999</v>
      </c>
      <c r="L62" s="3">
        <v>227</v>
      </c>
      <c r="M62" s="3">
        <v>1.35</v>
      </c>
      <c r="P62" s="4" t="s">
        <v>0</v>
      </c>
      <c r="R62" s="3">
        <v>29</v>
      </c>
      <c r="S62" s="3">
        <v>2.75</v>
      </c>
    </row>
    <row r="63" spans="1:50" ht="34" x14ac:dyDescent="0.2">
      <c r="A63" s="24" t="s">
        <v>48</v>
      </c>
      <c r="B63" s="24" t="s">
        <v>49</v>
      </c>
      <c r="H63" s="2" t="s">
        <v>33</v>
      </c>
      <c r="I63" s="243" t="s">
        <v>1009</v>
      </c>
      <c r="P63" s="4" t="s">
        <v>0</v>
      </c>
    </row>
    <row r="64" spans="1:50" ht="34" x14ac:dyDescent="0.2">
      <c r="A64" s="24" t="s">
        <v>48</v>
      </c>
      <c r="B64" s="24" t="s">
        <v>49</v>
      </c>
      <c r="H64" s="2" t="s">
        <v>33</v>
      </c>
      <c r="I64" s="243" t="s">
        <v>1009</v>
      </c>
      <c r="P64" s="4" t="s">
        <v>0</v>
      </c>
    </row>
    <row r="65" spans="1:50" ht="34" x14ac:dyDescent="0.2">
      <c r="A65" s="24" t="s">
        <v>48</v>
      </c>
      <c r="B65" s="24" t="s">
        <v>49</v>
      </c>
      <c r="H65" s="2" t="s">
        <v>33</v>
      </c>
      <c r="I65" s="243" t="s">
        <v>1009</v>
      </c>
      <c r="P65" s="4" t="s">
        <v>0</v>
      </c>
    </row>
    <row r="66" spans="1:50" ht="34" x14ac:dyDescent="0.2">
      <c r="A66" s="24" t="s">
        <v>48</v>
      </c>
      <c r="B66" s="24" t="s">
        <v>49</v>
      </c>
      <c r="H66" s="2" t="s">
        <v>33</v>
      </c>
      <c r="I66" s="243" t="s">
        <v>1009</v>
      </c>
      <c r="P66" s="4" t="s">
        <v>0</v>
      </c>
    </row>
    <row r="67" spans="1:50" ht="34" x14ac:dyDescent="0.2">
      <c r="A67" s="24" t="s">
        <v>48</v>
      </c>
      <c r="B67" s="24" t="s">
        <v>49</v>
      </c>
      <c r="H67" s="2" t="s">
        <v>33</v>
      </c>
      <c r="I67" s="243" t="s">
        <v>1009</v>
      </c>
      <c r="P67" s="4" t="s">
        <v>0</v>
      </c>
    </row>
    <row r="68" spans="1:50" ht="34" x14ac:dyDescent="0.2">
      <c r="A68" s="24" t="s">
        <v>48</v>
      </c>
      <c r="B68" s="24" t="s">
        <v>49</v>
      </c>
      <c r="H68" s="2" t="s">
        <v>33</v>
      </c>
      <c r="I68" s="243" t="s">
        <v>1009</v>
      </c>
      <c r="P68" s="4" t="s">
        <v>0</v>
      </c>
    </row>
    <row r="69" spans="1:50" s="71" customFormat="1" x14ac:dyDescent="0.2">
      <c r="A69" s="77" t="s">
        <v>48</v>
      </c>
      <c r="B69" s="77" t="s">
        <v>49</v>
      </c>
      <c r="C69" s="78" t="s">
        <v>50</v>
      </c>
      <c r="D69" s="71" t="s">
        <v>31</v>
      </c>
      <c r="E69" s="71" t="s">
        <v>32</v>
      </c>
      <c r="F69" s="71" t="s">
        <v>781</v>
      </c>
      <c r="H69" s="78" t="s">
        <v>33</v>
      </c>
      <c r="I69" s="87"/>
      <c r="J69" s="72">
        <f t="shared" ref="J69" si="4">AVERAGEIF(J54:J68, "&lt;&gt;0")</f>
        <v>77.650000000000006</v>
      </c>
      <c r="K69" s="72">
        <f t="shared" ref="K69:S69" si="5">AVERAGEIF(K54:K68, "&lt;&gt;0")</f>
        <v>1.9937499999999997</v>
      </c>
      <c r="L69" s="72">
        <f t="shared" si="5"/>
        <v>297.375</v>
      </c>
      <c r="M69" s="72">
        <f t="shared" si="5"/>
        <v>1.8337500000000002</v>
      </c>
      <c r="N69" s="72">
        <f t="shared" si="5"/>
        <v>26</v>
      </c>
      <c r="O69" s="72">
        <f t="shared" si="5"/>
        <v>0.85250000000000004</v>
      </c>
      <c r="P69" s="72">
        <f>AVERAGE(P54:P68)</f>
        <v>0</v>
      </c>
      <c r="Q69" s="72">
        <f t="shared" si="5"/>
        <v>36.75</v>
      </c>
      <c r="R69" s="72">
        <f t="shared" si="5"/>
        <v>61.5</v>
      </c>
      <c r="S69" s="72">
        <f t="shared" si="5"/>
        <v>4.0133333333333336</v>
      </c>
      <c r="T69" s="72"/>
      <c r="U69" s="72"/>
      <c r="V69" s="72"/>
      <c r="W69" s="72"/>
      <c r="X69" s="72"/>
      <c r="Y69" s="72"/>
      <c r="Z69" s="72"/>
      <c r="AA69" s="72"/>
      <c r="AB69" s="72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</row>
    <row r="70" spans="1:50" ht="15" customHeight="1" x14ac:dyDescent="0.2">
      <c r="A70" s="24" t="s">
        <v>756</v>
      </c>
      <c r="B70" s="24" t="s">
        <v>757</v>
      </c>
      <c r="H70" s="2" t="s">
        <v>105</v>
      </c>
      <c r="I70" s="243" t="s">
        <v>1016</v>
      </c>
      <c r="J70" s="3">
        <v>82.2</v>
      </c>
      <c r="L70" s="3">
        <v>132</v>
      </c>
      <c r="M70" s="3">
        <v>2.9</v>
      </c>
      <c r="N70" s="3">
        <v>35</v>
      </c>
      <c r="O70" s="3">
        <v>1</v>
      </c>
      <c r="P70" s="4" t="s">
        <v>0</v>
      </c>
      <c r="R70" s="3">
        <v>142</v>
      </c>
    </row>
    <row r="71" spans="1:50" s="71" customFormat="1" ht="15" customHeight="1" x14ac:dyDescent="0.2">
      <c r="A71" s="70" t="s">
        <v>756</v>
      </c>
      <c r="B71" s="70" t="s">
        <v>757</v>
      </c>
      <c r="C71" s="71" t="s">
        <v>758</v>
      </c>
      <c r="D71" s="71" t="s">
        <v>31</v>
      </c>
      <c r="E71" s="71" t="s">
        <v>46</v>
      </c>
      <c r="F71" s="71" t="s">
        <v>782</v>
      </c>
      <c r="H71" s="71" t="s">
        <v>105</v>
      </c>
      <c r="I71" s="87"/>
      <c r="J71" s="72">
        <f>J70</f>
        <v>82.2</v>
      </c>
      <c r="K71" s="72"/>
      <c r="L71" s="72">
        <f>L70</f>
        <v>132</v>
      </c>
      <c r="M71" s="72">
        <f>M70</f>
        <v>2.9</v>
      </c>
      <c r="N71" s="72">
        <f>N70</f>
        <v>35</v>
      </c>
      <c r="O71" s="72">
        <f>O70</f>
        <v>1</v>
      </c>
      <c r="P71" s="72" t="str">
        <f>P70</f>
        <v xml:space="preserve"> </v>
      </c>
      <c r="Q71" s="72"/>
      <c r="R71" s="72">
        <f>R70</f>
        <v>142</v>
      </c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</row>
    <row r="72" spans="1:50" ht="34" x14ac:dyDescent="0.2">
      <c r="A72" s="25" t="s">
        <v>51</v>
      </c>
      <c r="B72" s="25" t="s">
        <v>52</v>
      </c>
      <c r="C72" s="26"/>
      <c r="F72" s="22"/>
      <c r="G72" s="22"/>
      <c r="H72" s="26" t="s">
        <v>33</v>
      </c>
      <c r="I72" s="65" t="s">
        <v>1017</v>
      </c>
      <c r="J72" s="4">
        <v>78.3</v>
      </c>
      <c r="K72" s="4">
        <v>4.2300000000000004</v>
      </c>
      <c r="L72" s="4">
        <v>75.599999999999994</v>
      </c>
      <c r="M72" s="4">
        <v>0.54</v>
      </c>
      <c r="N72" s="4">
        <v>17.100000000000001</v>
      </c>
      <c r="O72" s="4">
        <f>752*0.001</f>
        <v>0.752</v>
      </c>
      <c r="P72" s="4" t="s">
        <v>0</v>
      </c>
      <c r="Q72" s="4">
        <v>145</v>
      </c>
      <c r="R72" s="4">
        <v>6.69</v>
      </c>
      <c r="S72" s="4">
        <v>0.05</v>
      </c>
      <c r="T72" s="4"/>
      <c r="U72" s="4"/>
      <c r="V72" s="4"/>
      <c r="W72" s="4"/>
      <c r="X72" s="4"/>
      <c r="Y72" s="4"/>
      <c r="Z72" s="4"/>
      <c r="AA72" s="4"/>
      <c r="AB72" s="4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</row>
    <row r="73" spans="1:50" ht="34" x14ac:dyDescent="0.2">
      <c r="A73" s="24" t="s">
        <v>51</v>
      </c>
      <c r="B73" s="24" t="s">
        <v>52</v>
      </c>
      <c r="H73" s="26" t="s">
        <v>33</v>
      </c>
      <c r="I73" s="243" t="s">
        <v>1004</v>
      </c>
      <c r="P73" s="4" t="s">
        <v>0</v>
      </c>
    </row>
    <row r="74" spans="1:50" ht="34" x14ac:dyDescent="0.2">
      <c r="A74" s="24" t="s">
        <v>51</v>
      </c>
      <c r="B74" s="24" t="s">
        <v>53</v>
      </c>
      <c r="H74" s="26" t="s">
        <v>33</v>
      </c>
      <c r="I74" s="243" t="s">
        <v>1004</v>
      </c>
      <c r="J74" s="3">
        <v>90</v>
      </c>
      <c r="L74" s="3">
        <v>60</v>
      </c>
      <c r="M74" s="3">
        <v>0.8</v>
      </c>
      <c r="P74" s="4" t="s">
        <v>0</v>
      </c>
      <c r="R74" s="3">
        <v>0.03</v>
      </c>
    </row>
    <row r="75" spans="1:50" ht="17" x14ac:dyDescent="0.2">
      <c r="A75" s="31" t="s">
        <v>51</v>
      </c>
      <c r="B75" s="31" t="s">
        <v>52</v>
      </c>
      <c r="C75" s="1"/>
      <c r="H75" s="26" t="s">
        <v>33</v>
      </c>
      <c r="I75" s="243" t="s">
        <v>1006</v>
      </c>
      <c r="J75" s="3">
        <v>89</v>
      </c>
      <c r="K75" s="3">
        <v>0.99639999999999984</v>
      </c>
      <c r="L75" s="3">
        <v>58.003199999999993</v>
      </c>
      <c r="M75" s="3">
        <v>2.7029999999999994</v>
      </c>
      <c r="P75" s="4">
        <f>AN75</f>
        <v>0</v>
      </c>
      <c r="R75" s="3">
        <v>32.00139999999999</v>
      </c>
      <c r="AE75" s="23"/>
      <c r="AN75" s="23"/>
    </row>
    <row r="76" spans="1:50" ht="17" x14ac:dyDescent="0.2">
      <c r="A76" s="24" t="s">
        <v>51</v>
      </c>
      <c r="B76" s="24" t="s">
        <v>52</v>
      </c>
      <c r="H76" s="26" t="s">
        <v>33</v>
      </c>
      <c r="I76" s="243" t="s">
        <v>1006</v>
      </c>
      <c r="P76" s="4" t="s">
        <v>0</v>
      </c>
    </row>
    <row r="77" spans="1:50" ht="17" x14ac:dyDescent="0.2">
      <c r="A77" s="24" t="s">
        <v>51</v>
      </c>
      <c r="B77" s="24" t="s">
        <v>52</v>
      </c>
      <c r="H77" s="26" t="s">
        <v>33</v>
      </c>
      <c r="I77" s="243" t="s">
        <v>1006</v>
      </c>
      <c r="P77" s="4" t="s">
        <v>0</v>
      </c>
    </row>
    <row r="78" spans="1:50" ht="17" x14ac:dyDescent="0.2">
      <c r="A78" s="31" t="s">
        <v>51</v>
      </c>
      <c r="B78" s="31" t="s">
        <v>52</v>
      </c>
      <c r="C78" s="1"/>
      <c r="H78" s="26" t="s">
        <v>33</v>
      </c>
      <c r="I78" s="243" t="s">
        <v>1006</v>
      </c>
      <c r="J78" s="3">
        <v>85</v>
      </c>
      <c r="K78" s="3">
        <v>1.2994000000000001</v>
      </c>
      <c r="L78" s="3">
        <v>52.005200000000002</v>
      </c>
      <c r="M78" s="3">
        <v>1.0950000000000002</v>
      </c>
      <c r="P78" s="4">
        <f>AN78</f>
        <v>0</v>
      </c>
      <c r="R78" s="3">
        <v>16.994400000000002</v>
      </c>
      <c r="AE78" s="23"/>
      <c r="AN78" s="23"/>
    </row>
    <row r="79" spans="1:50" ht="17" x14ac:dyDescent="0.2">
      <c r="A79" s="24" t="s">
        <v>51</v>
      </c>
      <c r="B79" s="24" t="s">
        <v>52</v>
      </c>
      <c r="C79" s="32" t="s">
        <v>0</v>
      </c>
      <c r="H79" s="26" t="s">
        <v>33</v>
      </c>
      <c r="I79" s="243" t="s">
        <v>1007</v>
      </c>
      <c r="J79" s="3">
        <v>83</v>
      </c>
      <c r="K79" s="3">
        <v>1.8</v>
      </c>
      <c r="L79" s="3">
        <v>59</v>
      </c>
      <c r="M79" s="3">
        <v>2.1</v>
      </c>
      <c r="N79" s="3">
        <v>28</v>
      </c>
      <c r="O79" s="3">
        <v>0.12</v>
      </c>
      <c r="P79" s="4" t="s">
        <v>0</v>
      </c>
      <c r="R79" s="3">
        <v>12</v>
      </c>
    </row>
    <row r="80" spans="1:50" ht="17" x14ac:dyDescent="0.2">
      <c r="A80" s="24" t="s">
        <v>51</v>
      </c>
      <c r="B80" s="24" t="s">
        <v>52</v>
      </c>
      <c r="H80" s="26" t="s">
        <v>33</v>
      </c>
      <c r="I80" s="243" t="s">
        <v>1007</v>
      </c>
      <c r="P80" s="4">
        <f t="shared" ref="P80:P81" si="6">AN80</f>
        <v>0</v>
      </c>
      <c r="AI80" s="23"/>
      <c r="AN80" s="23"/>
    </row>
    <row r="81" spans="1:50" s="22" customFormat="1" ht="34" x14ac:dyDescent="0.2">
      <c r="A81" s="24" t="s">
        <v>51</v>
      </c>
      <c r="B81" s="24" t="s">
        <v>52</v>
      </c>
      <c r="C81" s="2"/>
      <c r="D81" s="2"/>
      <c r="E81" s="2"/>
      <c r="F81" s="2"/>
      <c r="G81" s="2"/>
      <c r="H81" s="26" t="s">
        <v>33</v>
      </c>
      <c r="I81" s="243" t="s">
        <v>1010</v>
      </c>
      <c r="J81" s="3">
        <v>83</v>
      </c>
      <c r="K81" s="3">
        <v>1.4</v>
      </c>
      <c r="L81" s="3">
        <v>55</v>
      </c>
      <c r="M81" s="3">
        <v>1.9</v>
      </c>
      <c r="N81" s="3">
        <v>25</v>
      </c>
      <c r="O81" s="3"/>
      <c r="P81" s="4">
        <f t="shared" si="6"/>
        <v>0</v>
      </c>
      <c r="Q81" s="3"/>
      <c r="R81" s="3">
        <v>15</v>
      </c>
      <c r="S81" s="3"/>
      <c r="T81" s="3"/>
      <c r="U81" s="3"/>
      <c r="V81" s="3"/>
      <c r="W81" s="3"/>
      <c r="X81" s="3"/>
      <c r="Y81" s="3"/>
      <c r="Z81" s="3"/>
      <c r="AA81" s="3"/>
      <c r="AB81" s="3"/>
      <c r="AC81" s="5"/>
      <c r="AD81" s="5"/>
      <c r="AE81" s="5"/>
      <c r="AF81" s="5"/>
      <c r="AG81" s="5"/>
      <c r="AH81" s="5"/>
      <c r="AI81" s="23"/>
      <c r="AJ81" s="5"/>
      <c r="AK81" s="5"/>
      <c r="AL81" s="5"/>
      <c r="AM81" s="5"/>
      <c r="AN81" s="23"/>
      <c r="AO81" s="5"/>
      <c r="AP81" s="5"/>
      <c r="AQ81" s="5"/>
      <c r="AR81" s="5"/>
      <c r="AS81" s="5"/>
      <c r="AT81" s="23"/>
      <c r="AU81" s="23"/>
      <c r="AV81" s="23"/>
      <c r="AW81" s="23"/>
      <c r="AX81" s="23"/>
    </row>
    <row r="82" spans="1:50" ht="34" x14ac:dyDescent="0.2">
      <c r="A82" s="24" t="s">
        <v>51</v>
      </c>
      <c r="B82" s="24" t="s">
        <v>52</v>
      </c>
      <c r="H82" s="26" t="s">
        <v>33</v>
      </c>
      <c r="I82" s="245" t="s">
        <v>1010</v>
      </c>
      <c r="P82" s="4" t="s">
        <v>0</v>
      </c>
    </row>
    <row r="83" spans="1:50" s="71" customFormat="1" x14ac:dyDescent="0.2">
      <c r="A83" s="70" t="s">
        <v>51</v>
      </c>
      <c r="B83" s="70" t="s">
        <v>53</v>
      </c>
      <c r="C83" s="71" t="s">
        <v>54</v>
      </c>
      <c r="D83" s="71" t="s">
        <v>25</v>
      </c>
      <c r="E83" s="71" t="s">
        <v>46</v>
      </c>
      <c r="F83" s="71" t="s">
        <v>782</v>
      </c>
      <c r="H83" s="78" t="s">
        <v>33</v>
      </c>
      <c r="I83" s="87"/>
      <c r="J83" s="72">
        <f t="shared" ref="J83" si="7">AVERAGEIF(J72:J82, "&lt;&gt;0")</f>
        <v>84.716666666666669</v>
      </c>
      <c r="K83" s="72">
        <f t="shared" ref="K83:S83" si="8">AVERAGEIF(K72:K82, "&lt;&gt;0")</f>
        <v>1.9451600000000002</v>
      </c>
      <c r="L83" s="72">
        <f t="shared" si="8"/>
        <v>59.934733333333327</v>
      </c>
      <c r="M83" s="72">
        <f t="shared" si="8"/>
        <v>1.5229999999999999</v>
      </c>
      <c r="N83" s="72">
        <f t="shared" si="8"/>
        <v>23.366666666666664</v>
      </c>
      <c r="O83" s="72">
        <f t="shared" si="8"/>
        <v>0.436</v>
      </c>
      <c r="P83" s="72">
        <f>AVERAGE(P72:P82)</f>
        <v>0</v>
      </c>
      <c r="Q83" s="72">
        <f t="shared" si="8"/>
        <v>145</v>
      </c>
      <c r="R83" s="72">
        <f t="shared" si="8"/>
        <v>13.785966666666665</v>
      </c>
      <c r="S83" s="72">
        <f t="shared" si="8"/>
        <v>0.05</v>
      </c>
      <c r="T83" s="72"/>
      <c r="U83" s="72"/>
      <c r="V83" s="72"/>
      <c r="W83" s="72"/>
      <c r="X83" s="72"/>
      <c r="Y83" s="72"/>
      <c r="Z83" s="72"/>
      <c r="AA83" s="72"/>
      <c r="AB83" s="72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</row>
    <row r="84" spans="1:50" s="22" customFormat="1" ht="15" customHeight="1" x14ac:dyDescent="0.2">
      <c r="A84" s="21" t="s">
        <v>59</v>
      </c>
      <c r="B84" s="21" t="s">
        <v>52</v>
      </c>
      <c r="C84" s="22" t="s">
        <v>0</v>
      </c>
      <c r="D84" s="2"/>
      <c r="E84" s="2"/>
      <c r="H84" s="22" t="s">
        <v>33</v>
      </c>
      <c r="I84" s="65" t="s">
        <v>1018</v>
      </c>
      <c r="J84" s="4">
        <v>82.6</v>
      </c>
      <c r="K84" s="4">
        <v>1.4</v>
      </c>
      <c r="L84" s="4">
        <v>117</v>
      </c>
      <c r="M84" s="4"/>
      <c r="N84" s="4">
        <v>36</v>
      </c>
      <c r="O84" s="4"/>
      <c r="P84" s="4" t="s">
        <v>0</v>
      </c>
      <c r="Q84" s="4"/>
      <c r="R84" s="4">
        <v>18</v>
      </c>
      <c r="S84" s="4"/>
      <c r="T84" s="4"/>
      <c r="U84" s="4"/>
      <c r="V84" s="4"/>
      <c r="W84" s="4"/>
      <c r="X84" s="4"/>
      <c r="Y84" s="4"/>
      <c r="Z84" s="4"/>
      <c r="AA84" s="4"/>
      <c r="AB84" s="4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</row>
    <row r="85" spans="1:50" s="71" customFormat="1" ht="15" customHeight="1" x14ac:dyDescent="0.2">
      <c r="A85" s="70" t="s">
        <v>59</v>
      </c>
      <c r="B85" s="70" t="s">
        <v>52</v>
      </c>
      <c r="C85" s="71" t="s">
        <v>718</v>
      </c>
      <c r="D85" s="71" t="s">
        <v>31</v>
      </c>
      <c r="E85" s="71" t="s">
        <v>46</v>
      </c>
      <c r="F85" s="71" t="s">
        <v>782</v>
      </c>
      <c r="H85" s="71" t="s">
        <v>33</v>
      </c>
      <c r="I85" s="87"/>
      <c r="J85" s="72">
        <f>J84</f>
        <v>82.6</v>
      </c>
      <c r="K85" s="72">
        <f>K84</f>
        <v>1.4</v>
      </c>
      <c r="L85" s="72">
        <f>L84</f>
        <v>117</v>
      </c>
      <c r="M85" s="72"/>
      <c r="N85" s="72">
        <f>N84</f>
        <v>36</v>
      </c>
      <c r="O85" s="72"/>
      <c r="P85" s="72"/>
      <c r="Q85" s="72"/>
      <c r="R85" s="72">
        <f>R84</f>
        <v>18</v>
      </c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</row>
    <row r="86" spans="1:50" s="22" customFormat="1" ht="34" x14ac:dyDescent="0.2">
      <c r="A86" s="21" t="s">
        <v>51</v>
      </c>
      <c r="B86" s="21" t="s">
        <v>57</v>
      </c>
      <c r="C86" s="22" t="s">
        <v>0</v>
      </c>
      <c r="D86" s="2"/>
      <c r="E86" s="2"/>
      <c r="H86" s="22" t="s">
        <v>33</v>
      </c>
      <c r="I86" s="65" t="s">
        <v>1019</v>
      </c>
      <c r="J86" s="4"/>
      <c r="K86" s="4"/>
      <c r="L86" s="4">
        <v>91</v>
      </c>
      <c r="M86" s="4">
        <v>3</v>
      </c>
      <c r="N86" s="4"/>
      <c r="O86" s="4"/>
      <c r="P86" s="4">
        <f>AN86</f>
        <v>0</v>
      </c>
      <c r="Q86" s="4"/>
      <c r="R86" s="4">
        <v>39</v>
      </c>
      <c r="S86" s="4"/>
      <c r="T86" s="4"/>
      <c r="U86" s="4"/>
      <c r="V86" s="4"/>
      <c r="W86" s="4"/>
      <c r="X86" s="4"/>
      <c r="Y86" s="4"/>
      <c r="Z86" s="4"/>
      <c r="AA86" s="4"/>
      <c r="AB86" s="4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</row>
    <row r="87" spans="1:50" s="71" customFormat="1" ht="15" customHeight="1" x14ac:dyDescent="0.2">
      <c r="A87" s="70" t="s">
        <v>51</v>
      </c>
      <c r="B87" s="70" t="s">
        <v>57</v>
      </c>
      <c r="C87" s="71" t="s">
        <v>58</v>
      </c>
      <c r="D87" s="71" t="s">
        <v>25</v>
      </c>
      <c r="E87" s="71" t="s">
        <v>46</v>
      </c>
      <c r="F87" s="71" t="s">
        <v>782</v>
      </c>
      <c r="H87" s="71" t="s">
        <v>33</v>
      </c>
      <c r="I87" s="87"/>
      <c r="J87" s="72" t="s">
        <v>0</v>
      </c>
      <c r="K87" s="72"/>
      <c r="L87" s="72">
        <f>AVERAGEIF(L86, "&lt;&gt;0")</f>
        <v>91</v>
      </c>
      <c r="M87" s="72">
        <f>AVERAGEIF(M86, "&lt;&gt;0")</f>
        <v>3</v>
      </c>
      <c r="N87" s="72"/>
      <c r="O87" s="72"/>
      <c r="P87" s="72">
        <f>P86</f>
        <v>0</v>
      </c>
      <c r="Q87" s="72" t="s">
        <v>0</v>
      </c>
      <c r="R87" s="72">
        <f>AVERAGEIF(R86, "&lt;&gt;0")</f>
        <v>39</v>
      </c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</row>
    <row r="88" spans="1:50" ht="34" x14ac:dyDescent="0.2">
      <c r="A88" s="24" t="s">
        <v>51</v>
      </c>
      <c r="B88" s="24" t="s">
        <v>60</v>
      </c>
      <c r="H88" s="33" t="s">
        <v>33</v>
      </c>
      <c r="I88" s="243" t="s">
        <v>1004</v>
      </c>
      <c r="P88" s="4">
        <f>AN88</f>
        <v>0</v>
      </c>
      <c r="AI88" s="23"/>
      <c r="AN88" s="23"/>
    </row>
    <row r="89" spans="1:50" ht="34" x14ac:dyDescent="0.2">
      <c r="A89" s="24" t="s">
        <v>51</v>
      </c>
      <c r="B89" s="24" t="s">
        <v>60</v>
      </c>
      <c r="H89" s="33" t="s">
        <v>33</v>
      </c>
      <c r="I89" s="243" t="s">
        <v>1004</v>
      </c>
      <c r="J89" s="3">
        <v>92</v>
      </c>
      <c r="L89" s="3">
        <v>80</v>
      </c>
      <c r="P89" s="4" t="s">
        <v>0</v>
      </c>
      <c r="R89" s="3">
        <v>33</v>
      </c>
    </row>
    <row r="90" spans="1:50" ht="17" x14ac:dyDescent="0.2">
      <c r="A90" s="34" t="s">
        <v>51</v>
      </c>
      <c r="B90" s="34" t="s">
        <v>60</v>
      </c>
      <c r="C90" s="35" t="s">
        <v>0</v>
      </c>
      <c r="H90" s="33" t="s">
        <v>33</v>
      </c>
      <c r="I90" s="245" t="s">
        <v>1007</v>
      </c>
      <c r="J90" s="36">
        <v>90.5</v>
      </c>
      <c r="K90" s="36">
        <v>2.4</v>
      </c>
      <c r="L90" s="36">
        <v>18</v>
      </c>
      <c r="M90" s="36">
        <v>1.2</v>
      </c>
      <c r="N90" s="36">
        <v>23</v>
      </c>
      <c r="O90" s="3">
        <v>0.5</v>
      </c>
      <c r="P90" s="4">
        <f>AN90</f>
        <v>0</v>
      </c>
      <c r="Q90" s="36">
        <v>16</v>
      </c>
      <c r="R90" s="36">
        <v>27</v>
      </c>
      <c r="T90" s="36"/>
      <c r="U90" s="36"/>
      <c r="V90" s="36"/>
      <c r="W90" s="36"/>
      <c r="X90" s="36"/>
      <c r="Y90" s="36"/>
      <c r="Z90" s="36"/>
      <c r="AA90" s="36"/>
      <c r="AB90" s="36"/>
      <c r="AI90" s="23"/>
      <c r="AN90" s="23"/>
    </row>
    <row r="91" spans="1:50" ht="17" x14ac:dyDescent="0.2">
      <c r="A91" s="24" t="s">
        <v>51</v>
      </c>
      <c r="B91" s="24" t="s">
        <v>60</v>
      </c>
      <c r="H91" s="33" t="s">
        <v>33</v>
      </c>
      <c r="I91" s="245" t="s">
        <v>1007</v>
      </c>
      <c r="P91" s="4" t="s">
        <v>0</v>
      </c>
    </row>
    <row r="92" spans="1:50" ht="34" x14ac:dyDescent="0.2">
      <c r="A92" s="34" t="s">
        <v>51</v>
      </c>
      <c r="B92" s="34" t="s">
        <v>60</v>
      </c>
      <c r="C92" s="33"/>
      <c r="H92" s="33" t="s">
        <v>33</v>
      </c>
      <c r="I92" s="245" t="s">
        <v>1009</v>
      </c>
      <c r="J92" s="36"/>
      <c r="K92" s="36">
        <v>0.81</v>
      </c>
      <c r="L92" s="36">
        <v>130</v>
      </c>
      <c r="M92" s="36">
        <v>3.35</v>
      </c>
      <c r="N92" s="36"/>
      <c r="O92" s="3">
        <v>0.57999999999999996</v>
      </c>
      <c r="P92" s="4" t="s">
        <v>0</v>
      </c>
      <c r="Q92" s="36"/>
      <c r="R92" s="36">
        <v>39</v>
      </c>
      <c r="S92" s="3">
        <v>0.28999999999999998</v>
      </c>
      <c r="T92" s="36"/>
      <c r="U92" s="36"/>
      <c r="V92" s="36"/>
      <c r="W92" s="36"/>
      <c r="X92" s="36"/>
      <c r="Y92" s="36"/>
      <c r="Z92" s="36"/>
      <c r="AA92" s="36"/>
      <c r="AB92" s="36"/>
    </row>
    <row r="93" spans="1:50" ht="34" x14ac:dyDescent="0.2">
      <c r="A93" s="31" t="s">
        <v>51</v>
      </c>
      <c r="B93" s="31" t="s">
        <v>60</v>
      </c>
      <c r="H93" s="33" t="s">
        <v>33</v>
      </c>
      <c r="I93" s="243" t="s">
        <v>1009</v>
      </c>
      <c r="K93" s="3">
        <v>0.78</v>
      </c>
      <c r="L93" s="3">
        <v>66</v>
      </c>
      <c r="M93" s="3">
        <v>1.59</v>
      </c>
      <c r="O93" s="3">
        <v>0.19</v>
      </c>
      <c r="P93" s="4" t="s">
        <v>0</v>
      </c>
      <c r="R93" s="3">
        <v>32</v>
      </c>
      <c r="S93" s="3">
        <v>0.13</v>
      </c>
    </row>
    <row r="94" spans="1:50" ht="34" x14ac:dyDescent="0.2">
      <c r="A94" s="24" t="s">
        <v>51</v>
      </c>
      <c r="B94" s="24" t="s">
        <v>60</v>
      </c>
      <c r="H94" s="33" t="s">
        <v>33</v>
      </c>
      <c r="I94" s="243" t="s">
        <v>1009</v>
      </c>
      <c r="K94" s="3">
        <v>0.81</v>
      </c>
      <c r="L94" s="3">
        <v>45</v>
      </c>
      <c r="M94" s="3">
        <v>0.89</v>
      </c>
      <c r="O94" s="3">
        <v>0.28000000000000003</v>
      </c>
      <c r="P94" s="4" t="s">
        <v>0</v>
      </c>
      <c r="R94" s="3">
        <v>29</v>
      </c>
      <c r="S94" s="3">
        <v>0.28000000000000003</v>
      </c>
    </row>
    <row r="95" spans="1:50" ht="34" x14ac:dyDescent="0.2">
      <c r="A95" s="24" t="s">
        <v>51</v>
      </c>
      <c r="B95" s="24" t="s">
        <v>60</v>
      </c>
      <c r="H95" s="33" t="s">
        <v>33</v>
      </c>
      <c r="I95" s="245" t="s">
        <v>1009</v>
      </c>
      <c r="P95" s="4" t="s">
        <v>0</v>
      </c>
    </row>
    <row r="96" spans="1:50" ht="34" x14ac:dyDescent="0.2">
      <c r="A96" s="24" t="s">
        <v>51</v>
      </c>
      <c r="B96" s="24" t="s">
        <v>60</v>
      </c>
      <c r="H96" s="33" t="s">
        <v>33</v>
      </c>
      <c r="I96" s="245" t="s">
        <v>1009</v>
      </c>
      <c r="P96" s="4" t="s">
        <v>0</v>
      </c>
    </row>
    <row r="97" spans="1:50" ht="34" x14ac:dyDescent="0.2">
      <c r="A97" s="24" t="s">
        <v>51</v>
      </c>
      <c r="B97" s="24" t="s">
        <v>60</v>
      </c>
      <c r="H97" s="33" t="s">
        <v>33</v>
      </c>
      <c r="I97" s="243" t="s">
        <v>1009</v>
      </c>
      <c r="P97" s="4" t="s">
        <v>0</v>
      </c>
    </row>
    <row r="98" spans="1:50" ht="34" x14ac:dyDescent="0.2">
      <c r="A98" s="24" t="s">
        <v>51</v>
      </c>
      <c r="B98" s="24" t="s">
        <v>60</v>
      </c>
      <c r="H98" s="33" t="s">
        <v>33</v>
      </c>
      <c r="I98" s="243" t="s">
        <v>1009</v>
      </c>
      <c r="P98" s="4" t="s">
        <v>0</v>
      </c>
    </row>
    <row r="99" spans="1:50" ht="34" x14ac:dyDescent="0.2">
      <c r="A99" s="31" t="s">
        <v>51</v>
      </c>
      <c r="B99" s="31" t="s">
        <v>60</v>
      </c>
      <c r="H99" s="33" t="s">
        <v>33</v>
      </c>
      <c r="I99" s="243" t="s">
        <v>1009</v>
      </c>
      <c r="K99" s="3">
        <v>0.7</v>
      </c>
      <c r="L99" s="3">
        <v>102</v>
      </c>
      <c r="M99" s="3">
        <v>0.75</v>
      </c>
      <c r="O99" s="3">
        <v>0.16</v>
      </c>
      <c r="P99" s="4" t="s">
        <v>0</v>
      </c>
      <c r="R99" s="3">
        <v>29</v>
      </c>
      <c r="S99" s="3">
        <v>0.2</v>
      </c>
    </row>
    <row r="100" spans="1:50" ht="34" x14ac:dyDescent="0.2">
      <c r="A100" s="24" t="s">
        <v>51</v>
      </c>
      <c r="B100" s="24" t="s">
        <v>60</v>
      </c>
      <c r="H100" s="33" t="s">
        <v>33</v>
      </c>
      <c r="I100" s="243" t="s">
        <v>1010</v>
      </c>
      <c r="J100" s="3">
        <v>90.5</v>
      </c>
      <c r="K100" s="3">
        <v>1</v>
      </c>
      <c r="L100" s="3">
        <v>55</v>
      </c>
      <c r="M100" s="3">
        <v>1</v>
      </c>
      <c r="P100" s="4">
        <f>AN100</f>
        <v>0</v>
      </c>
      <c r="R100" s="3">
        <v>27</v>
      </c>
      <c r="AI100" s="23"/>
      <c r="AN100" s="23"/>
    </row>
    <row r="101" spans="1:50" ht="34" x14ac:dyDescent="0.2">
      <c r="A101" s="24" t="s">
        <v>51</v>
      </c>
      <c r="B101" s="24" t="s">
        <v>60</v>
      </c>
      <c r="H101" s="33" t="s">
        <v>33</v>
      </c>
      <c r="I101" s="243" t="s">
        <v>1010</v>
      </c>
      <c r="P101" s="4" t="s">
        <v>0</v>
      </c>
    </row>
    <row r="102" spans="1:50" s="71" customFormat="1" x14ac:dyDescent="0.2">
      <c r="A102" s="70" t="s">
        <v>51</v>
      </c>
      <c r="B102" s="70" t="s">
        <v>60</v>
      </c>
      <c r="C102" s="71" t="s">
        <v>61</v>
      </c>
      <c r="D102" s="71" t="s">
        <v>25</v>
      </c>
      <c r="E102" s="71" t="s">
        <v>46</v>
      </c>
      <c r="F102" s="71" t="s">
        <v>782</v>
      </c>
      <c r="H102" s="79" t="s">
        <v>33</v>
      </c>
      <c r="I102" s="87"/>
      <c r="J102" s="72">
        <f t="shared" ref="J102" si="9">AVERAGEIF(J88:J101, "&lt;&gt;0")</f>
        <v>91</v>
      </c>
      <c r="K102" s="72">
        <f t="shared" ref="K102:S102" si="10">AVERAGEIF(K88:K101, "&lt;&gt;0")</f>
        <v>1.0833333333333335</v>
      </c>
      <c r="L102" s="72">
        <f t="shared" si="10"/>
        <v>70.857142857142861</v>
      </c>
      <c r="M102" s="72">
        <f t="shared" si="10"/>
        <v>1.4633333333333332</v>
      </c>
      <c r="N102" s="72">
        <f t="shared" si="10"/>
        <v>23</v>
      </c>
      <c r="O102" s="72">
        <f t="shared" si="10"/>
        <v>0.34199999999999997</v>
      </c>
      <c r="P102" s="72">
        <f>AVERAGE(P88:P101)</f>
        <v>0</v>
      </c>
      <c r="Q102" s="72">
        <f t="shared" si="10"/>
        <v>16</v>
      </c>
      <c r="R102" s="72">
        <f t="shared" si="10"/>
        <v>30.857142857142858</v>
      </c>
      <c r="S102" s="72">
        <f t="shared" si="10"/>
        <v>0.22499999999999998</v>
      </c>
      <c r="T102" s="72"/>
      <c r="U102" s="72"/>
      <c r="V102" s="72"/>
      <c r="W102" s="72"/>
      <c r="X102" s="72"/>
      <c r="Y102" s="72"/>
      <c r="Z102" s="72"/>
      <c r="AA102" s="72"/>
      <c r="AB102" s="72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</row>
    <row r="103" spans="1:50" s="30" customFormat="1" ht="15" customHeight="1" x14ac:dyDescent="0.2">
      <c r="A103" s="37" t="s">
        <v>59</v>
      </c>
      <c r="B103" s="37" t="s">
        <v>925</v>
      </c>
      <c r="C103" s="22" t="s">
        <v>0</v>
      </c>
      <c r="D103" s="2"/>
      <c r="E103" s="2"/>
      <c r="F103" s="38" t="s">
        <v>782</v>
      </c>
      <c r="G103" s="38"/>
      <c r="H103" s="38" t="s">
        <v>33</v>
      </c>
      <c r="I103" s="65" t="s">
        <v>1020</v>
      </c>
      <c r="J103" s="4">
        <v>39.9</v>
      </c>
      <c r="K103" s="4">
        <v>0.96</v>
      </c>
      <c r="L103" s="4">
        <v>41.7</v>
      </c>
      <c r="M103" s="4">
        <v>2.08</v>
      </c>
      <c r="N103" s="4">
        <v>50.8</v>
      </c>
      <c r="O103" s="4">
        <v>0.49</v>
      </c>
      <c r="P103" s="4"/>
      <c r="Q103" s="4">
        <v>177</v>
      </c>
      <c r="R103" s="4">
        <v>0.71</v>
      </c>
      <c r="S103" s="4">
        <v>0.37</v>
      </c>
      <c r="T103" s="39"/>
      <c r="U103" s="39"/>
      <c r="V103" s="39"/>
      <c r="W103" s="39"/>
      <c r="X103" s="39"/>
      <c r="Y103" s="39"/>
      <c r="Z103" s="39"/>
      <c r="AA103" s="39"/>
      <c r="AB103" s="3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</row>
    <row r="104" spans="1:50" s="71" customFormat="1" ht="15" customHeight="1" x14ac:dyDescent="0.2">
      <c r="A104" s="80" t="s">
        <v>59</v>
      </c>
      <c r="B104" s="80" t="s">
        <v>925</v>
      </c>
      <c r="C104" s="71" t="s">
        <v>926</v>
      </c>
      <c r="D104" s="71" t="s">
        <v>31</v>
      </c>
      <c r="E104" s="81" t="s">
        <v>46</v>
      </c>
      <c r="F104" s="81" t="s">
        <v>782</v>
      </c>
      <c r="G104" s="81"/>
      <c r="H104" s="81" t="s">
        <v>33</v>
      </c>
      <c r="I104" s="87"/>
      <c r="J104" s="72">
        <f t="shared" ref="J104:S104" si="11">J103</f>
        <v>39.9</v>
      </c>
      <c r="K104" s="72">
        <f t="shared" si="11"/>
        <v>0.96</v>
      </c>
      <c r="L104" s="72">
        <f t="shared" si="11"/>
        <v>41.7</v>
      </c>
      <c r="M104" s="72">
        <f t="shared" si="11"/>
        <v>2.08</v>
      </c>
      <c r="N104" s="72">
        <f t="shared" si="11"/>
        <v>50.8</v>
      </c>
      <c r="O104" s="72">
        <f t="shared" si="11"/>
        <v>0.49</v>
      </c>
      <c r="P104" s="72">
        <f t="shared" si="11"/>
        <v>0</v>
      </c>
      <c r="Q104" s="72">
        <f t="shared" si="11"/>
        <v>177</v>
      </c>
      <c r="R104" s="72">
        <f t="shared" si="11"/>
        <v>0.71</v>
      </c>
      <c r="S104" s="72">
        <f t="shared" si="11"/>
        <v>0.37</v>
      </c>
      <c r="T104" s="72"/>
      <c r="U104" s="72"/>
      <c r="V104" s="72"/>
      <c r="W104" s="72"/>
      <c r="X104" s="72"/>
      <c r="Y104" s="72"/>
      <c r="Z104" s="72"/>
      <c r="AA104" s="72"/>
      <c r="AB104" s="72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</row>
    <row r="105" spans="1:50" ht="34" x14ac:dyDescent="0.2">
      <c r="A105" s="34" t="s">
        <v>51</v>
      </c>
      <c r="B105" s="34" t="s">
        <v>62</v>
      </c>
      <c r="C105" s="33"/>
      <c r="H105" s="2" t="s">
        <v>33</v>
      </c>
      <c r="I105" s="243" t="s">
        <v>1004</v>
      </c>
      <c r="J105" s="36"/>
      <c r="K105" s="36"/>
      <c r="L105" s="36"/>
      <c r="P105" s="4" t="s">
        <v>0</v>
      </c>
      <c r="R105" s="36"/>
      <c r="T105" s="36"/>
      <c r="U105" s="36"/>
      <c r="V105" s="36"/>
      <c r="Z105" s="36"/>
      <c r="AA105" s="36"/>
      <c r="AB105" s="36"/>
    </row>
    <row r="106" spans="1:50" ht="34" x14ac:dyDescent="0.2">
      <c r="A106" s="24" t="s">
        <v>51</v>
      </c>
      <c r="B106" s="24" t="s">
        <v>62</v>
      </c>
      <c r="H106" s="2" t="s">
        <v>33</v>
      </c>
      <c r="I106" s="243" t="s">
        <v>1004</v>
      </c>
      <c r="J106" s="3">
        <v>93</v>
      </c>
      <c r="K106" s="3">
        <v>0.9</v>
      </c>
      <c r="P106" s="4" t="s">
        <v>0</v>
      </c>
      <c r="R106" s="3">
        <v>25</v>
      </c>
    </row>
    <row r="107" spans="1:50" ht="34" x14ac:dyDescent="0.2">
      <c r="A107" s="31" t="s">
        <v>51</v>
      </c>
      <c r="B107" s="31" t="s">
        <v>62</v>
      </c>
      <c r="H107" s="2" t="s">
        <v>33</v>
      </c>
      <c r="I107" s="243" t="s">
        <v>1009</v>
      </c>
      <c r="K107" s="3">
        <v>1.03</v>
      </c>
      <c r="L107" s="3">
        <v>84</v>
      </c>
      <c r="M107" s="3">
        <v>2.72</v>
      </c>
      <c r="O107" s="3">
        <v>0.48</v>
      </c>
      <c r="P107" s="4" t="s">
        <v>0</v>
      </c>
      <c r="R107" s="3">
        <v>24</v>
      </c>
    </row>
    <row r="108" spans="1:50" ht="34" x14ac:dyDescent="0.2">
      <c r="A108" s="31" t="s">
        <v>51</v>
      </c>
      <c r="B108" s="31" t="s">
        <v>62</v>
      </c>
      <c r="H108" s="2" t="s">
        <v>33</v>
      </c>
      <c r="I108" s="243" t="s">
        <v>1009</v>
      </c>
      <c r="K108" s="3">
        <v>1.03</v>
      </c>
      <c r="L108" s="3">
        <v>75</v>
      </c>
      <c r="M108" s="3">
        <v>2.06</v>
      </c>
      <c r="O108" s="3">
        <v>0.28999999999999998</v>
      </c>
      <c r="P108" s="4" t="s">
        <v>0</v>
      </c>
      <c r="R108" s="3">
        <v>33</v>
      </c>
    </row>
    <row r="109" spans="1:50" ht="34" x14ac:dyDescent="0.2">
      <c r="A109" s="31" t="s">
        <v>51</v>
      </c>
      <c r="B109" s="31" t="s">
        <v>62</v>
      </c>
      <c r="H109" s="2" t="s">
        <v>33</v>
      </c>
      <c r="I109" s="243" t="s">
        <v>1009</v>
      </c>
      <c r="K109" s="3">
        <v>1.19</v>
      </c>
      <c r="L109" s="3">
        <v>36</v>
      </c>
      <c r="M109" s="3">
        <v>1.35</v>
      </c>
      <c r="O109" s="3">
        <v>0.2</v>
      </c>
      <c r="P109" s="4" t="s">
        <v>0</v>
      </c>
      <c r="R109" s="3">
        <v>21</v>
      </c>
      <c r="S109" s="3">
        <v>2.71</v>
      </c>
    </row>
    <row r="110" spans="1:50" ht="51" x14ac:dyDescent="0.2">
      <c r="A110" s="31" t="s">
        <v>51</v>
      </c>
      <c r="B110" s="31" t="s">
        <v>62</v>
      </c>
      <c r="H110" s="2" t="s">
        <v>33</v>
      </c>
      <c r="I110" s="243" t="s">
        <v>1020</v>
      </c>
      <c r="J110" s="3">
        <v>90.5</v>
      </c>
      <c r="K110" s="3">
        <v>2.0299999999999998</v>
      </c>
      <c r="L110" s="3">
        <v>70.7</v>
      </c>
      <c r="M110" s="3">
        <v>1.33</v>
      </c>
      <c r="N110" s="3">
        <v>83.8</v>
      </c>
      <c r="O110" s="3">
        <v>0.25</v>
      </c>
      <c r="Q110" s="3">
        <v>96.2</v>
      </c>
      <c r="R110" s="3">
        <v>1.05</v>
      </c>
      <c r="S110" s="3">
        <v>1.82</v>
      </c>
    </row>
    <row r="111" spans="1:50" ht="34" x14ac:dyDescent="0.2">
      <c r="A111" s="31" t="s">
        <v>51</v>
      </c>
      <c r="B111" s="31" t="s">
        <v>62</v>
      </c>
      <c r="H111" s="2" t="s">
        <v>33</v>
      </c>
      <c r="I111" s="243" t="s">
        <v>1009</v>
      </c>
      <c r="K111" s="3">
        <v>0.97</v>
      </c>
      <c r="L111" s="3">
        <v>97.8</v>
      </c>
      <c r="M111" s="3">
        <v>1.1599999999999999</v>
      </c>
      <c r="O111" s="3">
        <v>0.22</v>
      </c>
      <c r="P111" s="4" t="s">
        <v>0</v>
      </c>
      <c r="R111" s="3">
        <v>46</v>
      </c>
      <c r="S111" s="3">
        <v>2.1800000000000002</v>
      </c>
    </row>
    <row r="112" spans="1:50" ht="34" x14ac:dyDescent="0.2">
      <c r="A112" s="34" t="s">
        <v>51</v>
      </c>
      <c r="B112" s="34" t="s">
        <v>62</v>
      </c>
      <c r="C112" s="33"/>
      <c r="H112" s="2" t="s">
        <v>33</v>
      </c>
      <c r="I112" s="245" t="s">
        <v>1009</v>
      </c>
      <c r="J112" s="36"/>
      <c r="K112" s="36">
        <v>1.1000000000000001</v>
      </c>
      <c r="L112" s="36">
        <v>52</v>
      </c>
      <c r="M112" s="3">
        <v>0.6</v>
      </c>
      <c r="O112" s="3">
        <v>0.31</v>
      </c>
      <c r="P112" s="4" t="s">
        <v>0</v>
      </c>
      <c r="R112" s="36">
        <v>16</v>
      </c>
      <c r="S112" s="3">
        <v>1.81</v>
      </c>
      <c r="T112" s="36"/>
      <c r="U112" s="36"/>
      <c r="V112" s="36"/>
      <c r="Z112" s="36"/>
      <c r="AA112" s="36"/>
      <c r="AB112" s="36"/>
    </row>
    <row r="113" spans="1:50" ht="34" x14ac:dyDescent="0.2">
      <c r="A113" s="34" t="s">
        <v>51</v>
      </c>
      <c r="B113" s="34" t="s">
        <v>62</v>
      </c>
      <c r="C113" s="33"/>
      <c r="H113" s="2" t="s">
        <v>33</v>
      </c>
      <c r="I113" s="65" t="s">
        <v>1021</v>
      </c>
      <c r="J113" s="4">
        <v>93.2</v>
      </c>
      <c r="K113" s="4">
        <v>1.2</v>
      </c>
      <c r="L113" s="4">
        <v>25</v>
      </c>
      <c r="M113" s="4">
        <v>1.7</v>
      </c>
      <c r="N113" s="4">
        <v>12</v>
      </c>
      <c r="O113" s="4">
        <v>0.33</v>
      </c>
      <c r="P113" s="4">
        <f>AK113</f>
        <v>0</v>
      </c>
      <c r="Q113" s="4"/>
      <c r="R113" s="4">
        <v>15</v>
      </c>
      <c r="S113" s="4">
        <v>0.34</v>
      </c>
      <c r="T113" s="4"/>
      <c r="U113" s="4"/>
      <c r="V113" s="4"/>
      <c r="W113" s="4"/>
      <c r="X113" s="4"/>
      <c r="Y113" s="4"/>
      <c r="Z113" s="4"/>
      <c r="AA113" s="4"/>
      <c r="AB113" s="4"/>
    </row>
    <row r="114" spans="1:50" ht="34" x14ac:dyDescent="0.2">
      <c r="A114" s="34" t="s">
        <v>51</v>
      </c>
      <c r="B114" s="34" t="s">
        <v>62</v>
      </c>
      <c r="C114" s="33"/>
      <c r="H114" s="2" t="s">
        <v>33</v>
      </c>
      <c r="I114" s="65" t="s">
        <v>1022</v>
      </c>
      <c r="J114" s="4">
        <v>91.4</v>
      </c>
      <c r="K114" s="4">
        <v>2.8</v>
      </c>
      <c r="L114" s="4">
        <v>22</v>
      </c>
      <c r="M114" s="4">
        <v>0.5</v>
      </c>
      <c r="N114" s="4">
        <v>15</v>
      </c>
      <c r="O114" s="4">
        <v>0.3</v>
      </c>
      <c r="P114" s="4" t="s">
        <v>0</v>
      </c>
      <c r="Q114" s="4">
        <v>120</v>
      </c>
      <c r="R114" s="4">
        <v>23</v>
      </c>
      <c r="S114" s="4">
        <v>0.1</v>
      </c>
      <c r="T114" s="4"/>
      <c r="U114" s="4"/>
      <c r="V114" s="4"/>
      <c r="W114" s="4"/>
      <c r="X114" s="4"/>
      <c r="Y114" s="4"/>
      <c r="Z114" s="4"/>
      <c r="AA114" s="4"/>
      <c r="AB114" s="4"/>
    </row>
    <row r="115" spans="1:50" ht="34" x14ac:dyDescent="0.2">
      <c r="A115" s="34" t="s">
        <v>51</v>
      </c>
      <c r="B115" s="34" t="s">
        <v>62</v>
      </c>
      <c r="C115" s="33"/>
      <c r="H115" s="2" t="s">
        <v>33</v>
      </c>
      <c r="I115" s="243" t="s">
        <v>1009</v>
      </c>
      <c r="J115" s="36"/>
      <c r="K115" s="36"/>
      <c r="L115" s="36"/>
      <c r="P115" s="4" t="s">
        <v>0</v>
      </c>
      <c r="R115" s="36"/>
      <c r="T115" s="36"/>
      <c r="U115" s="36"/>
      <c r="V115" s="36"/>
      <c r="Z115" s="36"/>
      <c r="AA115" s="36"/>
      <c r="AB115" s="36"/>
    </row>
    <row r="116" spans="1:50" ht="34" x14ac:dyDescent="0.2">
      <c r="A116" s="34" t="s">
        <v>51</v>
      </c>
      <c r="B116" s="34" t="s">
        <v>62</v>
      </c>
      <c r="C116" s="33"/>
      <c r="H116" s="2" t="s">
        <v>33</v>
      </c>
      <c r="I116" s="245" t="s">
        <v>1009</v>
      </c>
      <c r="J116" s="36"/>
      <c r="K116" s="36"/>
      <c r="L116" s="36"/>
      <c r="P116" s="4" t="s">
        <v>0</v>
      </c>
      <c r="R116" s="36"/>
      <c r="T116" s="36"/>
      <c r="U116" s="36"/>
      <c r="V116" s="36"/>
      <c r="Z116" s="36"/>
      <c r="AA116" s="36"/>
      <c r="AB116" s="36"/>
    </row>
    <row r="117" spans="1:50" ht="34" x14ac:dyDescent="0.2">
      <c r="A117" s="34" t="s">
        <v>51</v>
      </c>
      <c r="B117" s="34" t="s">
        <v>62</v>
      </c>
      <c r="C117" s="33"/>
      <c r="H117" s="2" t="s">
        <v>33</v>
      </c>
      <c r="I117" s="243" t="s">
        <v>1009</v>
      </c>
      <c r="J117" s="36"/>
      <c r="K117" s="36"/>
      <c r="L117" s="36"/>
      <c r="P117" s="4" t="s">
        <v>0</v>
      </c>
      <c r="R117" s="36"/>
      <c r="T117" s="36"/>
      <c r="U117" s="36"/>
      <c r="V117" s="36"/>
      <c r="Z117" s="36"/>
      <c r="AA117" s="36"/>
      <c r="AB117" s="36"/>
    </row>
    <row r="118" spans="1:50" ht="34" x14ac:dyDescent="0.2">
      <c r="A118" s="34" t="s">
        <v>51</v>
      </c>
      <c r="B118" s="34" t="s">
        <v>62</v>
      </c>
      <c r="C118" s="33"/>
      <c r="H118" s="2" t="s">
        <v>33</v>
      </c>
      <c r="I118" s="243" t="s">
        <v>1009</v>
      </c>
      <c r="J118" s="36"/>
      <c r="K118" s="36"/>
      <c r="L118" s="36"/>
      <c r="P118" s="4" t="s">
        <v>0</v>
      </c>
      <c r="R118" s="36"/>
      <c r="T118" s="36"/>
      <c r="U118" s="36"/>
      <c r="V118" s="36"/>
      <c r="Z118" s="36"/>
      <c r="AA118" s="36"/>
      <c r="AB118" s="36"/>
    </row>
    <row r="119" spans="1:50" ht="34" x14ac:dyDescent="0.2">
      <c r="A119" s="34" t="s">
        <v>51</v>
      </c>
      <c r="B119" s="34" t="s">
        <v>62</v>
      </c>
      <c r="C119" s="33"/>
      <c r="H119" s="2" t="s">
        <v>33</v>
      </c>
      <c r="I119" s="243" t="s">
        <v>1009</v>
      </c>
      <c r="J119" s="36"/>
      <c r="K119" s="36"/>
      <c r="L119" s="36"/>
      <c r="P119" s="4" t="s">
        <v>0</v>
      </c>
      <c r="R119" s="36"/>
      <c r="T119" s="36"/>
      <c r="U119" s="36"/>
      <c r="V119" s="36"/>
      <c r="Z119" s="36"/>
      <c r="AA119" s="36"/>
      <c r="AB119" s="36"/>
    </row>
    <row r="120" spans="1:50" ht="34" x14ac:dyDescent="0.2">
      <c r="A120" s="34" t="s">
        <v>51</v>
      </c>
      <c r="B120" s="34" t="s">
        <v>62</v>
      </c>
      <c r="C120" s="33"/>
      <c r="H120" s="2" t="s">
        <v>33</v>
      </c>
      <c r="I120" s="243" t="s">
        <v>1010</v>
      </c>
      <c r="J120" s="36"/>
      <c r="K120" s="36"/>
      <c r="L120" s="36"/>
      <c r="P120" s="4">
        <f>AN120</f>
        <v>0</v>
      </c>
      <c r="R120" s="36"/>
      <c r="T120" s="36"/>
      <c r="U120" s="36"/>
      <c r="V120" s="36"/>
      <c r="Z120" s="36"/>
      <c r="AA120" s="36"/>
      <c r="AB120" s="36"/>
      <c r="AI120" s="23"/>
      <c r="AN120" s="23"/>
    </row>
    <row r="121" spans="1:50" ht="34" x14ac:dyDescent="0.2">
      <c r="A121" s="24" t="s">
        <v>51</v>
      </c>
      <c r="B121" s="24" t="s">
        <v>62</v>
      </c>
      <c r="H121" s="2" t="s">
        <v>33</v>
      </c>
      <c r="I121" s="243" t="s">
        <v>1010</v>
      </c>
      <c r="J121" s="3">
        <v>93.1</v>
      </c>
      <c r="K121" s="3">
        <v>0.9</v>
      </c>
      <c r="L121" s="3">
        <v>50</v>
      </c>
      <c r="M121" s="3">
        <v>0.6</v>
      </c>
      <c r="P121" s="4" t="s">
        <v>0</v>
      </c>
      <c r="R121" s="3">
        <v>25</v>
      </c>
    </row>
    <row r="122" spans="1:50" s="71" customFormat="1" x14ac:dyDescent="0.2">
      <c r="A122" s="70" t="s">
        <v>51</v>
      </c>
      <c r="B122" s="70" t="s">
        <v>62</v>
      </c>
      <c r="C122" s="71" t="s">
        <v>63</v>
      </c>
      <c r="D122" s="71" t="s">
        <v>31</v>
      </c>
      <c r="E122" s="71" t="s">
        <v>46</v>
      </c>
      <c r="F122" s="71" t="s">
        <v>782</v>
      </c>
      <c r="H122" s="71" t="s">
        <v>33</v>
      </c>
      <c r="I122" s="87"/>
      <c r="J122" s="72">
        <f t="shared" ref="J122" si="12">AVERAGEIF(J105:J121, "&lt;&gt;0")</f>
        <v>92.240000000000009</v>
      </c>
      <c r="K122" s="72">
        <f t="shared" ref="K122:S122" si="13">AVERAGEIF(K105:K121, "&lt;&gt;0")</f>
        <v>1.3149999999999999</v>
      </c>
      <c r="L122" s="72">
        <f t="shared" si="13"/>
        <v>56.944444444444443</v>
      </c>
      <c r="M122" s="72">
        <f t="shared" si="13"/>
        <v>1.3355555555555556</v>
      </c>
      <c r="N122" s="72">
        <f t="shared" si="13"/>
        <v>36.93333333333333</v>
      </c>
      <c r="O122" s="72">
        <f t="shared" si="13"/>
        <v>0.29749999999999999</v>
      </c>
      <c r="P122" s="72">
        <f>AVERAGE(P105:P121)</f>
        <v>0</v>
      </c>
      <c r="Q122" s="72">
        <f t="shared" si="13"/>
        <v>108.1</v>
      </c>
      <c r="R122" s="72">
        <f t="shared" si="13"/>
        <v>22.905000000000001</v>
      </c>
      <c r="S122" s="72">
        <f t="shared" si="13"/>
        <v>1.4933333333333334</v>
      </c>
      <c r="T122" s="72"/>
      <c r="U122" s="72"/>
      <c r="V122" s="72"/>
      <c r="W122" s="72"/>
      <c r="X122" s="72"/>
      <c r="Y122" s="72"/>
      <c r="Z122" s="72"/>
      <c r="AA122" s="72"/>
      <c r="AB122" s="72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</row>
    <row r="123" spans="1:50" s="22" customFormat="1" ht="34" x14ac:dyDescent="0.2">
      <c r="A123" s="25" t="s">
        <v>59</v>
      </c>
      <c r="B123" s="25" t="s">
        <v>64</v>
      </c>
      <c r="C123" s="22" t="s">
        <v>0</v>
      </c>
      <c r="D123" s="2"/>
      <c r="E123" s="2"/>
      <c r="H123" s="22" t="s">
        <v>33</v>
      </c>
      <c r="I123" s="65" t="s">
        <v>1023</v>
      </c>
      <c r="J123" s="4"/>
      <c r="K123" s="4"/>
      <c r="L123" s="4"/>
      <c r="M123" s="4"/>
      <c r="N123" s="4"/>
      <c r="O123" s="4"/>
      <c r="P123" s="4" t="s">
        <v>0</v>
      </c>
      <c r="Q123" s="4"/>
      <c r="R123" s="4">
        <v>16.7</v>
      </c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</row>
    <row r="124" spans="1:50" s="71" customFormat="1" ht="15" customHeight="1" x14ac:dyDescent="0.2">
      <c r="A124" s="77" t="s">
        <v>59</v>
      </c>
      <c r="B124" s="77" t="s">
        <v>64</v>
      </c>
      <c r="C124" s="71" t="s">
        <v>65</v>
      </c>
      <c r="D124" s="71" t="s">
        <v>31</v>
      </c>
      <c r="E124" s="71" t="s">
        <v>46</v>
      </c>
      <c r="F124" s="71" t="s">
        <v>782</v>
      </c>
      <c r="H124" s="71" t="s">
        <v>33</v>
      </c>
      <c r="I124" s="87"/>
      <c r="J124" s="72"/>
      <c r="K124" s="72"/>
      <c r="L124" s="72"/>
      <c r="M124" s="72"/>
      <c r="N124" s="72"/>
      <c r="O124" s="72"/>
      <c r="P124" s="72"/>
      <c r="Q124" s="72"/>
      <c r="R124" s="72">
        <f>AVERAGEIF(R123, "&lt;&gt;0")</f>
        <v>16.7</v>
      </c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73"/>
    </row>
    <row r="125" spans="1:50" s="30" customFormat="1" ht="15" customHeight="1" x14ac:dyDescent="0.2">
      <c r="A125" s="25" t="s">
        <v>51</v>
      </c>
      <c r="B125" s="25" t="s">
        <v>62</v>
      </c>
      <c r="C125" s="22" t="s">
        <v>0</v>
      </c>
      <c r="D125" s="2"/>
      <c r="E125" s="2"/>
      <c r="F125" s="22"/>
      <c r="G125" s="22"/>
      <c r="H125" s="22" t="s">
        <v>66</v>
      </c>
      <c r="I125" s="246" t="s">
        <v>1021</v>
      </c>
      <c r="J125" s="39">
        <v>93.2</v>
      </c>
      <c r="K125" s="39">
        <v>1.2</v>
      </c>
      <c r="L125" s="39">
        <v>25</v>
      </c>
      <c r="M125" s="39">
        <v>1.7</v>
      </c>
      <c r="N125" s="39">
        <v>12</v>
      </c>
      <c r="O125" s="39">
        <v>0.33</v>
      </c>
      <c r="P125" s="39">
        <f>AK125</f>
        <v>0</v>
      </c>
      <c r="Q125" s="39"/>
      <c r="R125" s="39">
        <v>15</v>
      </c>
      <c r="S125" s="39">
        <v>0.34</v>
      </c>
      <c r="T125" s="39"/>
      <c r="U125" s="39"/>
      <c r="V125" s="39"/>
      <c r="W125" s="39"/>
      <c r="X125" s="39"/>
      <c r="Y125" s="39"/>
      <c r="Z125" s="39"/>
      <c r="AA125" s="39"/>
      <c r="AB125" s="3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</row>
    <row r="126" spans="1:50" s="22" customFormat="1" ht="15" customHeight="1" x14ac:dyDescent="0.2">
      <c r="A126" s="25" t="s">
        <v>51</v>
      </c>
      <c r="B126" s="25" t="s">
        <v>62</v>
      </c>
      <c r="C126" s="22" t="s">
        <v>0</v>
      </c>
      <c r="D126" s="2"/>
      <c r="E126" s="2"/>
      <c r="H126" s="22" t="s">
        <v>66</v>
      </c>
      <c r="I126" s="65" t="s">
        <v>1022</v>
      </c>
      <c r="J126" s="4">
        <v>91.4</v>
      </c>
      <c r="K126" s="4">
        <v>2.8</v>
      </c>
      <c r="L126" s="4">
        <v>22</v>
      </c>
      <c r="M126" s="4">
        <v>0.5</v>
      </c>
      <c r="N126" s="4">
        <v>15</v>
      </c>
      <c r="O126" s="4">
        <v>0.3</v>
      </c>
      <c r="P126" s="4" t="s">
        <v>0</v>
      </c>
      <c r="Q126" s="4">
        <v>120</v>
      </c>
      <c r="R126" s="4">
        <v>23</v>
      </c>
      <c r="S126" s="4">
        <v>0.1</v>
      </c>
      <c r="T126" s="4"/>
      <c r="U126" s="4"/>
      <c r="V126" s="4"/>
      <c r="W126" s="4"/>
      <c r="X126" s="4"/>
      <c r="Y126" s="4"/>
      <c r="Z126" s="4"/>
      <c r="AA126" s="4"/>
      <c r="AB126" s="4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</row>
    <row r="127" spans="1:50" s="71" customFormat="1" ht="15" customHeight="1" x14ac:dyDescent="0.2">
      <c r="A127" s="77" t="s">
        <v>51</v>
      </c>
      <c r="B127" s="77" t="s">
        <v>62</v>
      </c>
      <c r="C127" s="71" t="s">
        <v>63</v>
      </c>
      <c r="D127" s="71" t="s">
        <v>31</v>
      </c>
      <c r="E127" s="71" t="s">
        <v>46</v>
      </c>
      <c r="F127" s="71" t="s">
        <v>782</v>
      </c>
      <c r="H127" s="71" t="s">
        <v>66</v>
      </c>
      <c r="I127" s="87"/>
      <c r="J127" s="72">
        <f t="shared" ref="J127" si="14">J126</f>
        <v>91.4</v>
      </c>
      <c r="K127" s="72">
        <f t="shared" ref="K127:S127" si="15">AVERAGE(K125:K126)</f>
        <v>2</v>
      </c>
      <c r="L127" s="72">
        <f t="shared" si="15"/>
        <v>23.5</v>
      </c>
      <c r="M127" s="72">
        <f t="shared" si="15"/>
        <v>1.1000000000000001</v>
      </c>
      <c r="N127" s="72">
        <f t="shared" si="15"/>
        <v>13.5</v>
      </c>
      <c r="O127" s="72">
        <f t="shared" si="15"/>
        <v>0.315</v>
      </c>
      <c r="P127" s="72">
        <f t="shared" si="15"/>
        <v>0</v>
      </c>
      <c r="Q127" s="72">
        <f t="shared" si="15"/>
        <v>120</v>
      </c>
      <c r="R127" s="72">
        <f t="shared" si="15"/>
        <v>19</v>
      </c>
      <c r="S127" s="72">
        <f t="shared" si="15"/>
        <v>0.22000000000000003</v>
      </c>
      <c r="T127" s="72"/>
      <c r="U127" s="72"/>
      <c r="V127" s="72"/>
      <c r="W127" s="72"/>
      <c r="X127" s="72"/>
      <c r="Y127" s="72"/>
      <c r="Z127" s="72"/>
      <c r="AA127" s="72"/>
      <c r="AB127" s="72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3"/>
      <c r="AN127" s="73"/>
      <c r="AO127" s="73"/>
      <c r="AP127" s="73"/>
      <c r="AQ127" s="73"/>
      <c r="AR127" s="73"/>
      <c r="AS127" s="73"/>
      <c r="AT127" s="73"/>
      <c r="AU127" s="73"/>
      <c r="AV127" s="73"/>
      <c r="AW127" s="73"/>
      <c r="AX127" s="73"/>
    </row>
    <row r="128" spans="1:50" s="30" customFormat="1" ht="15" customHeight="1" x14ac:dyDescent="0.2">
      <c r="A128" s="25" t="s">
        <v>51</v>
      </c>
      <c r="B128" s="25" t="s">
        <v>62</v>
      </c>
      <c r="C128" s="22" t="s">
        <v>0</v>
      </c>
      <c r="D128" s="2"/>
      <c r="E128" s="2"/>
      <c r="F128" s="22"/>
      <c r="G128" s="22"/>
      <c r="H128" s="22" t="s">
        <v>67</v>
      </c>
      <c r="I128" s="246" t="s">
        <v>1021</v>
      </c>
      <c r="J128" s="39">
        <v>89.4</v>
      </c>
      <c r="K128" s="39">
        <v>1.9</v>
      </c>
      <c r="L128" s="39">
        <v>11</v>
      </c>
      <c r="M128" s="39">
        <v>4.2</v>
      </c>
      <c r="N128" s="39">
        <v>22</v>
      </c>
      <c r="O128" s="39">
        <v>1.34</v>
      </c>
      <c r="P128" s="39">
        <f>AK128</f>
        <v>0</v>
      </c>
      <c r="Q128" s="39"/>
      <c r="R128" s="39">
        <v>1</v>
      </c>
      <c r="S128" s="39">
        <v>0.96</v>
      </c>
      <c r="T128" s="39"/>
      <c r="U128" s="39"/>
      <c r="V128" s="39"/>
      <c r="W128" s="39"/>
      <c r="X128" s="39"/>
      <c r="Y128" s="39"/>
      <c r="Z128" s="39"/>
      <c r="AA128" s="39"/>
      <c r="AB128" s="3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</row>
    <row r="129" spans="1:50" s="22" customFormat="1" ht="15" customHeight="1" x14ac:dyDescent="0.2">
      <c r="A129" s="25" t="s">
        <v>51</v>
      </c>
      <c r="B129" s="25" t="s">
        <v>62</v>
      </c>
      <c r="C129" s="22" t="s">
        <v>0</v>
      </c>
      <c r="D129" s="2"/>
      <c r="E129" s="2"/>
      <c r="H129" s="22" t="s">
        <v>67</v>
      </c>
      <c r="I129" s="65" t="s">
        <v>1022</v>
      </c>
      <c r="J129" s="4">
        <v>94</v>
      </c>
      <c r="K129" s="4">
        <v>2</v>
      </c>
      <c r="L129" s="4">
        <v>15</v>
      </c>
      <c r="M129" s="4">
        <v>0.7</v>
      </c>
      <c r="N129" s="4">
        <v>11</v>
      </c>
      <c r="O129" s="4">
        <v>0.2</v>
      </c>
      <c r="P129" s="4" t="s">
        <v>0</v>
      </c>
      <c r="Q129" s="4">
        <v>76</v>
      </c>
      <c r="R129" s="4">
        <v>15</v>
      </c>
      <c r="S129" s="4">
        <v>0.3</v>
      </c>
      <c r="T129" s="4"/>
      <c r="U129" s="4"/>
      <c r="V129" s="4"/>
      <c r="W129" s="4"/>
      <c r="X129" s="4"/>
      <c r="Y129" s="4"/>
      <c r="Z129" s="4"/>
      <c r="AA129" s="4"/>
      <c r="AB129" s="4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</row>
    <row r="130" spans="1:50" s="71" customFormat="1" ht="15" customHeight="1" x14ac:dyDescent="0.2">
      <c r="A130" s="77" t="s">
        <v>51</v>
      </c>
      <c r="B130" s="77" t="s">
        <v>62</v>
      </c>
      <c r="C130" s="71" t="s">
        <v>63</v>
      </c>
      <c r="D130" s="71" t="s">
        <v>31</v>
      </c>
      <c r="E130" s="71" t="s">
        <v>46</v>
      </c>
      <c r="F130" s="71" t="s">
        <v>782</v>
      </c>
      <c r="H130" s="71" t="s">
        <v>67</v>
      </c>
      <c r="I130" s="87"/>
      <c r="J130" s="72">
        <f t="shared" ref="J130" si="16">J129</f>
        <v>94</v>
      </c>
      <c r="K130" s="72">
        <f t="shared" ref="K130:S130" si="17">AVERAGE(K128:K129)</f>
        <v>1.95</v>
      </c>
      <c r="L130" s="72">
        <f t="shared" si="17"/>
        <v>13</v>
      </c>
      <c r="M130" s="72">
        <f t="shared" si="17"/>
        <v>2.4500000000000002</v>
      </c>
      <c r="N130" s="72">
        <f t="shared" si="17"/>
        <v>16.5</v>
      </c>
      <c r="O130" s="72">
        <f t="shared" si="17"/>
        <v>0.77</v>
      </c>
      <c r="P130" s="72">
        <f t="shared" si="17"/>
        <v>0</v>
      </c>
      <c r="Q130" s="72">
        <f t="shared" si="17"/>
        <v>76</v>
      </c>
      <c r="R130" s="72">
        <f t="shared" si="17"/>
        <v>8</v>
      </c>
      <c r="S130" s="72">
        <f t="shared" si="17"/>
        <v>0.63</v>
      </c>
      <c r="T130" s="72"/>
      <c r="U130" s="72"/>
      <c r="V130" s="72"/>
      <c r="W130" s="72"/>
      <c r="X130" s="72"/>
      <c r="Y130" s="72"/>
      <c r="Z130" s="72"/>
      <c r="AA130" s="72"/>
      <c r="AB130" s="72"/>
      <c r="AC130" s="73"/>
      <c r="AD130" s="73"/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  <c r="AV130" s="73"/>
      <c r="AW130" s="73"/>
      <c r="AX130" s="73"/>
    </row>
    <row r="131" spans="1:50" ht="15" customHeight="1" x14ac:dyDescent="0.2">
      <c r="A131" s="24" t="s">
        <v>59</v>
      </c>
      <c r="B131" s="24" t="s">
        <v>754</v>
      </c>
      <c r="H131" s="2" t="s">
        <v>105</v>
      </c>
      <c r="I131" s="243" t="s">
        <v>1016</v>
      </c>
      <c r="J131" s="3">
        <v>89.4</v>
      </c>
      <c r="K131" s="3">
        <v>2.1800000000000002</v>
      </c>
      <c r="L131" s="3">
        <v>76</v>
      </c>
      <c r="M131" s="3">
        <v>2.9</v>
      </c>
      <c r="N131" s="3">
        <v>22</v>
      </c>
      <c r="O131" s="3">
        <v>0.27</v>
      </c>
      <c r="P131" s="4" t="s">
        <v>0</v>
      </c>
      <c r="R131" s="3">
        <v>150</v>
      </c>
    </row>
    <row r="132" spans="1:50" s="71" customFormat="1" ht="15" customHeight="1" x14ac:dyDescent="0.2">
      <c r="A132" s="70" t="s">
        <v>59</v>
      </c>
      <c r="B132" s="70" t="s">
        <v>754</v>
      </c>
      <c r="C132" s="71" t="s">
        <v>755</v>
      </c>
      <c r="D132" s="71" t="s">
        <v>31</v>
      </c>
      <c r="E132" s="71" t="s">
        <v>46</v>
      </c>
      <c r="F132" s="71" t="s">
        <v>782</v>
      </c>
      <c r="H132" s="71" t="s">
        <v>105</v>
      </c>
      <c r="I132" s="87"/>
      <c r="J132" s="72">
        <f t="shared" ref="J132:O132" si="18">J131</f>
        <v>89.4</v>
      </c>
      <c r="K132" s="72">
        <f t="shared" si="18"/>
        <v>2.1800000000000002</v>
      </c>
      <c r="L132" s="72">
        <f t="shared" si="18"/>
        <v>76</v>
      </c>
      <c r="M132" s="72">
        <f t="shared" si="18"/>
        <v>2.9</v>
      </c>
      <c r="N132" s="72">
        <f t="shared" si="18"/>
        <v>22</v>
      </c>
      <c r="O132" s="72">
        <f t="shared" si="18"/>
        <v>0.27</v>
      </c>
      <c r="P132" s="72"/>
      <c r="Q132" s="72"/>
      <c r="R132" s="72">
        <f>R131</f>
        <v>150</v>
      </c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3"/>
      <c r="AD132" s="73"/>
      <c r="AE132" s="73"/>
      <c r="AF132" s="73"/>
      <c r="AG132" s="73"/>
      <c r="AH132" s="73"/>
      <c r="AI132" s="73"/>
      <c r="AJ132" s="73"/>
      <c r="AK132" s="73"/>
      <c r="AL132" s="73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  <c r="AX132" s="73"/>
    </row>
    <row r="133" spans="1:50" ht="51" x14ac:dyDescent="0.2">
      <c r="A133" s="24" t="s">
        <v>69</v>
      </c>
      <c r="B133" s="24" t="s">
        <v>70</v>
      </c>
      <c r="G133" s="2" t="s">
        <v>181</v>
      </c>
      <c r="H133" s="2" t="s">
        <v>33</v>
      </c>
      <c r="I133" s="243" t="s">
        <v>1024</v>
      </c>
      <c r="J133" s="3">
        <v>77.760000000000005</v>
      </c>
      <c r="K133" s="3">
        <v>6.74</v>
      </c>
      <c r="L133" s="3">
        <v>388</v>
      </c>
      <c r="M133" s="3">
        <v>3.88</v>
      </c>
      <c r="N133" s="3">
        <v>80.900000000000006</v>
      </c>
      <c r="O133" s="3">
        <v>0.99</v>
      </c>
      <c r="P133" s="4" t="s">
        <v>0</v>
      </c>
      <c r="Q133" s="3">
        <v>48.42</v>
      </c>
      <c r="R133" s="3">
        <v>103</v>
      </c>
      <c r="S133" s="3">
        <v>0.54</v>
      </c>
    </row>
    <row r="134" spans="1:50" ht="34" x14ac:dyDescent="0.2">
      <c r="A134" s="24" t="s">
        <v>69</v>
      </c>
      <c r="B134" s="24" t="s">
        <v>70</v>
      </c>
      <c r="H134" s="2" t="s">
        <v>33</v>
      </c>
      <c r="I134" s="243" t="s">
        <v>1005</v>
      </c>
      <c r="J134" s="3">
        <v>80</v>
      </c>
      <c r="K134" s="3">
        <v>2.1</v>
      </c>
      <c r="L134" s="3">
        <v>146</v>
      </c>
      <c r="M134" s="3">
        <v>0.6</v>
      </c>
      <c r="P134" s="4" t="s">
        <v>0</v>
      </c>
    </row>
    <row r="135" spans="1:50" ht="17" x14ac:dyDescent="0.2">
      <c r="A135" s="31" t="s">
        <v>72</v>
      </c>
      <c r="B135" s="31" t="s">
        <v>70</v>
      </c>
      <c r="C135" s="1"/>
      <c r="F135" s="1"/>
      <c r="G135" s="1"/>
      <c r="H135" s="1" t="s">
        <v>33</v>
      </c>
      <c r="I135" s="243" t="s">
        <v>1006</v>
      </c>
      <c r="J135" s="3">
        <v>80</v>
      </c>
      <c r="K135" s="3">
        <v>2.0987999999999998</v>
      </c>
      <c r="L135" s="3">
        <v>146.00519999999997</v>
      </c>
      <c r="M135" s="3" t="s">
        <v>55</v>
      </c>
      <c r="P135" s="4" t="s">
        <v>0</v>
      </c>
      <c r="R135" s="3" t="s">
        <v>55</v>
      </c>
    </row>
    <row r="136" spans="1:50" s="71" customFormat="1" x14ac:dyDescent="0.2">
      <c r="A136" s="77" t="s">
        <v>72</v>
      </c>
      <c r="B136" s="77" t="s">
        <v>70</v>
      </c>
      <c r="C136" s="78" t="s">
        <v>863</v>
      </c>
      <c r="D136" s="71" t="s">
        <v>31</v>
      </c>
      <c r="E136" s="78" t="s">
        <v>46</v>
      </c>
      <c r="F136" s="78" t="s">
        <v>782</v>
      </c>
      <c r="G136" s="78" t="s">
        <v>71</v>
      </c>
      <c r="H136" s="78" t="s">
        <v>33</v>
      </c>
      <c r="I136" s="87"/>
      <c r="J136" s="72">
        <f t="shared" ref="J136" si="19">AVERAGEIF(J133:J135, "&lt;&gt;0")</f>
        <v>79.25333333333333</v>
      </c>
      <c r="K136" s="72">
        <f>AVERAGEIF(K133:K135, "&lt;&gt;0")</f>
        <v>3.646266666666667</v>
      </c>
      <c r="L136" s="72">
        <f>AVERAGEIF(L133:L135, "&lt;&gt;0")</f>
        <v>226.66839999999999</v>
      </c>
      <c r="M136" s="72">
        <f>AVERAGEIF(M133:M135, "&lt;&gt;0")</f>
        <v>2.2399999999999998</v>
      </c>
      <c r="N136" s="72">
        <f>AVERAGEIF(N133:N135, "&lt;&gt;0")</f>
        <v>80.900000000000006</v>
      </c>
      <c r="O136" s="72">
        <f>AVERAGEIF(O133:O135, "&lt;&gt;0")</f>
        <v>0.99</v>
      </c>
      <c r="P136" s="72"/>
      <c r="Q136" s="72">
        <f>AVERAGEIF(Q133:Q135, "&lt;&gt;0")</f>
        <v>48.42</v>
      </c>
      <c r="R136" s="72">
        <f>AVERAGEIF(R133:R135, "&lt;&gt;0")</f>
        <v>103</v>
      </c>
      <c r="S136" s="72">
        <f>AVERAGEIF(S133:S135, "&lt;&gt;0")</f>
        <v>0.54</v>
      </c>
      <c r="T136" s="72"/>
      <c r="U136" s="72"/>
      <c r="V136" s="72"/>
      <c r="W136" s="72"/>
      <c r="X136" s="72"/>
      <c r="Y136" s="72"/>
      <c r="Z136" s="72"/>
      <c r="AA136" s="72"/>
      <c r="AB136" s="72"/>
      <c r="AC136" s="73"/>
      <c r="AD136" s="73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  <c r="AW136" s="73"/>
      <c r="AX136" s="73"/>
    </row>
    <row r="137" spans="1:50" ht="34" x14ac:dyDescent="0.2">
      <c r="A137" s="24" t="s">
        <v>73</v>
      </c>
      <c r="B137" s="24" t="s">
        <v>74</v>
      </c>
      <c r="F137" s="33"/>
      <c r="G137" s="33"/>
      <c r="H137" s="33" t="s">
        <v>33</v>
      </c>
      <c r="I137" s="245" t="s">
        <v>1005</v>
      </c>
      <c r="P137" s="4">
        <f>AN137</f>
        <v>0</v>
      </c>
      <c r="AI137" s="23"/>
      <c r="AN137" s="23"/>
    </row>
    <row r="138" spans="1:50" ht="34" x14ac:dyDescent="0.2">
      <c r="A138" s="34" t="s">
        <v>73</v>
      </c>
      <c r="B138" s="34" t="s">
        <v>74</v>
      </c>
      <c r="C138" s="33"/>
      <c r="F138" s="33"/>
      <c r="G138" s="33"/>
      <c r="H138" s="33" t="s">
        <v>33</v>
      </c>
      <c r="I138" s="245" t="s">
        <v>1005</v>
      </c>
      <c r="J138" s="36">
        <v>84</v>
      </c>
      <c r="K138" s="36">
        <v>1.8</v>
      </c>
      <c r="L138" s="36">
        <v>410</v>
      </c>
      <c r="M138" s="36">
        <v>8.9</v>
      </c>
      <c r="N138" s="36"/>
      <c r="P138" s="4" t="s">
        <v>0</v>
      </c>
      <c r="Q138" s="36">
        <v>85</v>
      </c>
      <c r="R138" s="36">
        <v>64</v>
      </c>
      <c r="T138" s="36"/>
      <c r="U138" s="36"/>
      <c r="V138" s="36"/>
      <c r="W138" s="36"/>
      <c r="X138" s="36"/>
      <c r="Y138" s="36"/>
      <c r="Z138" s="36"/>
      <c r="AA138" s="36"/>
      <c r="AB138" s="36"/>
    </row>
    <row r="139" spans="1:50" ht="34" x14ac:dyDescent="0.2">
      <c r="A139" s="34" t="s">
        <v>73</v>
      </c>
      <c r="B139" s="34" t="s">
        <v>74</v>
      </c>
      <c r="C139" s="33"/>
      <c r="F139" s="33"/>
      <c r="G139" s="33"/>
      <c r="H139" s="33" t="s">
        <v>33</v>
      </c>
      <c r="I139" s="245" t="s">
        <v>1005</v>
      </c>
      <c r="J139" s="36"/>
      <c r="K139" s="36"/>
      <c r="L139" s="36"/>
      <c r="M139" s="36"/>
      <c r="N139" s="36"/>
      <c r="P139" s="4" t="s">
        <v>0</v>
      </c>
      <c r="Q139" s="36"/>
      <c r="R139" s="36"/>
      <c r="T139" s="36"/>
      <c r="U139" s="36"/>
      <c r="V139" s="36"/>
      <c r="W139" s="36"/>
      <c r="X139" s="36"/>
      <c r="Y139" s="36"/>
      <c r="Z139" s="36"/>
      <c r="AA139" s="36"/>
      <c r="AB139" s="36"/>
    </row>
    <row r="140" spans="1:50" ht="34" x14ac:dyDescent="0.2">
      <c r="A140" s="34" t="s">
        <v>73</v>
      </c>
      <c r="B140" s="34" t="s">
        <v>74</v>
      </c>
      <c r="C140" s="33"/>
      <c r="F140" s="33"/>
      <c r="G140" s="33"/>
      <c r="H140" s="33" t="s">
        <v>33</v>
      </c>
      <c r="I140" s="245" t="s">
        <v>1009</v>
      </c>
      <c r="J140" s="36"/>
      <c r="K140" s="36">
        <v>1.17</v>
      </c>
      <c r="L140" s="36">
        <v>305</v>
      </c>
      <c r="M140" s="36">
        <v>3.79</v>
      </c>
      <c r="O140" s="3">
        <v>0.66</v>
      </c>
      <c r="P140" s="4" t="s">
        <v>0</v>
      </c>
      <c r="Q140" s="3">
        <v>52</v>
      </c>
      <c r="R140" s="36">
        <v>36</v>
      </c>
      <c r="S140" s="3">
        <v>1.08</v>
      </c>
      <c r="T140" s="36"/>
      <c r="U140" s="36"/>
      <c r="V140" s="36"/>
      <c r="W140" s="36"/>
      <c r="Z140" s="36"/>
      <c r="AA140" s="36"/>
      <c r="AB140" s="36"/>
    </row>
    <row r="141" spans="1:50" ht="34" x14ac:dyDescent="0.2">
      <c r="A141" s="24" t="s">
        <v>73</v>
      </c>
      <c r="B141" s="24" t="s">
        <v>74</v>
      </c>
      <c r="F141" s="33"/>
      <c r="G141" s="33"/>
      <c r="H141" s="33" t="s">
        <v>33</v>
      </c>
      <c r="I141" s="243" t="s">
        <v>1009</v>
      </c>
      <c r="K141" s="3">
        <v>1.78</v>
      </c>
      <c r="L141" s="3">
        <v>264</v>
      </c>
      <c r="M141" s="3">
        <v>2.66</v>
      </c>
      <c r="O141" s="3">
        <v>2.93</v>
      </c>
      <c r="P141" s="4" t="s">
        <v>0</v>
      </c>
      <c r="Q141" s="3">
        <v>71</v>
      </c>
      <c r="R141" s="3">
        <v>81</v>
      </c>
      <c r="S141" s="3">
        <v>4.28</v>
      </c>
    </row>
    <row r="142" spans="1:50" ht="34" x14ac:dyDescent="0.2">
      <c r="A142" s="24" t="s">
        <v>73</v>
      </c>
      <c r="B142" s="24" t="s">
        <v>74</v>
      </c>
      <c r="F142" s="33"/>
      <c r="G142" s="33"/>
      <c r="H142" s="33" t="s">
        <v>33</v>
      </c>
      <c r="I142" s="245" t="s">
        <v>1009</v>
      </c>
      <c r="P142" s="4" t="s">
        <v>0</v>
      </c>
    </row>
    <row r="143" spans="1:50" ht="34" x14ac:dyDescent="0.2">
      <c r="A143" s="24" t="s">
        <v>73</v>
      </c>
      <c r="B143" s="24" t="s">
        <v>74</v>
      </c>
      <c r="F143" s="33"/>
      <c r="G143" s="33"/>
      <c r="H143" s="33" t="s">
        <v>33</v>
      </c>
      <c r="I143" s="243" t="s">
        <v>1009</v>
      </c>
      <c r="P143" s="4" t="s">
        <v>0</v>
      </c>
    </row>
    <row r="144" spans="1:50" s="71" customFormat="1" x14ac:dyDescent="0.2">
      <c r="A144" s="82" t="s">
        <v>73</v>
      </c>
      <c r="B144" s="82" t="s">
        <v>74</v>
      </c>
      <c r="C144" s="79" t="s">
        <v>75</v>
      </c>
      <c r="D144" s="71" t="s">
        <v>56</v>
      </c>
      <c r="E144" s="79" t="s">
        <v>46</v>
      </c>
      <c r="F144" s="71" t="s">
        <v>782</v>
      </c>
      <c r="G144" s="79"/>
      <c r="H144" s="79" t="s">
        <v>33</v>
      </c>
      <c r="I144" s="247"/>
      <c r="J144" s="72">
        <f t="shared" ref="J144" si="20">AVERAGEIF(J137:J143, "&lt;&gt;0")</f>
        <v>84</v>
      </c>
      <c r="K144" s="72">
        <f>AVERAGEIF(K137:K143, "&lt;&gt;0")</f>
        <v>1.5833333333333333</v>
      </c>
      <c r="L144" s="72">
        <f>AVERAGEIF(L137:L143, "&lt;&gt;0")</f>
        <v>326.33333333333331</v>
      </c>
      <c r="M144" s="72">
        <f>AVERAGEIF(M137:M143, "&lt;&gt;0")</f>
        <v>5.1166666666666671</v>
      </c>
      <c r="N144" s="83"/>
      <c r="O144" s="72">
        <f>AVERAGEIF(O137:O143, "&lt;&gt;0")</f>
        <v>1.7950000000000002</v>
      </c>
      <c r="P144" s="72">
        <f>AVERAGE(P137:P143)</f>
        <v>0</v>
      </c>
      <c r="Q144" s="72">
        <f>AVERAGEIF(Q137:Q143, "&lt;&gt;0")</f>
        <v>69.333333333333329</v>
      </c>
      <c r="R144" s="72">
        <f>AVERAGEIF(R137:R143, "&lt;&gt;0")</f>
        <v>60.333333333333336</v>
      </c>
      <c r="S144" s="72">
        <f>AVERAGEIF(S137:S143, "&lt;&gt;0")</f>
        <v>2.68</v>
      </c>
      <c r="T144" s="72"/>
      <c r="U144" s="72"/>
      <c r="V144" s="72"/>
      <c r="W144" s="72"/>
      <c r="X144" s="83"/>
      <c r="Y144" s="83"/>
      <c r="Z144" s="72"/>
      <c r="AA144" s="72"/>
      <c r="AB144" s="72"/>
      <c r="AC144" s="73"/>
      <c r="AD144" s="73"/>
      <c r="AE144" s="73"/>
      <c r="AF144" s="73"/>
      <c r="AG144" s="73"/>
      <c r="AH144" s="73"/>
      <c r="AI144" s="73"/>
      <c r="AJ144" s="73"/>
      <c r="AK144" s="73"/>
      <c r="AL144" s="73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3"/>
      <c r="AX144" s="73"/>
    </row>
    <row r="145" spans="1:50" ht="34" x14ac:dyDescent="0.2">
      <c r="A145" s="24" t="s">
        <v>73</v>
      </c>
      <c r="B145" s="24" t="s">
        <v>76</v>
      </c>
      <c r="F145" s="33"/>
      <c r="G145" s="33"/>
      <c r="H145" s="33" t="s">
        <v>33</v>
      </c>
      <c r="I145" s="245" t="s">
        <v>1005</v>
      </c>
      <c r="P145" s="4" t="s">
        <v>0</v>
      </c>
    </row>
    <row r="146" spans="1:50" ht="34" x14ac:dyDescent="0.2">
      <c r="A146" s="24" t="s">
        <v>73</v>
      </c>
      <c r="B146" s="24" t="s">
        <v>76</v>
      </c>
      <c r="F146" s="33"/>
      <c r="G146" s="33"/>
      <c r="H146" s="33" t="s">
        <v>33</v>
      </c>
      <c r="I146" s="243" t="s">
        <v>1009</v>
      </c>
      <c r="K146" s="3">
        <v>1.36</v>
      </c>
      <c r="L146" s="3">
        <v>265</v>
      </c>
      <c r="M146" s="3">
        <v>1.64</v>
      </c>
      <c r="O146" s="3">
        <v>2.96</v>
      </c>
      <c r="P146" s="4" t="s">
        <v>0</v>
      </c>
      <c r="Q146" s="3">
        <v>50</v>
      </c>
      <c r="R146" s="3">
        <v>97</v>
      </c>
    </row>
    <row r="147" spans="1:50" ht="34" x14ac:dyDescent="0.2">
      <c r="A147" s="24" t="s">
        <v>73</v>
      </c>
      <c r="B147" s="24" t="s">
        <v>76</v>
      </c>
      <c r="F147" s="33"/>
      <c r="G147" s="33"/>
      <c r="H147" s="33" t="s">
        <v>33</v>
      </c>
      <c r="I147" s="243" t="s">
        <v>1009</v>
      </c>
      <c r="K147" s="3">
        <v>1.51</v>
      </c>
      <c r="L147" s="3">
        <v>293</v>
      </c>
      <c r="M147" s="3">
        <v>3.53</v>
      </c>
      <c r="O147" s="3">
        <v>4.28</v>
      </c>
      <c r="P147" s="4" t="s">
        <v>0</v>
      </c>
      <c r="Q147" s="3">
        <v>60</v>
      </c>
      <c r="R147" s="3">
        <v>100</v>
      </c>
      <c r="S147" s="3">
        <v>5.33</v>
      </c>
    </row>
    <row r="148" spans="1:50" ht="34" x14ac:dyDescent="0.2">
      <c r="A148" s="24" t="s">
        <v>73</v>
      </c>
      <c r="B148" s="24" t="s">
        <v>76</v>
      </c>
      <c r="F148" s="33"/>
      <c r="G148" s="33"/>
      <c r="H148" s="33" t="s">
        <v>33</v>
      </c>
      <c r="I148" s="245" t="s">
        <v>1009</v>
      </c>
      <c r="P148" s="4" t="s">
        <v>0</v>
      </c>
    </row>
    <row r="149" spans="1:50" ht="34" x14ac:dyDescent="0.2">
      <c r="A149" s="24" t="s">
        <v>73</v>
      </c>
      <c r="B149" s="24" t="s">
        <v>76</v>
      </c>
      <c r="F149" s="33"/>
      <c r="G149" s="33"/>
      <c r="H149" s="33" t="s">
        <v>33</v>
      </c>
      <c r="I149" s="243" t="s">
        <v>1009</v>
      </c>
      <c r="P149" s="4" t="s">
        <v>0</v>
      </c>
    </row>
    <row r="150" spans="1:50" ht="34" x14ac:dyDescent="0.2">
      <c r="A150" s="24" t="s">
        <v>73</v>
      </c>
      <c r="B150" s="24" t="s">
        <v>76</v>
      </c>
      <c r="F150" s="33"/>
      <c r="G150" s="33"/>
      <c r="H150" s="33" t="s">
        <v>33</v>
      </c>
      <c r="I150" s="243" t="s">
        <v>1009</v>
      </c>
      <c r="K150" s="3">
        <v>1.01</v>
      </c>
      <c r="L150" s="3">
        <v>582</v>
      </c>
      <c r="M150" s="3">
        <v>3.35</v>
      </c>
      <c r="O150" s="3">
        <v>1.48</v>
      </c>
      <c r="P150" s="4" t="s">
        <v>0</v>
      </c>
      <c r="Q150" s="3">
        <v>82</v>
      </c>
      <c r="R150" s="3">
        <v>78</v>
      </c>
      <c r="S150" s="3">
        <v>2.88</v>
      </c>
    </row>
    <row r="151" spans="1:50" s="71" customFormat="1" x14ac:dyDescent="0.2">
      <c r="A151" s="70" t="s">
        <v>73</v>
      </c>
      <c r="B151" s="70" t="s">
        <v>76</v>
      </c>
      <c r="C151" s="79" t="s">
        <v>75</v>
      </c>
      <c r="D151" s="71" t="s">
        <v>56</v>
      </c>
      <c r="E151" s="79" t="s">
        <v>46</v>
      </c>
      <c r="F151" s="71" t="s">
        <v>782</v>
      </c>
      <c r="G151" s="79"/>
      <c r="H151" s="79" t="s">
        <v>33</v>
      </c>
      <c r="I151" s="87"/>
      <c r="J151" s="72"/>
      <c r="K151" s="72">
        <f>AVERAGEIF(K145:K150, "&lt;&gt;0")</f>
        <v>1.2933333333333332</v>
      </c>
      <c r="L151" s="72">
        <f>AVERAGEIF(L145:L150, "&lt;&gt;0")</f>
        <v>380</v>
      </c>
      <c r="M151" s="72">
        <f>AVERAGEIF(M145:M150, "&lt;&gt;0")</f>
        <v>2.84</v>
      </c>
      <c r="N151" s="72"/>
      <c r="O151" s="72">
        <f>AVERAGEIF(O145:O150, "&lt;&gt;0")</f>
        <v>2.9066666666666667</v>
      </c>
      <c r="P151" s="72"/>
      <c r="Q151" s="72">
        <f>AVERAGEIF(Q145:Q150, "&lt;&gt;0")</f>
        <v>64</v>
      </c>
      <c r="R151" s="72">
        <f>AVERAGEIF(R145:R150, "&lt;&gt;0")</f>
        <v>91.666666666666671</v>
      </c>
      <c r="S151" s="72">
        <f>AVERAGEIF(S145:S150, "&lt;&gt;0")</f>
        <v>4.1050000000000004</v>
      </c>
      <c r="T151" s="72"/>
      <c r="U151" s="72"/>
      <c r="V151" s="72"/>
      <c r="W151" s="72"/>
      <c r="X151" s="72"/>
      <c r="Y151" s="72"/>
      <c r="Z151" s="72"/>
      <c r="AA151" s="72"/>
      <c r="AB151" s="72"/>
      <c r="AC151" s="73"/>
      <c r="AD151" s="73"/>
      <c r="AE151" s="73"/>
      <c r="AF151" s="73"/>
      <c r="AG151" s="73"/>
      <c r="AH151" s="73"/>
      <c r="AI151" s="73"/>
      <c r="AJ151" s="73"/>
      <c r="AK151" s="73"/>
      <c r="AL151" s="73"/>
      <c r="AM151" s="73"/>
      <c r="AN151" s="73"/>
      <c r="AO151" s="73"/>
      <c r="AP151" s="73"/>
      <c r="AQ151" s="73"/>
      <c r="AR151" s="73"/>
      <c r="AS151" s="73"/>
      <c r="AT151" s="73"/>
      <c r="AU151" s="73"/>
      <c r="AV151" s="73"/>
      <c r="AW151" s="73"/>
      <c r="AX151" s="73"/>
    </row>
    <row r="152" spans="1:50" ht="34" x14ac:dyDescent="0.2">
      <c r="A152" s="24" t="s">
        <v>73</v>
      </c>
      <c r="B152" s="24" t="s">
        <v>77</v>
      </c>
      <c r="F152" s="33"/>
      <c r="G152" s="33"/>
      <c r="H152" s="33" t="s">
        <v>33</v>
      </c>
      <c r="I152" s="243" t="s">
        <v>1009</v>
      </c>
      <c r="K152" s="3">
        <v>1.41</v>
      </c>
      <c r="L152" s="3">
        <v>266</v>
      </c>
      <c r="M152" s="3">
        <v>3.48</v>
      </c>
      <c r="O152" s="3">
        <v>4.32</v>
      </c>
      <c r="P152" s="4" t="s">
        <v>0</v>
      </c>
      <c r="Q152" s="3">
        <v>52</v>
      </c>
      <c r="R152" s="3">
        <v>117</v>
      </c>
    </row>
    <row r="153" spans="1:50" ht="34" x14ac:dyDescent="0.2">
      <c r="A153" s="24" t="s">
        <v>73</v>
      </c>
      <c r="B153" s="24" t="s">
        <v>77</v>
      </c>
      <c r="F153" s="33"/>
      <c r="G153" s="33"/>
      <c r="H153" s="33" t="s">
        <v>33</v>
      </c>
      <c r="I153" s="243" t="s">
        <v>1009</v>
      </c>
      <c r="K153" s="3">
        <v>1.67</v>
      </c>
      <c r="L153" s="3">
        <v>291</v>
      </c>
      <c r="M153" s="3">
        <v>1.93</v>
      </c>
      <c r="O153" s="3">
        <v>3.6</v>
      </c>
      <c r="P153" s="4" t="s">
        <v>0</v>
      </c>
      <c r="Q153" s="3">
        <v>55</v>
      </c>
      <c r="R153" s="3">
        <v>73</v>
      </c>
    </row>
    <row r="154" spans="1:50" ht="34" x14ac:dyDescent="0.2">
      <c r="A154" s="24" t="s">
        <v>73</v>
      </c>
      <c r="B154" s="24" t="s">
        <v>77</v>
      </c>
      <c r="F154" s="33"/>
      <c r="G154" s="33"/>
      <c r="H154" s="33" t="s">
        <v>33</v>
      </c>
      <c r="I154" s="243" t="s">
        <v>1009</v>
      </c>
      <c r="K154" s="3">
        <v>1.58</v>
      </c>
      <c r="L154" s="3">
        <v>269</v>
      </c>
      <c r="M154" s="3">
        <v>1.76</v>
      </c>
      <c r="O154" s="3">
        <v>3.27</v>
      </c>
      <c r="P154" s="4" t="s">
        <v>0</v>
      </c>
      <c r="Q154" s="3">
        <v>59</v>
      </c>
      <c r="R154" s="3">
        <v>93</v>
      </c>
    </row>
    <row r="155" spans="1:50" ht="34" x14ac:dyDescent="0.2">
      <c r="A155" s="24" t="s">
        <v>73</v>
      </c>
      <c r="B155" s="24" t="s">
        <v>77</v>
      </c>
      <c r="F155" s="33"/>
      <c r="G155" s="33"/>
      <c r="H155" s="33" t="s">
        <v>33</v>
      </c>
      <c r="I155" s="243" t="s">
        <v>1009</v>
      </c>
      <c r="K155" s="3">
        <v>1.7</v>
      </c>
      <c r="L155" s="3">
        <v>281</v>
      </c>
      <c r="M155" s="3">
        <v>1.88</v>
      </c>
      <c r="O155" s="3">
        <v>3.35</v>
      </c>
      <c r="P155" s="4" t="s">
        <v>0</v>
      </c>
      <c r="Q155" s="3">
        <v>66</v>
      </c>
      <c r="R155" s="3">
        <v>92</v>
      </c>
    </row>
    <row r="156" spans="1:50" ht="34" x14ac:dyDescent="0.2">
      <c r="A156" s="24" t="s">
        <v>73</v>
      </c>
      <c r="B156" s="24" t="s">
        <v>77</v>
      </c>
      <c r="F156" s="33"/>
      <c r="G156" s="33"/>
      <c r="H156" s="33" t="s">
        <v>33</v>
      </c>
      <c r="I156" s="243" t="s">
        <v>1009</v>
      </c>
      <c r="K156" s="3">
        <v>1.54</v>
      </c>
      <c r="L156" s="3">
        <v>194</v>
      </c>
      <c r="M156" s="3">
        <v>2.4500000000000002</v>
      </c>
      <c r="O156" s="3">
        <v>3.2</v>
      </c>
      <c r="P156" s="4" t="s">
        <v>0</v>
      </c>
      <c r="Q156" s="3">
        <v>108</v>
      </c>
      <c r="R156" s="3">
        <v>69</v>
      </c>
      <c r="S156" s="3">
        <v>1.87</v>
      </c>
    </row>
    <row r="157" spans="1:50" s="71" customFormat="1" x14ac:dyDescent="0.2">
      <c r="A157" s="70" t="s">
        <v>73</v>
      </c>
      <c r="B157" s="70" t="s">
        <v>77</v>
      </c>
      <c r="C157" s="79" t="s">
        <v>75</v>
      </c>
      <c r="D157" s="71" t="s">
        <v>56</v>
      </c>
      <c r="E157" s="79" t="s">
        <v>46</v>
      </c>
      <c r="F157" s="71" t="s">
        <v>782</v>
      </c>
      <c r="G157" s="79"/>
      <c r="H157" s="79" t="s">
        <v>33</v>
      </c>
      <c r="I157" s="87"/>
      <c r="J157" s="72"/>
      <c r="K157" s="72">
        <f>AVERAGEIF(K152:K156, "&lt;&gt;0")</f>
        <v>1.58</v>
      </c>
      <c r="L157" s="72">
        <f>AVERAGEIF(L152:L156, "&lt;&gt;0")</f>
        <v>260.2</v>
      </c>
      <c r="M157" s="72">
        <f>AVERAGEIF(M152:M156, "&lt;&gt;0")</f>
        <v>2.2999999999999998</v>
      </c>
      <c r="N157" s="72"/>
      <c r="O157" s="72">
        <f>AVERAGEIF(O152:O156, "&lt;&gt;0")</f>
        <v>3.5479999999999996</v>
      </c>
      <c r="P157" s="72"/>
      <c r="Q157" s="72">
        <f>AVERAGEIF(Q152:Q156, "&lt;&gt;0")</f>
        <v>68</v>
      </c>
      <c r="R157" s="72">
        <f>AVERAGEIF(R152:R156, "&lt;&gt;0")</f>
        <v>88.8</v>
      </c>
      <c r="S157" s="72">
        <f>AVERAGEIF(S152:S156, "&lt;&gt;0")</f>
        <v>1.87</v>
      </c>
      <c r="T157" s="72"/>
      <c r="U157" s="72"/>
      <c r="V157" s="72"/>
      <c r="W157" s="72"/>
      <c r="X157" s="72"/>
      <c r="Y157" s="72"/>
      <c r="Z157" s="72"/>
      <c r="AA157" s="72"/>
      <c r="AB157" s="72"/>
      <c r="AC157" s="73"/>
      <c r="AD157" s="73"/>
      <c r="AE157" s="73"/>
      <c r="AF157" s="73"/>
      <c r="AG157" s="73"/>
      <c r="AH157" s="73"/>
      <c r="AI157" s="73"/>
      <c r="AJ157" s="73"/>
      <c r="AK157" s="73"/>
      <c r="AL157" s="73"/>
      <c r="AM157" s="73"/>
      <c r="AN157" s="73"/>
      <c r="AO157" s="73"/>
      <c r="AP157" s="73"/>
      <c r="AQ157" s="73"/>
      <c r="AR157" s="73"/>
      <c r="AS157" s="73"/>
      <c r="AT157" s="73"/>
      <c r="AU157" s="73"/>
      <c r="AV157" s="73"/>
      <c r="AW157" s="73"/>
      <c r="AX157" s="73"/>
    </row>
    <row r="158" spans="1:50" ht="34" x14ac:dyDescent="0.2">
      <c r="A158" s="24" t="s">
        <v>73</v>
      </c>
      <c r="B158" s="24" t="s">
        <v>78</v>
      </c>
      <c r="F158" s="33"/>
      <c r="G158" s="33"/>
      <c r="H158" s="33" t="s">
        <v>33</v>
      </c>
      <c r="I158" s="243" t="s">
        <v>1009</v>
      </c>
      <c r="K158" s="3">
        <v>1.0900000000000001</v>
      </c>
      <c r="L158" s="3">
        <v>630</v>
      </c>
      <c r="M158" s="3">
        <v>3.14</v>
      </c>
      <c r="O158" s="3">
        <v>1.05</v>
      </c>
      <c r="P158" s="4" t="s">
        <v>0</v>
      </c>
      <c r="Q158" s="3">
        <v>67</v>
      </c>
      <c r="R158" s="3">
        <v>63</v>
      </c>
      <c r="S158" s="3">
        <v>2.5</v>
      </c>
    </row>
    <row r="159" spans="1:50" s="71" customFormat="1" x14ac:dyDescent="0.2">
      <c r="A159" s="70" t="s">
        <v>73</v>
      </c>
      <c r="B159" s="70" t="s">
        <v>78</v>
      </c>
      <c r="C159" s="79" t="s">
        <v>75</v>
      </c>
      <c r="D159" s="71" t="s">
        <v>56</v>
      </c>
      <c r="E159" s="79" t="s">
        <v>46</v>
      </c>
      <c r="F159" s="71" t="s">
        <v>782</v>
      </c>
      <c r="G159" s="79"/>
      <c r="H159" s="79" t="s">
        <v>33</v>
      </c>
      <c r="I159" s="87"/>
      <c r="J159" s="72"/>
      <c r="K159" s="72">
        <f>AVERAGEIF(K158, "&lt;&gt;0")</f>
        <v>1.0900000000000001</v>
      </c>
      <c r="L159" s="72">
        <f>AVERAGEIF(L158, "&lt;&gt;0")</f>
        <v>630</v>
      </c>
      <c r="M159" s="72">
        <f>AVERAGEIF(M158, "&lt;&gt;0")</f>
        <v>3.14</v>
      </c>
      <c r="N159" s="72"/>
      <c r="O159" s="72">
        <f>AVERAGEIF(O158, "&lt;&gt;0")</f>
        <v>1.05</v>
      </c>
      <c r="P159" s="72"/>
      <c r="Q159" s="72">
        <f>AVERAGEIF(Q158, "&lt;&gt;0")</f>
        <v>67</v>
      </c>
      <c r="R159" s="72">
        <f>AVERAGEIF(R158, "&lt;&gt;0")</f>
        <v>63</v>
      </c>
      <c r="S159" s="72">
        <f>AVERAGEIF(S158, "&lt;&gt;0")</f>
        <v>2.5</v>
      </c>
      <c r="T159" s="72"/>
      <c r="U159" s="72"/>
      <c r="V159" s="72"/>
      <c r="W159" s="72"/>
      <c r="X159" s="72"/>
      <c r="Y159" s="72"/>
      <c r="Z159" s="72"/>
      <c r="AA159" s="72"/>
      <c r="AB159" s="72"/>
      <c r="AC159" s="73"/>
      <c r="AD159" s="73"/>
      <c r="AE159" s="73"/>
      <c r="AF159" s="73"/>
      <c r="AG159" s="73"/>
      <c r="AH159" s="73"/>
      <c r="AI159" s="73"/>
      <c r="AJ159" s="73"/>
      <c r="AK159" s="73"/>
      <c r="AL159" s="73"/>
      <c r="AM159" s="73"/>
      <c r="AN159" s="73"/>
      <c r="AO159" s="73"/>
      <c r="AP159" s="73"/>
      <c r="AQ159" s="73"/>
      <c r="AR159" s="73"/>
      <c r="AS159" s="73"/>
      <c r="AT159" s="73"/>
      <c r="AU159" s="73"/>
      <c r="AV159" s="73"/>
      <c r="AW159" s="73"/>
      <c r="AX159" s="73"/>
    </row>
    <row r="160" spans="1:50" ht="17" x14ac:dyDescent="0.2">
      <c r="A160" s="34" t="s">
        <v>73</v>
      </c>
      <c r="B160" s="34" t="s">
        <v>79</v>
      </c>
      <c r="C160" s="35" t="s">
        <v>0</v>
      </c>
      <c r="F160" s="33"/>
      <c r="G160" s="33"/>
      <c r="H160" s="33" t="s">
        <v>33</v>
      </c>
      <c r="I160" s="245" t="s">
        <v>1007</v>
      </c>
      <c r="J160" s="36">
        <v>91.7</v>
      </c>
      <c r="K160" s="36"/>
      <c r="L160" s="36">
        <v>215</v>
      </c>
      <c r="M160" s="36">
        <v>2.2999999999999998</v>
      </c>
      <c r="N160" s="36">
        <v>55</v>
      </c>
      <c r="O160" s="3">
        <v>0.9</v>
      </c>
      <c r="P160" s="4">
        <f>AN160</f>
        <v>0</v>
      </c>
      <c r="Q160" s="36">
        <v>85</v>
      </c>
      <c r="R160" s="36"/>
      <c r="T160" s="36"/>
      <c r="U160" s="36"/>
      <c r="V160" s="36"/>
      <c r="W160" s="36"/>
      <c r="X160" s="36"/>
      <c r="Y160" s="36"/>
      <c r="Z160" s="36"/>
      <c r="AA160" s="36"/>
      <c r="AB160" s="36"/>
      <c r="AI160" s="23"/>
      <c r="AN160" s="23"/>
    </row>
    <row r="161" spans="1:50" s="71" customFormat="1" x14ac:dyDescent="0.2">
      <c r="A161" s="82" t="s">
        <v>73</v>
      </c>
      <c r="B161" s="82" t="s">
        <v>79</v>
      </c>
      <c r="C161" s="79" t="s">
        <v>75</v>
      </c>
      <c r="D161" s="71" t="s">
        <v>56</v>
      </c>
      <c r="E161" s="79" t="s">
        <v>46</v>
      </c>
      <c r="F161" s="71" t="s">
        <v>782</v>
      </c>
      <c r="G161" s="79"/>
      <c r="H161" s="79" t="s">
        <v>33</v>
      </c>
      <c r="I161" s="247"/>
      <c r="J161" s="72">
        <f>AVERAGEIF(J160, "&lt;&gt;0")</f>
        <v>91.7</v>
      </c>
      <c r="K161" s="83"/>
      <c r="L161" s="72">
        <f t="shared" ref="L161:Q161" si="21">AVERAGEIF(L160, "&lt;&gt;0")</f>
        <v>215</v>
      </c>
      <c r="M161" s="72">
        <f t="shared" si="21"/>
        <v>2.2999999999999998</v>
      </c>
      <c r="N161" s="72">
        <f t="shared" si="21"/>
        <v>55</v>
      </c>
      <c r="O161" s="72">
        <f t="shared" si="21"/>
        <v>0.9</v>
      </c>
      <c r="P161" s="72">
        <f>P160</f>
        <v>0</v>
      </c>
      <c r="Q161" s="72">
        <f t="shared" si="21"/>
        <v>85</v>
      </c>
      <c r="R161" s="83"/>
      <c r="S161" s="72"/>
      <c r="T161" s="72"/>
      <c r="U161" s="72"/>
      <c r="V161" s="72"/>
      <c r="W161" s="72"/>
      <c r="X161" s="72"/>
      <c r="Y161" s="72"/>
      <c r="Z161" s="72"/>
      <c r="AA161" s="72"/>
      <c r="AB161" s="72"/>
      <c r="AC161" s="73"/>
      <c r="AD161" s="73"/>
      <c r="AE161" s="73"/>
      <c r="AF161" s="73"/>
      <c r="AG161" s="73"/>
      <c r="AH161" s="73"/>
      <c r="AI161" s="73"/>
      <c r="AJ161" s="73"/>
      <c r="AK161" s="73"/>
      <c r="AL161" s="73"/>
      <c r="AM161" s="73"/>
      <c r="AN161" s="73"/>
      <c r="AO161" s="73"/>
      <c r="AP161" s="73"/>
      <c r="AQ161" s="73"/>
      <c r="AR161" s="73"/>
      <c r="AS161" s="73"/>
      <c r="AT161" s="73"/>
      <c r="AU161" s="73"/>
      <c r="AV161" s="73"/>
      <c r="AW161" s="73"/>
      <c r="AX161" s="73"/>
    </row>
    <row r="162" spans="1:50" ht="34" hidden="1" x14ac:dyDescent="0.2">
      <c r="A162" s="24" t="s">
        <v>73</v>
      </c>
      <c r="B162" s="24" t="s">
        <v>80</v>
      </c>
      <c r="D162" s="2" t="s">
        <v>56</v>
      </c>
      <c r="E162" s="33" t="s">
        <v>46</v>
      </c>
      <c r="F162" s="33"/>
      <c r="G162" s="33"/>
      <c r="H162" s="33" t="s">
        <v>33</v>
      </c>
      <c r="I162" s="243" t="s">
        <v>1009</v>
      </c>
      <c r="K162" s="3">
        <v>1.23</v>
      </c>
      <c r="L162" s="3">
        <v>322</v>
      </c>
      <c r="M162" s="3">
        <v>1.89</v>
      </c>
      <c r="O162" s="3">
        <v>0.69</v>
      </c>
      <c r="P162" s="4" t="s">
        <v>0</v>
      </c>
      <c r="Q162" s="3">
        <v>188</v>
      </c>
      <c r="R162" s="3">
        <v>106</v>
      </c>
      <c r="S162" s="3">
        <v>1.43</v>
      </c>
    </row>
    <row r="163" spans="1:50" ht="34" x14ac:dyDescent="0.2">
      <c r="A163" s="24" t="s">
        <v>73</v>
      </c>
      <c r="B163" s="24" t="s">
        <v>80</v>
      </c>
      <c r="F163" s="33"/>
      <c r="G163" s="33"/>
      <c r="H163" s="33" t="s">
        <v>33</v>
      </c>
      <c r="I163" s="243" t="s">
        <v>1009</v>
      </c>
      <c r="K163" s="3">
        <v>1.23</v>
      </c>
      <c r="L163" s="3">
        <v>322</v>
      </c>
      <c r="M163" s="3">
        <v>1.89</v>
      </c>
      <c r="O163" s="3">
        <v>0.69</v>
      </c>
      <c r="P163" s="4" t="s">
        <v>0</v>
      </c>
      <c r="Q163" s="3">
        <v>188</v>
      </c>
      <c r="R163" s="3">
        <v>106</v>
      </c>
      <c r="S163" s="3">
        <v>1.43</v>
      </c>
    </row>
    <row r="164" spans="1:50" ht="34" x14ac:dyDescent="0.2">
      <c r="A164" s="31" t="s">
        <v>73</v>
      </c>
      <c r="B164" s="24" t="s">
        <v>80</v>
      </c>
      <c r="F164" s="33"/>
      <c r="G164" s="33"/>
      <c r="H164" s="33" t="s">
        <v>33</v>
      </c>
      <c r="I164" s="243" t="s">
        <v>1009</v>
      </c>
      <c r="K164" s="3">
        <v>0.94</v>
      </c>
      <c r="L164" s="3">
        <v>317</v>
      </c>
      <c r="M164" s="3">
        <v>7.71</v>
      </c>
      <c r="O164" s="3">
        <v>1.5</v>
      </c>
      <c r="P164" s="4" t="s">
        <v>0</v>
      </c>
      <c r="R164" s="3">
        <v>59</v>
      </c>
      <c r="S164" s="3">
        <v>0.9</v>
      </c>
    </row>
    <row r="165" spans="1:50" ht="34" x14ac:dyDescent="0.2">
      <c r="A165" s="24" t="s">
        <v>73</v>
      </c>
      <c r="B165" s="24" t="s">
        <v>80</v>
      </c>
      <c r="F165" s="33"/>
      <c r="G165" s="33"/>
      <c r="H165" s="33" t="s">
        <v>33</v>
      </c>
      <c r="I165" s="243" t="s">
        <v>1009</v>
      </c>
      <c r="K165" s="3">
        <v>0.97</v>
      </c>
      <c r="L165" s="3">
        <v>282</v>
      </c>
      <c r="M165" s="3">
        <v>6.75</v>
      </c>
      <c r="O165" s="3">
        <v>0.37</v>
      </c>
      <c r="P165" s="4" t="s">
        <v>0</v>
      </c>
    </row>
    <row r="166" spans="1:50" ht="34" x14ac:dyDescent="0.2">
      <c r="A166" s="31" t="s">
        <v>73</v>
      </c>
      <c r="B166" s="24" t="s">
        <v>80</v>
      </c>
      <c r="F166" s="33"/>
      <c r="G166" s="33"/>
      <c r="H166" s="33" t="s">
        <v>33</v>
      </c>
      <c r="I166" s="243" t="s">
        <v>1009</v>
      </c>
      <c r="K166" s="3">
        <v>0.83</v>
      </c>
      <c r="L166" s="3">
        <v>254</v>
      </c>
      <c r="M166" s="3">
        <v>4.49</v>
      </c>
      <c r="O166" s="3">
        <v>0.39</v>
      </c>
      <c r="P166" s="4" t="s">
        <v>0</v>
      </c>
      <c r="R166" s="3">
        <v>37</v>
      </c>
    </row>
    <row r="167" spans="1:50" ht="34" x14ac:dyDescent="0.2">
      <c r="A167" s="31" t="s">
        <v>73</v>
      </c>
      <c r="B167" s="24" t="s">
        <v>80</v>
      </c>
      <c r="F167" s="33"/>
      <c r="G167" s="33"/>
      <c r="H167" s="33" t="s">
        <v>33</v>
      </c>
      <c r="I167" s="243" t="s">
        <v>1009</v>
      </c>
      <c r="K167" s="3">
        <v>0.76</v>
      </c>
      <c r="L167" s="3">
        <v>278.5</v>
      </c>
      <c r="M167" s="3">
        <v>2.88</v>
      </c>
      <c r="O167" s="3">
        <v>0.4</v>
      </c>
      <c r="P167" s="4" t="s">
        <v>0</v>
      </c>
      <c r="R167" s="3">
        <v>33</v>
      </c>
      <c r="S167" s="3">
        <v>0.87</v>
      </c>
    </row>
    <row r="168" spans="1:50" ht="34" x14ac:dyDescent="0.2">
      <c r="A168" s="24" t="s">
        <v>73</v>
      </c>
      <c r="B168" s="24" t="s">
        <v>80</v>
      </c>
      <c r="F168" s="33"/>
      <c r="G168" s="33"/>
      <c r="H168" s="33" t="s">
        <v>33</v>
      </c>
      <c r="I168" s="243" t="s">
        <v>1009</v>
      </c>
      <c r="K168" s="3">
        <v>1.04</v>
      </c>
      <c r="L168" s="3">
        <v>130</v>
      </c>
      <c r="M168" s="3">
        <v>1.06</v>
      </c>
      <c r="O168" s="3">
        <v>1.61</v>
      </c>
      <c r="P168" s="4" t="s">
        <v>0</v>
      </c>
      <c r="R168" s="3">
        <v>60</v>
      </c>
      <c r="S168" s="3">
        <v>0.87</v>
      </c>
    </row>
    <row r="169" spans="1:50" ht="34" x14ac:dyDescent="0.2">
      <c r="A169" s="24" t="s">
        <v>73</v>
      </c>
      <c r="B169" s="24" t="s">
        <v>80</v>
      </c>
      <c r="F169" s="33"/>
      <c r="G169" s="33"/>
      <c r="H169" s="33" t="s">
        <v>33</v>
      </c>
      <c r="I169" s="243" t="s">
        <v>1009</v>
      </c>
      <c r="P169" s="4" t="s">
        <v>0</v>
      </c>
    </row>
    <row r="170" spans="1:50" s="71" customFormat="1" x14ac:dyDescent="0.2">
      <c r="A170" s="70" t="s">
        <v>73</v>
      </c>
      <c r="B170" s="70" t="s">
        <v>80</v>
      </c>
      <c r="C170" s="79" t="s">
        <v>75</v>
      </c>
      <c r="D170" s="71" t="s">
        <v>56</v>
      </c>
      <c r="E170" s="79" t="s">
        <v>46</v>
      </c>
      <c r="F170" s="71" t="s">
        <v>782</v>
      </c>
      <c r="G170" s="79"/>
      <c r="H170" s="79" t="s">
        <v>33</v>
      </c>
      <c r="I170" s="87"/>
      <c r="J170" s="72"/>
      <c r="K170" s="72">
        <f>AVERAGEIF(K162:K169, "&lt;&gt;0")</f>
        <v>1</v>
      </c>
      <c r="L170" s="72">
        <f>AVERAGEIF(L162:L169, "&lt;&gt;0")</f>
        <v>272.21428571428572</v>
      </c>
      <c r="M170" s="72">
        <f>AVERAGEIF(M162:M169, "&lt;&gt;0")</f>
        <v>3.81</v>
      </c>
      <c r="N170" s="72"/>
      <c r="O170" s="72">
        <f>AVERAGEIF(O162:O169, "&lt;&gt;0")</f>
        <v>0.80714285714285716</v>
      </c>
      <c r="P170" s="72" t="s">
        <v>0</v>
      </c>
      <c r="Q170" s="72">
        <f>AVERAGEIF(Q162:Q169, "&lt;&gt;0")</f>
        <v>188</v>
      </c>
      <c r="R170" s="72">
        <f>AVERAGEIF(R162:R169, "&lt;&gt;0")</f>
        <v>66.833333333333329</v>
      </c>
      <c r="S170" s="72">
        <f>AVERAGEIF(S162:S169, "&lt;&gt;0")</f>
        <v>1.1000000000000001</v>
      </c>
      <c r="T170" s="72"/>
      <c r="U170" s="72"/>
      <c r="V170" s="72"/>
      <c r="W170" s="72"/>
      <c r="X170" s="72"/>
      <c r="Y170" s="72"/>
      <c r="Z170" s="72"/>
      <c r="AA170" s="72"/>
      <c r="AB170" s="72"/>
      <c r="AC170" s="73"/>
      <c r="AD170" s="73"/>
      <c r="AE170" s="73"/>
      <c r="AF170" s="73"/>
      <c r="AG170" s="73"/>
      <c r="AH170" s="73"/>
      <c r="AI170" s="73"/>
      <c r="AJ170" s="73"/>
      <c r="AK170" s="73"/>
      <c r="AL170" s="73"/>
      <c r="AM170" s="73"/>
      <c r="AN170" s="73"/>
      <c r="AO170" s="73"/>
      <c r="AP170" s="73"/>
      <c r="AQ170" s="73"/>
      <c r="AR170" s="73"/>
      <c r="AS170" s="73"/>
      <c r="AT170" s="73"/>
      <c r="AU170" s="73"/>
      <c r="AV170" s="73"/>
      <c r="AW170" s="73"/>
      <c r="AX170" s="73"/>
    </row>
    <row r="171" spans="1:50" s="22" customFormat="1" ht="34" x14ac:dyDescent="0.2">
      <c r="A171" s="21" t="s">
        <v>82</v>
      </c>
      <c r="B171" s="21" t="s">
        <v>83</v>
      </c>
      <c r="C171" s="2"/>
      <c r="D171" s="2"/>
      <c r="E171" s="2"/>
      <c r="F171" s="2"/>
      <c r="G171" s="2"/>
      <c r="H171" s="22" t="s">
        <v>33</v>
      </c>
      <c r="I171" s="65" t="s">
        <v>1022</v>
      </c>
      <c r="J171" s="4">
        <v>88.6</v>
      </c>
      <c r="K171" s="4">
        <v>5.6</v>
      </c>
      <c r="L171" s="4">
        <v>65</v>
      </c>
      <c r="M171" s="4">
        <v>1</v>
      </c>
      <c r="N171" s="4">
        <v>26</v>
      </c>
      <c r="O171" s="4">
        <v>0.6</v>
      </c>
      <c r="P171" s="4" t="s">
        <v>0</v>
      </c>
      <c r="Q171" s="4">
        <v>100</v>
      </c>
      <c r="R171" s="4">
        <v>41</v>
      </c>
      <c r="S171" s="4">
        <v>4.3</v>
      </c>
      <c r="T171" s="4"/>
      <c r="U171" s="4"/>
      <c r="V171" s="4"/>
      <c r="W171" s="4"/>
      <c r="X171" s="4"/>
      <c r="Y171" s="4"/>
      <c r="Z171" s="4"/>
      <c r="AA171" s="4"/>
      <c r="AB171" s="4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</row>
    <row r="172" spans="1:50" ht="34" x14ac:dyDescent="0.2">
      <c r="A172" s="21" t="s">
        <v>82</v>
      </c>
      <c r="B172" s="21" t="s">
        <v>83</v>
      </c>
      <c r="H172" s="22" t="s">
        <v>33</v>
      </c>
      <c r="I172" s="65" t="s">
        <v>1009</v>
      </c>
      <c r="K172" s="4">
        <v>1.56</v>
      </c>
      <c r="L172" s="4">
        <v>63</v>
      </c>
      <c r="M172" s="4">
        <v>1.73</v>
      </c>
      <c r="O172" s="4"/>
      <c r="P172" s="4" t="s">
        <v>0</v>
      </c>
      <c r="Q172" s="4">
        <v>33</v>
      </c>
      <c r="R172" s="4">
        <v>36</v>
      </c>
      <c r="S172" s="4">
        <v>0.5</v>
      </c>
      <c r="T172" s="4"/>
      <c r="U172" s="4"/>
    </row>
    <row r="173" spans="1:50" ht="34" x14ac:dyDescent="0.2">
      <c r="A173" s="21" t="s">
        <v>82</v>
      </c>
      <c r="B173" s="21" t="s">
        <v>83</v>
      </c>
      <c r="H173" s="22" t="s">
        <v>33</v>
      </c>
      <c r="I173" s="65" t="s">
        <v>1009</v>
      </c>
      <c r="K173" s="4">
        <v>1.0900000000000001</v>
      </c>
      <c r="L173" s="4">
        <v>532</v>
      </c>
      <c r="M173" s="4">
        <v>1.73</v>
      </c>
      <c r="O173" s="4">
        <v>1.1499999999999999</v>
      </c>
      <c r="P173" s="4" t="s">
        <v>0</v>
      </c>
      <c r="Q173" s="4">
        <v>73</v>
      </c>
      <c r="R173" s="4">
        <v>105</v>
      </c>
      <c r="S173" s="4">
        <v>12.8</v>
      </c>
      <c r="T173" s="4"/>
      <c r="U173" s="4"/>
    </row>
    <row r="174" spans="1:50" ht="34" x14ac:dyDescent="0.2">
      <c r="A174" s="21" t="s">
        <v>82</v>
      </c>
      <c r="B174" s="21" t="s">
        <v>83</v>
      </c>
      <c r="H174" s="22" t="s">
        <v>33</v>
      </c>
      <c r="I174" s="65" t="s">
        <v>1009</v>
      </c>
      <c r="K174" s="4">
        <v>1.0900000000000001</v>
      </c>
      <c r="L174" s="4">
        <v>532</v>
      </c>
      <c r="M174" s="4">
        <v>1.73</v>
      </c>
      <c r="O174" s="4">
        <v>1.1499999999999999</v>
      </c>
      <c r="P174" s="4" t="s">
        <v>0</v>
      </c>
      <c r="Q174" s="4">
        <v>73</v>
      </c>
      <c r="R174" s="4">
        <v>105</v>
      </c>
      <c r="S174" s="4">
        <v>12.79</v>
      </c>
      <c r="T174" s="4"/>
      <c r="U174" s="4"/>
    </row>
    <row r="175" spans="1:50" s="71" customFormat="1" x14ac:dyDescent="0.2">
      <c r="A175" s="70" t="s">
        <v>82</v>
      </c>
      <c r="B175" s="70" t="s">
        <v>83</v>
      </c>
      <c r="C175" s="71" t="s">
        <v>84</v>
      </c>
      <c r="D175" s="71" t="s">
        <v>25</v>
      </c>
      <c r="E175" s="71" t="s">
        <v>46</v>
      </c>
      <c r="F175" s="71" t="s">
        <v>782</v>
      </c>
      <c r="H175" s="71" t="s">
        <v>33</v>
      </c>
      <c r="I175" s="87"/>
      <c r="J175" s="72">
        <f t="shared" ref="J175" si="22">AVERAGEIF(J171:J174, "&lt;&gt;0")</f>
        <v>88.6</v>
      </c>
      <c r="K175" s="72">
        <f>AVERAGEIF(K171:K174, "&lt;&gt;0")</f>
        <v>2.335</v>
      </c>
      <c r="L175" s="72">
        <f>AVERAGEIF(L171:L174, "&lt;&gt;0")</f>
        <v>298</v>
      </c>
      <c r="M175" s="72">
        <f>AVERAGEIF(M171:M174, "&lt;&gt;0")</f>
        <v>1.5474999999999999</v>
      </c>
      <c r="N175" s="72">
        <f>AVERAGEIF(N171:N174, "&lt;&gt;0")</f>
        <v>26</v>
      </c>
      <c r="O175" s="72">
        <f>AVERAGEIF(O171:O174, "&lt;&gt;0")</f>
        <v>0.96666666666666667</v>
      </c>
      <c r="P175" s="72"/>
      <c r="Q175" s="72">
        <f>AVERAGEIF(Q171:Q174, "&lt;&gt;0")</f>
        <v>69.75</v>
      </c>
      <c r="R175" s="72">
        <f>AVERAGEIF(R171:R174, "&lt;&gt;0")</f>
        <v>71.75</v>
      </c>
      <c r="S175" s="72">
        <f>AVERAGEIF(S171:S174, "&lt;&gt;0")</f>
        <v>7.5975000000000001</v>
      </c>
      <c r="T175" s="72"/>
      <c r="U175" s="72"/>
      <c r="V175" s="72"/>
      <c r="W175" s="72"/>
      <c r="X175" s="72"/>
      <c r="Y175" s="72"/>
      <c r="Z175" s="72"/>
      <c r="AA175" s="72"/>
      <c r="AB175" s="72"/>
      <c r="AC175" s="73"/>
      <c r="AD175" s="73"/>
      <c r="AE175" s="73"/>
      <c r="AF175" s="73"/>
      <c r="AG175" s="73"/>
      <c r="AH175" s="73"/>
      <c r="AI175" s="73"/>
      <c r="AJ175" s="73"/>
      <c r="AK175" s="73"/>
      <c r="AL175" s="73"/>
      <c r="AM175" s="73"/>
      <c r="AN175" s="73"/>
      <c r="AO175" s="73"/>
      <c r="AP175" s="73"/>
      <c r="AQ175" s="73"/>
      <c r="AR175" s="73"/>
      <c r="AS175" s="73"/>
      <c r="AT175" s="73"/>
      <c r="AU175" s="73"/>
      <c r="AV175" s="73"/>
      <c r="AW175" s="73"/>
      <c r="AX175" s="73"/>
    </row>
    <row r="176" spans="1:50" ht="34" x14ac:dyDescent="0.2">
      <c r="A176" s="24" t="s">
        <v>85</v>
      </c>
      <c r="B176" s="24" t="s">
        <v>86</v>
      </c>
      <c r="D176" s="2" t="s">
        <v>0</v>
      </c>
      <c r="H176" s="2" t="s">
        <v>33</v>
      </c>
      <c r="I176" s="243" t="s">
        <v>1009</v>
      </c>
      <c r="K176" s="3">
        <v>0.46</v>
      </c>
      <c r="L176" s="3">
        <v>153</v>
      </c>
      <c r="M176" s="3">
        <v>1.26</v>
      </c>
      <c r="P176" s="4" t="s">
        <v>0</v>
      </c>
      <c r="Q176" s="3">
        <v>14</v>
      </c>
      <c r="R176" s="3">
        <v>36</v>
      </c>
      <c r="S176" s="3">
        <v>6.09</v>
      </c>
    </row>
    <row r="177" spans="1:50" ht="34" x14ac:dyDescent="0.2">
      <c r="A177" s="24" t="s">
        <v>85</v>
      </c>
      <c r="B177" s="24" t="s">
        <v>86</v>
      </c>
      <c r="D177" s="2" t="s">
        <v>0</v>
      </c>
      <c r="H177" s="2" t="s">
        <v>33</v>
      </c>
      <c r="I177" s="243" t="s">
        <v>1009</v>
      </c>
      <c r="P177" s="4" t="s">
        <v>0</v>
      </c>
    </row>
    <row r="178" spans="1:50" s="71" customFormat="1" x14ac:dyDescent="0.2">
      <c r="A178" s="70" t="s">
        <v>85</v>
      </c>
      <c r="B178" s="70" t="s">
        <v>86</v>
      </c>
      <c r="C178" s="71" t="s">
        <v>87</v>
      </c>
      <c r="D178" s="71" t="s">
        <v>31</v>
      </c>
      <c r="E178" s="71" t="s">
        <v>42</v>
      </c>
      <c r="F178" s="71" t="s">
        <v>784</v>
      </c>
      <c r="H178" s="71" t="s">
        <v>33</v>
      </c>
      <c r="I178" s="87"/>
      <c r="J178" s="72"/>
      <c r="K178" s="72">
        <f>AVERAGEIF(K176:K177, "&lt;&gt;0")</f>
        <v>0.46</v>
      </c>
      <c r="L178" s="72">
        <f>AVERAGEIF(L176:L177, "&lt;&gt;0")</f>
        <v>153</v>
      </c>
      <c r="M178" s="72">
        <f>AVERAGEIF(M176:M177, "&lt;&gt;0")</f>
        <v>1.26</v>
      </c>
      <c r="N178" s="72"/>
      <c r="O178" s="72"/>
      <c r="P178" s="72"/>
      <c r="Q178" s="72">
        <f>AVERAGEIF(Q176:Q177, "&lt;&gt;0")</f>
        <v>14</v>
      </c>
      <c r="R178" s="72">
        <f>AVERAGEIF(R176:R177, "&lt;&gt;0")</f>
        <v>36</v>
      </c>
      <c r="S178" s="72">
        <f>AVERAGEIF(S176:S177, "&lt;&gt;0")</f>
        <v>6.09</v>
      </c>
      <c r="T178" s="72"/>
      <c r="U178" s="72"/>
      <c r="V178" s="72"/>
      <c r="W178" s="72"/>
      <c r="X178" s="72"/>
      <c r="Y178" s="72"/>
      <c r="Z178" s="72"/>
      <c r="AA178" s="72"/>
      <c r="AB178" s="72"/>
      <c r="AC178" s="73"/>
      <c r="AD178" s="73"/>
      <c r="AE178" s="73"/>
      <c r="AF178" s="73"/>
      <c r="AG178" s="73"/>
      <c r="AH178" s="73"/>
      <c r="AI178" s="73"/>
      <c r="AJ178" s="73"/>
      <c r="AK178" s="73"/>
      <c r="AL178" s="73"/>
      <c r="AM178" s="73"/>
      <c r="AN178" s="73"/>
      <c r="AO178" s="73"/>
      <c r="AP178" s="73"/>
      <c r="AQ178" s="73"/>
      <c r="AR178" s="73"/>
      <c r="AS178" s="73"/>
      <c r="AT178" s="73"/>
      <c r="AU178" s="73"/>
      <c r="AV178" s="73"/>
      <c r="AW178" s="73"/>
      <c r="AX178" s="73"/>
    </row>
    <row r="179" spans="1:50" s="41" customFormat="1" ht="34" x14ac:dyDescent="0.2">
      <c r="A179" s="40" t="s">
        <v>89</v>
      </c>
      <c r="B179" s="40" t="s">
        <v>90</v>
      </c>
      <c r="C179" s="41" t="s">
        <v>0</v>
      </c>
      <c r="D179" s="42" t="s">
        <v>0</v>
      </c>
      <c r="E179" s="2"/>
      <c r="F179" s="42"/>
      <c r="G179" s="42"/>
      <c r="H179" s="41" t="s">
        <v>91</v>
      </c>
      <c r="I179" s="248" t="s">
        <v>1010</v>
      </c>
      <c r="J179" s="43">
        <v>94.7</v>
      </c>
      <c r="K179" s="43">
        <v>0.65</v>
      </c>
      <c r="L179" s="43">
        <v>52</v>
      </c>
      <c r="M179" s="43">
        <v>0.4</v>
      </c>
      <c r="N179" s="43">
        <v>17</v>
      </c>
      <c r="O179" s="43"/>
      <c r="P179" s="4">
        <f t="shared" ref="P179:P180" si="23">AN179</f>
        <v>0</v>
      </c>
      <c r="Q179" s="43"/>
      <c r="R179" s="43">
        <v>8</v>
      </c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4"/>
      <c r="AD179" s="44"/>
      <c r="AE179" s="44"/>
      <c r="AF179" s="44"/>
      <c r="AG179" s="44"/>
      <c r="AH179" s="44"/>
      <c r="AI179" s="23"/>
      <c r="AJ179" s="44"/>
      <c r="AK179" s="44"/>
      <c r="AL179" s="44"/>
      <c r="AM179" s="44"/>
      <c r="AN179" s="23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</row>
    <row r="180" spans="1:50" s="41" customFormat="1" ht="17" x14ac:dyDescent="0.2">
      <c r="A180" s="40" t="s">
        <v>89</v>
      </c>
      <c r="B180" s="40" t="s">
        <v>90</v>
      </c>
      <c r="C180" s="45" t="s">
        <v>0</v>
      </c>
      <c r="D180" s="41" t="s">
        <v>0</v>
      </c>
      <c r="E180" s="2"/>
      <c r="H180" s="41" t="s">
        <v>91</v>
      </c>
      <c r="I180" s="248" t="s">
        <v>1007</v>
      </c>
      <c r="J180" s="43">
        <v>95.4</v>
      </c>
      <c r="K180" s="43">
        <v>1.6</v>
      </c>
      <c r="L180" s="43">
        <v>40</v>
      </c>
      <c r="M180" s="43">
        <v>0.2</v>
      </c>
      <c r="N180" s="43">
        <v>11</v>
      </c>
      <c r="O180" s="43">
        <v>0.13</v>
      </c>
      <c r="P180" s="4">
        <f t="shared" si="23"/>
        <v>0</v>
      </c>
      <c r="Q180" s="43">
        <v>36</v>
      </c>
      <c r="R180" s="43">
        <v>3.1</v>
      </c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4"/>
      <c r="AD180" s="44"/>
      <c r="AE180" s="44"/>
      <c r="AF180" s="44"/>
      <c r="AG180" s="44"/>
      <c r="AH180" s="44"/>
      <c r="AI180" s="23"/>
      <c r="AJ180" s="44"/>
      <c r="AK180" s="44"/>
      <c r="AL180" s="44"/>
      <c r="AM180" s="44"/>
      <c r="AN180" s="23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</row>
    <row r="181" spans="1:50" s="71" customFormat="1" ht="17" x14ac:dyDescent="0.2">
      <c r="A181" s="70" t="s">
        <v>89</v>
      </c>
      <c r="B181" s="70" t="s">
        <v>90</v>
      </c>
      <c r="C181" s="84" t="s">
        <v>92</v>
      </c>
      <c r="D181" s="71" t="s">
        <v>56</v>
      </c>
      <c r="E181" s="71" t="s">
        <v>46</v>
      </c>
      <c r="F181" s="71" t="s">
        <v>782</v>
      </c>
      <c r="H181" s="71" t="s">
        <v>91</v>
      </c>
      <c r="I181" s="87"/>
      <c r="J181" s="72">
        <f t="shared" ref="J181" si="24">AVERAGEIF(J179:J180, "&lt;&gt;0")</f>
        <v>95.050000000000011</v>
      </c>
      <c r="K181" s="72">
        <f>AVERAGEIF(K179:K180, "&lt;&gt;0")</f>
        <v>1.125</v>
      </c>
      <c r="L181" s="72">
        <f>AVERAGEIF(L179:L180, "&lt;&gt;0")</f>
        <v>46</v>
      </c>
      <c r="M181" s="72">
        <f t="shared" ref="M181:N181" si="25">AVERAGEIF(M179:M180, "&lt;&gt;0")</f>
        <v>0.30000000000000004</v>
      </c>
      <c r="N181" s="72">
        <f t="shared" si="25"/>
        <v>14</v>
      </c>
      <c r="O181" s="72">
        <f>AVERAGEIF(O179:O180, "&lt;&gt;0")</f>
        <v>0.13</v>
      </c>
      <c r="P181" s="72">
        <f>AVERAGE(P179:P180)</f>
        <v>0</v>
      </c>
      <c r="Q181" s="72">
        <f>AVERAGEIF(Q179:Q180, "&lt;&gt;0")</f>
        <v>36</v>
      </c>
      <c r="R181" s="72">
        <f>AVERAGEIF(R179:R180, "&lt;&gt;0")</f>
        <v>5.55</v>
      </c>
      <c r="S181" s="72"/>
      <c r="T181" s="72"/>
      <c r="U181" s="72"/>
      <c r="V181" s="72"/>
      <c r="W181" s="72"/>
      <c r="X181" s="72"/>
      <c r="Y181" s="72"/>
      <c r="Z181" s="72"/>
      <c r="AA181" s="72"/>
      <c r="AB181" s="72"/>
      <c r="AC181" s="73"/>
      <c r="AD181" s="73"/>
      <c r="AE181" s="73"/>
      <c r="AF181" s="73"/>
      <c r="AG181" s="73"/>
      <c r="AH181" s="73"/>
      <c r="AI181" s="73"/>
      <c r="AJ181" s="73"/>
      <c r="AK181" s="73"/>
      <c r="AL181" s="73"/>
      <c r="AM181" s="73"/>
      <c r="AN181" s="73"/>
      <c r="AO181" s="73"/>
      <c r="AP181" s="73"/>
      <c r="AQ181" s="73"/>
      <c r="AR181" s="73"/>
      <c r="AS181" s="73"/>
      <c r="AT181" s="73"/>
      <c r="AU181" s="73"/>
      <c r="AV181" s="73"/>
      <c r="AW181" s="73"/>
      <c r="AX181" s="73"/>
    </row>
    <row r="182" spans="1:50" s="22" customFormat="1" ht="17" x14ac:dyDescent="0.2">
      <c r="A182" s="31" t="s">
        <v>93</v>
      </c>
      <c r="B182" s="31" t="s">
        <v>94</v>
      </c>
      <c r="C182" s="1"/>
      <c r="D182" s="2" t="s">
        <v>0</v>
      </c>
      <c r="E182" s="2"/>
      <c r="F182" s="1"/>
      <c r="G182" s="1"/>
      <c r="H182" s="1" t="s">
        <v>33</v>
      </c>
      <c r="I182" s="243" t="s">
        <v>1006</v>
      </c>
      <c r="J182" s="3">
        <v>95</v>
      </c>
      <c r="K182" s="3">
        <v>0.49820000000000048</v>
      </c>
      <c r="L182" s="3">
        <v>13.000200000000012</v>
      </c>
      <c r="M182" s="3">
        <v>0.30080000000000029</v>
      </c>
      <c r="N182" s="3"/>
      <c r="O182" s="3"/>
      <c r="P182" s="4" t="s">
        <v>0</v>
      </c>
      <c r="Q182" s="3"/>
      <c r="R182" s="3">
        <v>5.0008000000000044</v>
      </c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23"/>
      <c r="AU182" s="23"/>
      <c r="AV182" s="23"/>
      <c r="AW182" s="23"/>
      <c r="AX182" s="23"/>
    </row>
    <row r="183" spans="1:50" ht="34" x14ac:dyDescent="0.2">
      <c r="A183" s="31" t="s">
        <v>93</v>
      </c>
      <c r="B183" s="31" t="s">
        <v>94</v>
      </c>
      <c r="C183" s="1"/>
      <c r="D183" s="2" t="s">
        <v>0</v>
      </c>
      <c r="F183" s="1" t="s">
        <v>0</v>
      </c>
      <c r="G183" s="1"/>
      <c r="H183" s="1" t="s">
        <v>33</v>
      </c>
      <c r="I183" s="65" t="s">
        <v>1022</v>
      </c>
      <c r="J183" s="4">
        <v>94.4</v>
      </c>
      <c r="K183" s="4">
        <v>1.4</v>
      </c>
      <c r="L183" s="4">
        <v>7</v>
      </c>
      <c r="M183" s="4">
        <v>0.2</v>
      </c>
      <c r="N183" s="4">
        <v>9</v>
      </c>
      <c r="O183" s="4">
        <v>0.1</v>
      </c>
      <c r="P183" s="4" t="s">
        <v>0</v>
      </c>
      <c r="Q183" s="4">
        <v>19</v>
      </c>
      <c r="R183" s="4">
        <v>4</v>
      </c>
      <c r="S183" s="4">
        <v>0.2</v>
      </c>
      <c r="T183" s="4"/>
      <c r="U183" s="4"/>
      <c r="V183" s="4"/>
      <c r="W183" s="4"/>
      <c r="X183" s="4"/>
      <c r="Y183" s="4"/>
      <c r="Z183" s="4"/>
      <c r="AA183" s="4"/>
      <c r="AB183" s="4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</row>
    <row r="184" spans="1:50" ht="34" x14ac:dyDescent="0.2">
      <c r="A184" s="24" t="s">
        <v>93</v>
      </c>
      <c r="B184" s="24" t="s">
        <v>94</v>
      </c>
      <c r="D184" s="2" t="s">
        <v>0</v>
      </c>
      <c r="H184" s="2" t="s">
        <v>33</v>
      </c>
      <c r="I184" s="243" t="s">
        <v>1010</v>
      </c>
      <c r="J184" s="3">
        <v>95.3</v>
      </c>
      <c r="K184" s="3">
        <v>0.5</v>
      </c>
      <c r="L184" s="3">
        <v>13</v>
      </c>
      <c r="M184" s="3">
        <v>0.3</v>
      </c>
      <c r="P184" s="4" t="s">
        <v>0</v>
      </c>
      <c r="R184" s="3">
        <v>5</v>
      </c>
    </row>
    <row r="185" spans="1:50" s="71" customFormat="1" x14ac:dyDescent="0.2">
      <c r="A185" s="70" t="s">
        <v>93</v>
      </c>
      <c r="B185" s="70" t="s">
        <v>94</v>
      </c>
      <c r="C185" s="71" t="s">
        <v>95</v>
      </c>
      <c r="D185" s="71" t="s">
        <v>31</v>
      </c>
      <c r="E185" s="71" t="s">
        <v>46</v>
      </c>
      <c r="F185" s="71" t="s">
        <v>782</v>
      </c>
      <c r="H185" s="71" t="s">
        <v>33</v>
      </c>
      <c r="I185" s="87"/>
      <c r="J185" s="72">
        <f t="shared" ref="J185" si="26">AVERAGEIF(J182:J184, "&lt;&gt;0")</f>
        <v>94.899999999999991</v>
      </c>
      <c r="K185" s="72">
        <f>AVERAGEIF(K182:K184, "&lt;&gt;0")</f>
        <v>0.7994</v>
      </c>
      <c r="L185" s="72">
        <f>AVERAGEIF(L182:L184, "&lt;&gt;0")</f>
        <v>11.000066666666671</v>
      </c>
      <c r="M185" s="72">
        <f>AVERAGEIF(M182:M184, "&lt;&gt;0")</f>
        <v>0.26693333333333347</v>
      </c>
      <c r="N185" s="72">
        <f>AVERAGEIF(N182:N184, "&lt;&gt;0")</f>
        <v>9</v>
      </c>
      <c r="O185" s="72">
        <f>AVERAGEIF(O182:O184, "&lt;&gt;0")</f>
        <v>0.1</v>
      </c>
      <c r="P185" s="72"/>
      <c r="Q185" s="72">
        <f>AVERAGEIF(Q182:Q184, "&lt;&gt;0")</f>
        <v>19</v>
      </c>
      <c r="R185" s="72">
        <f>AVERAGEIF(R182:R184, "&lt;&gt;0")</f>
        <v>4.6669333333333354</v>
      </c>
      <c r="S185" s="72">
        <f>AVERAGEIF(S182:S184, "&lt;&gt;0")</f>
        <v>0.2</v>
      </c>
      <c r="T185" s="72"/>
      <c r="U185" s="72"/>
      <c r="V185" s="72"/>
      <c r="W185" s="72"/>
      <c r="X185" s="72"/>
      <c r="Y185" s="72"/>
      <c r="Z185" s="72"/>
      <c r="AA185" s="72"/>
      <c r="AB185" s="72"/>
      <c r="AC185" s="73"/>
      <c r="AD185" s="73"/>
      <c r="AE185" s="73"/>
      <c r="AF185" s="73"/>
      <c r="AG185" s="73"/>
      <c r="AH185" s="73"/>
      <c r="AI185" s="73"/>
      <c r="AJ185" s="73"/>
      <c r="AK185" s="73"/>
      <c r="AL185" s="73"/>
      <c r="AM185" s="73"/>
      <c r="AN185" s="73"/>
      <c r="AO185" s="73"/>
      <c r="AP185" s="73"/>
      <c r="AQ185" s="73"/>
      <c r="AR185" s="73"/>
      <c r="AS185" s="73"/>
      <c r="AT185" s="73"/>
      <c r="AU185" s="73"/>
      <c r="AV185" s="73"/>
      <c r="AW185" s="73"/>
      <c r="AX185" s="73"/>
    </row>
    <row r="186" spans="1:50" ht="51" x14ac:dyDescent="0.2">
      <c r="A186" s="24" t="s">
        <v>93</v>
      </c>
      <c r="B186" s="24" t="s">
        <v>96</v>
      </c>
      <c r="H186" s="2" t="s">
        <v>33</v>
      </c>
      <c r="I186" s="243" t="s">
        <v>1014</v>
      </c>
      <c r="J186" s="3">
        <v>84</v>
      </c>
      <c r="K186" s="3">
        <v>2.2000000000000002</v>
      </c>
      <c r="L186" s="3">
        <v>81</v>
      </c>
      <c r="M186" s="3">
        <v>7.4</v>
      </c>
      <c r="P186" s="4" t="s">
        <v>0</v>
      </c>
    </row>
    <row r="187" spans="1:50" s="22" customFormat="1" ht="17" x14ac:dyDescent="0.2">
      <c r="A187" s="25" t="s">
        <v>93</v>
      </c>
      <c r="B187" s="25" t="s">
        <v>96</v>
      </c>
      <c r="C187" s="26" t="s">
        <v>0</v>
      </c>
      <c r="D187" s="2"/>
      <c r="E187" s="2"/>
      <c r="F187" s="26"/>
      <c r="G187" s="26"/>
      <c r="H187" s="26" t="s">
        <v>33</v>
      </c>
      <c r="I187" s="65" t="s">
        <v>1006</v>
      </c>
      <c r="J187" s="4">
        <v>84</v>
      </c>
      <c r="K187" s="4">
        <v>2.2080000000000006</v>
      </c>
      <c r="L187" s="4">
        <v>81.008000000000024</v>
      </c>
      <c r="M187" s="4">
        <v>7.4080000000000013</v>
      </c>
      <c r="N187" s="4"/>
      <c r="O187" s="4"/>
      <c r="P187" s="4" t="s">
        <v>0</v>
      </c>
      <c r="Q187" s="4"/>
      <c r="R187" s="4">
        <v>10.000000000000002</v>
      </c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</row>
    <row r="188" spans="1:50" s="22" customFormat="1" ht="34" x14ac:dyDescent="0.2">
      <c r="A188" s="25" t="s">
        <v>93</v>
      </c>
      <c r="B188" s="25" t="s">
        <v>96</v>
      </c>
      <c r="C188" s="26" t="s">
        <v>0</v>
      </c>
      <c r="D188" s="2"/>
      <c r="E188" s="2"/>
      <c r="F188" s="26"/>
      <c r="G188" s="26"/>
      <c r="H188" s="26" t="s">
        <v>33</v>
      </c>
      <c r="I188" s="65" t="s">
        <v>1022</v>
      </c>
      <c r="J188" s="4">
        <v>90.2</v>
      </c>
      <c r="K188" s="4">
        <v>4.2</v>
      </c>
      <c r="L188" s="4">
        <v>1</v>
      </c>
      <c r="M188" s="4">
        <v>0.9</v>
      </c>
      <c r="N188" s="4">
        <v>33</v>
      </c>
      <c r="O188" s="4">
        <v>0.8</v>
      </c>
      <c r="P188" s="4" t="s">
        <v>0</v>
      </c>
      <c r="Q188" s="4">
        <v>160</v>
      </c>
      <c r="R188" s="4">
        <v>7</v>
      </c>
      <c r="S188" s="4">
        <v>4.3</v>
      </c>
      <c r="T188" s="4"/>
      <c r="U188" s="4"/>
      <c r="V188" s="4"/>
      <c r="W188" s="4"/>
      <c r="X188" s="4"/>
      <c r="Y188" s="4"/>
      <c r="Z188" s="4"/>
      <c r="AA188" s="4"/>
      <c r="AB188" s="4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</row>
    <row r="189" spans="1:50" s="71" customFormat="1" ht="15" customHeight="1" x14ac:dyDescent="0.2">
      <c r="A189" s="77" t="s">
        <v>93</v>
      </c>
      <c r="B189" s="77" t="s">
        <v>96</v>
      </c>
      <c r="C189" s="78" t="s">
        <v>97</v>
      </c>
      <c r="D189" s="71" t="s">
        <v>31</v>
      </c>
      <c r="E189" s="78" t="s">
        <v>32</v>
      </c>
      <c r="F189" s="78" t="s">
        <v>781</v>
      </c>
      <c r="G189" s="78"/>
      <c r="H189" s="78" t="s">
        <v>33</v>
      </c>
      <c r="I189" s="87"/>
      <c r="J189" s="72">
        <f t="shared" ref="J189" si="27">AVERAGE(J186:J188)</f>
        <v>86.066666666666663</v>
      </c>
      <c r="K189" s="72">
        <f>AVERAGE(K186:K188)</f>
        <v>2.8693333333333335</v>
      </c>
      <c r="L189" s="72">
        <f>AVERAGE(L186:L188)</f>
        <v>54.336000000000013</v>
      </c>
      <c r="M189" s="72">
        <f>AVERAGE(M186:M188)</f>
        <v>5.2360000000000007</v>
      </c>
      <c r="N189" s="72">
        <f>AVERAGE(N186:N188)</f>
        <v>33</v>
      </c>
      <c r="O189" s="72">
        <f>AVERAGE(O186:O188)</f>
        <v>0.8</v>
      </c>
      <c r="P189" s="72"/>
      <c r="Q189" s="72">
        <f>AVERAGE(Q186:Q188)</f>
        <v>160</v>
      </c>
      <c r="R189" s="72">
        <f>AVERAGE(R186:R188)</f>
        <v>8.5</v>
      </c>
      <c r="S189" s="72">
        <f>AVERAGE(S186:S188)</f>
        <v>4.3</v>
      </c>
      <c r="T189" s="72"/>
      <c r="U189" s="72"/>
      <c r="V189" s="72"/>
      <c r="W189" s="72"/>
      <c r="X189" s="72"/>
      <c r="Y189" s="72"/>
      <c r="Z189" s="72"/>
      <c r="AA189" s="72"/>
      <c r="AB189" s="72"/>
      <c r="AC189" s="73"/>
      <c r="AD189" s="73"/>
      <c r="AE189" s="73"/>
      <c r="AF189" s="73"/>
      <c r="AG189" s="73"/>
      <c r="AH189" s="73"/>
      <c r="AI189" s="73"/>
      <c r="AJ189" s="73"/>
      <c r="AK189" s="73"/>
      <c r="AL189" s="73"/>
      <c r="AM189" s="73"/>
      <c r="AN189" s="73"/>
      <c r="AO189" s="73"/>
      <c r="AP189" s="73"/>
      <c r="AQ189" s="73"/>
      <c r="AR189" s="73"/>
      <c r="AS189" s="73"/>
      <c r="AT189" s="73"/>
      <c r="AU189" s="73"/>
      <c r="AV189" s="73"/>
      <c r="AW189" s="73"/>
      <c r="AX189" s="73"/>
    </row>
    <row r="190" spans="1:50" ht="17" x14ac:dyDescent="0.2">
      <c r="A190" s="31" t="s">
        <v>98</v>
      </c>
      <c r="B190" s="31" t="s">
        <v>99</v>
      </c>
      <c r="C190" s="1"/>
      <c r="F190" s="1"/>
      <c r="G190" s="1"/>
      <c r="H190" s="1" t="s">
        <v>33</v>
      </c>
      <c r="I190" s="243" t="s">
        <v>1006</v>
      </c>
      <c r="J190" s="3">
        <v>88</v>
      </c>
      <c r="K190" s="3">
        <v>1.4041999999999999</v>
      </c>
      <c r="L190" s="3">
        <v>45.005799999999994</v>
      </c>
      <c r="M190" s="3">
        <v>2.2014999999999998</v>
      </c>
      <c r="P190" s="4">
        <f>AN190</f>
        <v>0</v>
      </c>
      <c r="R190" s="3">
        <v>35.997499999999995</v>
      </c>
      <c r="AE190" s="23"/>
      <c r="AN190" s="23"/>
    </row>
    <row r="191" spans="1:50" ht="34" x14ac:dyDescent="0.2">
      <c r="A191" s="21" t="s">
        <v>98</v>
      </c>
      <c r="B191" s="21" t="s">
        <v>99</v>
      </c>
      <c r="F191" s="1"/>
      <c r="G191" s="1"/>
      <c r="H191" s="22" t="s">
        <v>33</v>
      </c>
      <c r="I191" s="65" t="s">
        <v>1009</v>
      </c>
      <c r="K191" s="4">
        <v>1.22</v>
      </c>
      <c r="L191" s="4">
        <v>172</v>
      </c>
      <c r="M191" s="4">
        <v>2.0699999999999998</v>
      </c>
      <c r="O191" s="4">
        <v>0.24</v>
      </c>
      <c r="P191" s="4" t="s">
        <v>0</v>
      </c>
      <c r="Q191" s="4"/>
      <c r="R191" s="4">
        <v>20</v>
      </c>
      <c r="S191" s="4"/>
      <c r="T191" s="4"/>
      <c r="U191" s="4"/>
    </row>
    <row r="192" spans="1:50" ht="34" x14ac:dyDescent="0.2">
      <c r="A192" s="21" t="s">
        <v>98</v>
      </c>
      <c r="B192" s="21" t="s">
        <v>99</v>
      </c>
      <c r="F192" s="1"/>
      <c r="G192" s="1"/>
      <c r="H192" s="22" t="s">
        <v>33</v>
      </c>
      <c r="I192" s="65" t="s">
        <v>1009</v>
      </c>
      <c r="K192" s="4">
        <v>1.06</v>
      </c>
      <c r="L192" s="4">
        <v>95</v>
      </c>
      <c r="M192" s="4">
        <v>1.84</v>
      </c>
      <c r="O192" s="4"/>
      <c r="P192" s="4" t="s">
        <v>0</v>
      </c>
      <c r="Q192" s="4"/>
      <c r="R192" s="4"/>
      <c r="S192" s="4"/>
      <c r="T192" s="4"/>
      <c r="U192" s="4"/>
    </row>
    <row r="193" spans="1:50" s="71" customFormat="1" x14ac:dyDescent="0.2">
      <c r="A193" s="70" t="s">
        <v>98</v>
      </c>
      <c r="B193" s="70" t="s">
        <v>99</v>
      </c>
      <c r="C193" s="71" t="s">
        <v>100</v>
      </c>
      <c r="D193" s="71" t="s">
        <v>31</v>
      </c>
      <c r="E193" s="78" t="s">
        <v>46</v>
      </c>
      <c r="F193" s="78" t="s">
        <v>782</v>
      </c>
      <c r="G193" s="78"/>
      <c r="H193" s="71" t="s">
        <v>33</v>
      </c>
      <c r="I193" s="87"/>
      <c r="J193" s="72">
        <f>AVERAGEIF(J190:J192, "&lt;&gt;0")</f>
        <v>88</v>
      </c>
      <c r="K193" s="72">
        <f>AVERAGEIF(K190:K192, "&lt;&gt;0")</f>
        <v>1.2280666666666666</v>
      </c>
      <c r="L193" s="72">
        <f>AVERAGEIF(L190:L192, "&lt;&gt;0")</f>
        <v>104.00193333333334</v>
      </c>
      <c r="M193" s="72">
        <f>AVERAGEIF(M190:M192, "&lt;&gt;0")</f>
        <v>2.0371666666666663</v>
      </c>
      <c r="N193" s="72"/>
      <c r="O193" s="72">
        <f>AVERAGEIF(O190:O192, "&lt;&gt;0")</f>
        <v>0.24</v>
      </c>
      <c r="P193" s="72">
        <f>AVERAGE(P190:P192)</f>
        <v>0</v>
      </c>
      <c r="Q193" s="72"/>
      <c r="R193" s="72">
        <f>AVERAGEIF(R190:R192, "&lt;&gt;0")</f>
        <v>27.998749999999998</v>
      </c>
      <c r="S193" s="72"/>
      <c r="T193" s="72"/>
      <c r="U193" s="72"/>
      <c r="V193" s="72"/>
      <c r="W193" s="72"/>
      <c r="X193" s="72"/>
      <c r="Y193" s="72"/>
      <c r="Z193" s="72"/>
      <c r="AA193" s="72"/>
      <c r="AB193" s="72"/>
      <c r="AC193" s="73"/>
      <c r="AD193" s="73"/>
      <c r="AE193" s="73"/>
      <c r="AF193" s="73"/>
      <c r="AG193" s="73"/>
      <c r="AH193" s="73"/>
      <c r="AI193" s="73"/>
      <c r="AJ193" s="73"/>
      <c r="AK193" s="73"/>
      <c r="AL193" s="73"/>
      <c r="AM193" s="73"/>
      <c r="AN193" s="73"/>
      <c r="AO193" s="73"/>
      <c r="AP193" s="73"/>
      <c r="AQ193" s="73"/>
      <c r="AR193" s="73"/>
      <c r="AS193" s="73"/>
      <c r="AT193" s="73"/>
      <c r="AU193" s="73"/>
      <c r="AV193" s="73"/>
      <c r="AW193" s="73"/>
      <c r="AX193" s="73"/>
    </row>
    <row r="194" spans="1:50" s="22" customFormat="1" ht="34" x14ac:dyDescent="0.2">
      <c r="A194" s="21" t="s">
        <v>98</v>
      </c>
      <c r="B194" s="21" t="s">
        <v>101</v>
      </c>
      <c r="C194" s="22" t="s">
        <v>0</v>
      </c>
      <c r="D194" s="2"/>
      <c r="E194" s="2"/>
      <c r="H194" s="22" t="s">
        <v>33</v>
      </c>
      <c r="I194" s="65" t="s">
        <v>1009</v>
      </c>
      <c r="J194" s="4"/>
      <c r="K194" s="4">
        <v>3</v>
      </c>
      <c r="L194" s="4">
        <v>230</v>
      </c>
      <c r="M194" s="4">
        <v>3.2</v>
      </c>
      <c r="N194" s="4"/>
      <c r="O194" s="4">
        <v>0.3</v>
      </c>
      <c r="P194" s="4" t="s">
        <v>0</v>
      </c>
      <c r="Q194" s="4"/>
      <c r="R194" s="4">
        <v>44</v>
      </c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</row>
    <row r="195" spans="1:50" s="71" customFormat="1" ht="15" customHeight="1" x14ac:dyDescent="0.2">
      <c r="A195" s="70" t="s">
        <v>98</v>
      </c>
      <c r="B195" s="70" t="s">
        <v>101</v>
      </c>
      <c r="C195" s="71" t="s">
        <v>102</v>
      </c>
      <c r="D195" s="71" t="s">
        <v>31</v>
      </c>
      <c r="E195" s="71" t="s">
        <v>46</v>
      </c>
      <c r="F195" s="71" t="s">
        <v>782</v>
      </c>
      <c r="H195" s="71" t="s">
        <v>33</v>
      </c>
      <c r="I195" s="87"/>
      <c r="J195" s="72"/>
      <c r="K195" s="72">
        <f>AVERAGEIF(K194, "&lt;&gt;0")</f>
        <v>3</v>
      </c>
      <c r="L195" s="72">
        <f>AVERAGEIF(L194, "&lt;&gt;0")</f>
        <v>230</v>
      </c>
      <c r="M195" s="72">
        <f>AVERAGEIF(M194, "&lt;&gt;0")</f>
        <v>3.2</v>
      </c>
      <c r="N195" s="72"/>
      <c r="O195" s="72">
        <f>AVERAGEIF(O194, "&lt;&gt;0")</f>
        <v>0.3</v>
      </c>
      <c r="P195" s="72"/>
      <c r="Q195" s="72"/>
      <c r="R195" s="72">
        <f>AVERAGEIF(R194, "&lt;&gt;0")</f>
        <v>44</v>
      </c>
      <c r="S195" s="72"/>
      <c r="T195" s="72"/>
      <c r="U195" s="72"/>
      <c r="V195" s="72"/>
      <c r="W195" s="72"/>
      <c r="X195" s="72"/>
      <c r="Y195" s="72"/>
      <c r="Z195" s="72"/>
      <c r="AA195" s="72"/>
      <c r="AB195" s="72"/>
      <c r="AC195" s="73"/>
      <c r="AD195" s="73"/>
      <c r="AE195" s="73"/>
      <c r="AF195" s="73"/>
      <c r="AG195" s="73"/>
      <c r="AH195" s="73"/>
      <c r="AI195" s="73"/>
      <c r="AJ195" s="73"/>
      <c r="AK195" s="73"/>
      <c r="AL195" s="73"/>
      <c r="AM195" s="73"/>
      <c r="AN195" s="73"/>
      <c r="AO195" s="73"/>
      <c r="AP195" s="73"/>
      <c r="AQ195" s="73"/>
      <c r="AR195" s="73"/>
      <c r="AS195" s="73"/>
      <c r="AT195" s="73"/>
      <c r="AU195" s="73"/>
      <c r="AV195" s="73"/>
      <c r="AW195" s="73"/>
      <c r="AX195" s="73"/>
    </row>
    <row r="196" spans="1:50" s="22" customFormat="1" ht="34" x14ac:dyDescent="0.2">
      <c r="A196" s="25" t="s">
        <v>103</v>
      </c>
      <c r="B196" s="25" t="s">
        <v>104</v>
      </c>
      <c r="C196" s="22" t="s">
        <v>0</v>
      </c>
      <c r="D196" s="2"/>
      <c r="E196" s="2"/>
      <c r="H196" s="22" t="s">
        <v>105</v>
      </c>
      <c r="I196" s="65" t="s">
        <v>1023</v>
      </c>
      <c r="J196" s="4">
        <v>80</v>
      </c>
      <c r="K196" s="4"/>
      <c r="L196" s="4">
        <v>437</v>
      </c>
      <c r="M196" s="4">
        <v>6.3</v>
      </c>
      <c r="N196" s="4"/>
      <c r="O196" s="4"/>
      <c r="P196" s="4">
        <f>AN196</f>
        <v>0</v>
      </c>
      <c r="Q196" s="4"/>
      <c r="R196" s="4">
        <v>391</v>
      </c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23"/>
      <c r="AD196" s="23"/>
      <c r="AE196" s="23"/>
      <c r="AF196" s="23"/>
      <c r="AG196" s="23"/>
      <c r="AH196" s="23"/>
      <c r="AI196" s="23"/>
      <c r="AJ196" s="23"/>
      <c r="AK196" s="5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</row>
    <row r="197" spans="1:50" s="76" customFormat="1" ht="15" customHeight="1" x14ac:dyDescent="0.2">
      <c r="A197" s="77" t="s">
        <v>103</v>
      </c>
      <c r="B197" s="77" t="s">
        <v>104</v>
      </c>
      <c r="C197" s="71" t="s">
        <v>106</v>
      </c>
      <c r="D197" s="71" t="s">
        <v>31</v>
      </c>
      <c r="E197" s="71" t="s">
        <v>46</v>
      </c>
      <c r="F197" s="71" t="s">
        <v>782</v>
      </c>
      <c r="G197" s="71"/>
      <c r="H197" s="71" t="s">
        <v>105</v>
      </c>
      <c r="I197" s="244"/>
      <c r="J197" s="72">
        <f>AVERAGEIF(J196, "&lt;&gt;0")</f>
        <v>80</v>
      </c>
      <c r="K197" s="74"/>
      <c r="L197" s="72">
        <f>AVERAGEIF(L196, "&lt;&gt;0")</f>
        <v>437</v>
      </c>
      <c r="M197" s="72">
        <f>AVERAGEIF(M196, "&lt;&gt;0")</f>
        <v>6.3</v>
      </c>
      <c r="N197" s="74"/>
      <c r="O197" s="74"/>
      <c r="P197" s="72">
        <f>P196</f>
        <v>0</v>
      </c>
      <c r="Q197" s="74"/>
      <c r="R197" s="72">
        <f>AVERAGEIF(R196, "&lt;&gt;0")</f>
        <v>391</v>
      </c>
      <c r="S197" s="74"/>
      <c r="T197" s="72"/>
      <c r="U197" s="72"/>
      <c r="V197" s="72"/>
      <c r="W197" s="72"/>
      <c r="X197" s="72"/>
      <c r="Y197" s="72"/>
      <c r="Z197" s="72"/>
      <c r="AA197" s="72"/>
      <c r="AB197" s="74"/>
      <c r="AC197" s="75"/>
      <c r="AD197" s="75"/>
      <c r="AE197" s="75"/>
      <c r="AF197" s="75"/>
      <c r="AG197" s="75"/>
      <c r="AH197" s="75"/>
      <c r="AI197" s="75"/>
      <c r="AJ197" s="75"/>
      <c r="AK197" s="75"/>
      <c r="AL197" s="75"/>
      <c r="AM197" s="75"/>
      <c r="AN197" s="75"/>
      <c r="AO197" s="75"/>
      <c r="AP197" s="75"/>
      <c r="AQ197" s="75"/>
      <c r="AR197" s="75"/>
      <c r="AS197" s="75"/>
      <c r="AT197" s="75"/>
      <c r="AU197" s="75"/>
      <c r="AV197" s="75"/>
      <c r="AW197" s="75"/>
      <c r="AX197" s="75"/>
    </row>
    <row r="198" spans="1:50" ht="34" x14ac:dyDescent="0.2">
      <c r="A198" s="31" t="s">
        <v>107</v>
      </c>
      <c r="B198" s="31" t="s">
        <v>108</v>
      </c>
      <c r="C198" s="1"/>
      <c r="H198" s="2" t="s">
        <v>33</v>
      </c>
      <c r="I198" s="243" t="s">
        <v>1016</v>
      </c>
      <c r="J198" s="3">
        <v>93.1</v>
      </c>
      <c r="K198" s="3">
        <v>1.27</v>
      </c>
      <c r="L198" s="3">
        <v>26</v>
      </c>
      <c r="M198" s="3">
        <v>0.67500000000000004</v>
      </c>
      <c r="N198" s="3">
        <v>17</v>
      </c>
      <c r="O198" s="3">
        <v>0.39600000000000002</v>
      </c>
      <c r="P198" s="4" t="s">
        <v>0</v>
      </c>
      <c r="S198" s="3">
        <v>2</v>
      </c>
    </row>
    <row r="199" spans="1:50" ht="34" x14ac:dyDescent="0.2">
      <c r="A199" s="24" t="s">
        <v>107</v>
      </c>
      <c r="B199" s="24" t="s">
        <v>108</v>
      </c>
      <c r="H199" s="2" t="s">
        <v>33</v>
      </c>
      <c r="I199" s="243" t="s">
        <v>1004</v>
      </c>
      <c r="J199" s="3">
        <v>92</v>
      </c>
      <c r="L199" s="3">
        <v>24</v>
      </c>
      <c r="M199" s="3">
        <v>1.2</v>
      </c>
      <c r="P199" s="4">
        <f t="shared" ref="P199:P203" si="28">AN199</f>
        <v>0</v>
      </c>
      <c r="Q199" s="3">
        <v>108</v>
      </c>
      <c r="R199" s="3">
        <v>20</v>
      </c>
      <c r="AI199" s="23"/>
      <c r="AN199" s="23"/>
    </row>
    <row r="200" spans="1:50" ht="17" x14ac:dyDescent="0.2">
      <c r="A200" s="31" t="s">
        <v>107</v>
      </c>
      <c r="B200" s="31" t="s">
        <v>108</v>
      </c>
      <c r="C200" s="1"/>
      <c r="H200" s="2" t="s">
        <v>33</v>
      </c>
      <c r="I200" s="243" t="s">
        <v>1006</v>
      </c>
      <c r="J200" s="3">
        <v>93</v>
      </c>
      <c r="K200" s="3">
        <v>0.89789999999999937</v>
      </c>
      <c r="L200" s="3">
        <v>16.001599999999989</v>
      </c>
      <c r="M200" s="3">
        <v>1.4015999999999991</v>
      </c>
      <c r="P200" s="4">
        <f t="shared" si="28"/>
        <v>0</v>
      </c>
      <c r="R200" s="3">
        <v>20.001999999999988</v>
      </c>
      <c r="AE200" s="23"/>
      <c r="AN200" s="23"/>
    </row>
    <row r="201" spans="1:50" ht="17" x14ac:dyDescent="0.2">
      <c r="A201" s="31" t="s">
        <v>107</v>
      </c>
      <c r="B201" s="31" t="s">
        <v>108</v>
      </c>
      <c r="C201" s="1"/>
      <c r="H201" s="2" t="s">
        <v>33</v>
      </c>
      <c r="I201" s="243" t="s">
        <v>1006</v>
      </c>
      <c r="J201" s="3">
        <v>93</v>
      </c>
      <c r="K201" s="3">
        <v>0.69999999999999962</v>
      </c>
      <c r="L201" s="3">
        <v>24.996999999999986</v>
      </c>
      <c r="M201" s="3">
        <v>1.0009999999999994</v>
      </c>
      <c r="P201" s="4">
        <f t="shared" si="28"/>
        <v>0</v>
      </c>
      <c r="R201" s="3">
        <v>39.997999999999969</v>
      </c>
      <c r="AE201" s="23"/>
      <c r="AN201" s="23"/>
    </row>
    <row r="202" spans="1:50" ht="17" x14ac:dyDescent="0.2">
      <c r="A202" s="24" t="s">
        <v>107</v>
      </c>
      <c r="B202" s="24" t="s">
        <v>108</v>
      </c>
      <c r="H202" s="2" t="s">
        <v>33</v>
      </c>
      <c r="I202" s="243" t="s">
        <v>1006</v>
      </c>
      <c r="J202" s="3">
        <v>91.7</v>
      </c>
      <c r="K202" s="3">
        <v>0.7</v>
      </c>
      <c r="L202" s="3">
        <v>22</v>
      </c>
      <c r="M202" s="3">
        <v>1</v>
      </c>
      <c r="P202" s="4">
        <f t="shared" si="28"/>
        <v>0</v>
      </c>
      <c r="R202" s="3">
        <v>33</v>
      </c>
      <c r="AE202" s="23"/>
      <c r="AN202" s="23"/>
    </row>
    <row r="203" spans="1:50" ht="17" x14ac:dyDescent="0.2">
      <c r="A203" s="31" t="s">
        <v>107</v>
      </c>
      <c r="B203" s="31" t="s">
        <v>108</v>
      </c>
      <c r="C203" s="1"/>
      <c r="H203" s="2" t="s">
        <v>33</v>
      </c>
      <c r="I203" s="243" t="s">
        <v>1006</v>
      </c>
      <c r="J203" s="3">
        <v>92</v>
      </c>
      <c r="K203" s="3">
        <v>0.69719999999999971</v>
      </c>
      <c r="L203" s="3">
        <v>22.003299999999992</v>
      </c>
      <c r="M203" s="3">
        <v>0.99599999999999955</v>
      </c>
      <c r="P203" s="4">
        <f t="shared" si="28"/>
        <v>0</v>
      </c>
      <c r="R203" s="3">
        <v>33.000799999999984</v>
      </c>
      <c r="AE203" s="23"/>
      <c r="AN203" s="23"/>
    </row>
    <row r="204" spans="1:50" ht="17" x14ac:dyDescent="0.2">
      <c r="A204" s="31" t="s">
        <v>107</v>
      </c>
      <c r="B204" s="31" t="s">
        <v>108</v>
      </c>
      <c r="C204" s="1"/>
      <c r="H204" s="2" t="s">
        <v>33</v>
      </c>
      <c r="I204" s="243" t="s">
        <v>1006</v>
      </c>
      <c r="J204" s="3">
        <v>92</v>
      </c>
      <c r="K204" s="3">
        <v>0.80359999999999965</v>
      </c>
      <c r="L204" s="3">
        <v>25.001799999999985</v>
      </c>
      <c r="M204" s="3">
        <v>0.90199999999999958</v>
      </c>
      <c r="P204" s="4" t="s">
        <v>0</v>
      </c>
      <c r="R204" s="3">
        <v>10.003999999999996</v>
      </c>
    </row>
    <row r="205" spans="1:50" ht="34" x14ac:dyDescent="0.2">
      <c r="A205" s="31" t="s">
        <v>107</v>
      </c>
      <c r="B205" s="31" t="s">
        <v>108</v>
      </c>
      <c r="H205" s="2" t="s">
        <v>33</v>
      </c>
      <c r="I205" s="243" t="s">
        <v>1023</v>
      </c>
      <c r="J205" s="3">
        <v>92</v>
      </c>
      <c r="K205" s="3">
        <v>0.7</v>
      </c>
      <c r="L205" s="3">
        <v>22</v>
      </c>
      <c r="M205" s="3">
        <v>0.8</v>
      </c>
      <c r="P205" s="4">
        <f t="shared" ref="P205:P207" si="29">AN205</f>
        <v>0</v>
      </c>
      <c r="R205" s="3">
        <v>29</v>
      </c>
      <c r="AN205" s="23"/>
    </row>
    <row r="206" spans="1:50" ht="17" x14ac:dyDescent="0.2">
      <c r="A206" s="24" t="s">
        <v>107</v>
      </c>
      <c r="B206" s="24" t="s">
        <v>108</v>
      </c>
      <c r="C206" s="32" t="s">
        <v>0</v>
      </c>
      <c r="H206" s="2" t="s">
        <v>33</v>
      </c>
      <c r="I206" s="243" t="s">
        <v>1007</v>
      </c>
      <c r="J206" s="3">
        <v>93.2</v>
      </c>
      <c r="K206" s="3">
        <v>2.1</v>
      </c>
      <c r="L206" s="3">
        <v>24</v>
      </c>
      <c r="M206" s="3">
        <v>2.4</v>
      </c>
      <c r="N206" s="3">
        <v>14</v>
      </c>
      <c r="O206" s="3">
        <v>0.54</v>
      </c>
      <c r="P206" s="4">
        <f t="shared" si="29"/>
        <v>0</v>
      </c>
      <c r="Q206" s="3">
        <v>52</v>
      </c>
      <c r="R206" s="3">
        <v>5.6</v>
      </c>
      <c r="S206" s="3">
        <v>1.1299999999999999</v>
      </c>
      <c r="AI206" s="23"/>
      <c r="AN206" s="23"/>
    </row>
    <row r="207" spans="1:50" ht="34" x14ac:dyDescent="0.2">
      <c r="A207" s="24" t="s">
        <v>107</v>
      </c>
      <c r="B207" s="24" t="s">
        <v>108</v>
      </c>
      <c r="H207" s="2" t="s">
        <v>33</v>
      </c>
      <c r="I207" s="243" t="s">
        <v>1010</v>
      </c>
      <c r="J207" s="3">
        <v>92.2</v>
      </c>
      <c r="K207" s="3">
        <v>0.77</v>
      </c>
      <c r="L207" s="3">
        <v>22</v>
      </c>
      <c r="M207" s="3">
        <v>0.8</v>
      </c>
      <c r="N207" s="3">
        <v>18</v>
      </c>
      <c r="P207" s="4">
        <f t="shared" si="29"/>
        <v>0</v>
      </c>
      <c r="R207" s="3">
        <v>33</v>
      </c>
      <c r="AI207" s="23"/>
      <c r="AN207" s="23"/>
    </row>
    <row r="208" spans="1:50" s="71" customFormat="1" x14ac:dyDescent="0.2">
      <c r="A208" s="77" t="s">
        <v>107</v>
      </c>
      <c r="B208" s="77" t="s">
        <v>108</v>
      </c>
      <c r="C208" s="71" t="s">
        <v>109</v>
      </c>
      <c r="D208" s="71" t="s">
        <v>31</v>
      </c>
      <c r="E208" s="71" t="s">
        <v>46</v>
      </c>
      <c r="F208" s="71" t="s">
        <v>782</v>
      </c>
      <c r="H208" s="71" t="s">
        <v>33</v>
      </c>
      <c r="I208" s="87"/>
      <c r="J208" s="72">
        <f t="shared" ref="J208" si="30">AVERAGEIF(J198:J207, "&lt;&gt;0")</f>
        <v>92.42</v>
      </c>
      <c r="K208" s="72">
        <f t="shared" ref="K208:S208" si="31">AVERAGEIF(K198:K207, "&lt;&gt;0")</f>
        <v>0.95985555555555535</v>
      </c>
      <c r="L208" s="72">
        <f t="shared" si="31"/>
        <v>22.800369999999994</v>
      </c>
      <c r="M208" s="72">
        <f t="shared" si="31"/>
        <v>1.1175599999999997</v>
      </c>
      <c r="N208" s="72">
        <f t="shared" si="31"/>
        <v>16.333333333333332</v>
      </c>
      <c r="O208" s="72">
        <f t="shared" si="31"/>
        <v>0.46800000000000003</v>
      </c>
      <c r="P208" s="72">
        <f>AVERAGE(P198:P207)</f>
        <v>0</v>
      </c>
      <c r="Q208" s="72">
        <f t="shared" si="31"/>
        <v>80</v>
      </c>
      <c r="R208" s="72">
        <f t="shared" si="31"/>
        <v>24.844977777777771</v>
      </c>
      <c r="S208" s="72">
        <f t="shared" si="31"/>
        <v>1.5649999999999999</v>
      </c>
      <c r="T208" s="72"/>
      <c r="U208" s="72"/>
      <c r="V208" s="72"/>
      <c r="W208" s="72"/>
      <c r="X208" s="72"/>
      <c r="Y208" s="72"/>
      <c r="Z208" s="72"/>
      <c r="AA208" s="72"/>
      <c r="AB208" s="72"/>
      <c r="AC208" s="73"/>
      <c r="AD208" s="73"/>
      <c r="AE208" s="73"/>
      <c r="AF208" s="73"/>
      <c r="AG208" s="73"/>
      <c r="AH208" s="73"/>
      <c r="AI208" s="73"/>
      <c r="AJ208" s="73"/>
      <c r="AK208" s="73"/>
      <c r="AL208" s="73"/>
      <c r="AM208" s="73"/>
      <c r="AN208" s="73"/>
      <c r="AO208" s="73"/>
      <c r="AP208" s="73"/>
      <c r="AQ208" s="73"/>
      <c r="AR208" s="73"/>
      <c r="AS208" s="73"/>
      <c r="AT208" s="73"/>
      <c r="AU208" s="73"/>
      <c r="AV208" s="73"/>
      <c r="AW208" s="73"/>
      <c r="AX208" s="73"/>
    </row>
    <row r="209" spans="1:50" ht="85" x14ac:dyDescent="0.2">
      <c r="A209" s="24" t="s">
        <v>110</v>
      </c>
      <c r="B209" s="24" t="s">
        <v>111</v>
      </c>
      <c r="H209" s="2" t="s">
        <v>33</v>
      </c>
      <c r="I209" s="243" t="s">
        <v>1025</v>
      </c>
      <c r="P209" s="4">
        <f t="shared" ref="P209:P210" si="32">AN209</f>
        <v>0</v>
      </c>
      <c r="AN209" s="23"/>
    </row>
    <row r="210" spans="1:50" ht="34" x14ac:dyDescent="0.2">
      <c r="A210" s="24" t="s">
        <v>110</v>
      </c>
      <c r="B210" s="24" t="s">
        <v>111</v>
      </c>
      <c r="H210" s="2" t="s">
        <v>33</v>
      </c>
      <c r="I210" s="243" t="s">
        <v>1009</v>
      </c>
      <c r="K210" s="3">
        <v>0.94</v>
      </c>
      <c r="L210" s="3">
        <v>45</v>
      </c>
      <c r="M210" s="3">
        <v>0.68</v>
      </c>
      <c r="O210" s="3">
        <v>0.39</v>
      </c>
      <c r="P210" s="4">
        <f t="shared" si="32"/>
        <v>0</v>
      </c>
      <c r="R210" s="3">
        <v>67</v>
      </c>
      <c r="AN210" s="23"/>
    </row>
    <row r="211" spans="1:50" s="71" customFormat="1" x14ac:dyDescent="0.2">
      <c r="A211" s="70" t="s">
        <v>110</v>
      </c>
      <c r="B211" s="70" t="s">
        <v>111</v>
      </c>
      <c r="C211" s="71" t="s">
        <v>112</v>
      </c>
      <c r="D211" s="71" t="s">
        <v>31</v>
      </c>
      <c r="E211" s="71" t="s">
        <v>46</v>
      </c>
      <c r="F211" s="71" t="s">
        <v>785</v>
      </c>
      <c r="H211" s="71" t="s">
        <v>33</v>
      </c>
      <c r="I211" s="87"/>
      <c r="J211" s="72"/>
      <c r="K211" s="72">
        <f>AVERAGEIF(K209:K210, "&lt;&gt;0")</f>
        <v>0.94</v>
      </c>
      <c r="L211" s="72">
        <f>AVERAGEIF(L209:L210, "&lt;&gt;0")</f>
        <v>45</v>
      </c>
      <c r="M211" s="72">
        <f>AVERAGEIF(M209:M210, "&lt;&gt;0")</f>
        <v>0.68</v>
      </c>
      <c r="N211" s="72"/>
      <c r="O211" s="72">
        <f>AVERAGEIF(O209:O210, "&lt;&gt;0")</f>
        <v>0.39</v>
      </c>
      <c r="P211" s="72">
        <f>AVERAGE(P209:P210)</f>
        <v>0</v>
      </c>
      <c r="Q211" s="72"/>
      <c r="R211" s="72">
        <f>AVERAGEIF(R209:R210, "&lt;&gt;0")</f>
        <v>67</v>
      </c>
      <c r="S211" s="72"/>
      <c r="T211" s="72"/>
      <c r="U211" s="72"/>
      <c r="V211" s="72"/>
      <c r="W211" s="72"/>
      <c r="X211" s="72"/>
      <c r="Y211" s="72"/>
      <c r="Z211" s="72"/>
      <c r="AA211" s="72"/>
      <c r="AB211" s="72"/>
      <c r="AC211" s="73"/>
      <c r="AD211" s="73"/>
      <c r="AE211" s="73"/>
      <c r="AF211" s="73"/>
      <c r="AG211" s="73"/>
      <c r="AH211" s="73"/>
      <c r="AI211" s="73"/>
      <c r="AJ211" s="73"/>
      <c r="AK211" s="73"/>
      <c r="AL211" s="73"/>
      <c r="AM211" s="73"/>
      <c r="AN211" s="73"/>
      <c r="AO211" s="73"/>
      <c r="AP211" s="73"/>
      <c r="AQ211" s="73"/>
      <c r="AR211" s="73"/>
      <c r="AS211" s="73"/>
      <c r="AT211" s="73"/>
      <c r="AU211" s="73"/>
      <c r="AV211" s="73"/>
      <c r="AW211" s="73"/>
      <c r="AX211" s="73"/>
    </row>
    <row r="212" spans="1:50" ht="34" x14ac:dyDescent="0.2">
      <c r="A212" s="24" t="s">
        <v>113</v>
      </c>
      <c r="B212" s="24" t="s">
        <v>114</v>
      </c>
      <c r="H212" s="2" t="s">
        <v>33</v>
      </c>
      <c r="I212" s="243" t="s">
        <v>1009</v>
      </c>
      <c r="K212" s="3">
        <v>1.36</v>
      </c>
      <c r="L212" s="3">
        <v>145</v>
      </c>
      <c r="M212" s="3">
        <v>2.2799999999999998</v>
      </c>
      <c r="P212" s="4">
        <f t="shared" ref="P212:P214" si="33">AN212</f>
        <v>0</v>
      </c>
      <c r="Q212" s="3">
        <v>27</v>
      </c>
      <c r="R212" s="3">
        <v>47</v>
      </c>
      <c r="S212" s="3">
        <v>2.98</v>
      </c>
      <c r="AN212" s="23"/>
    </row>
    <row r="213" spans="1:50" ht="34" x14ac:dyDescent="0.2">
      <c r="A213" s="24" t="s">
        <v>113</v>
      </c>
      <c r="B213" s="24" t="s">
        <v>114</v>
      </c>
      <c r="H213" s="2" t="s">
        <v>33</v>
      </c>
      <c r="I213" s="243" t="s">
        <v>1009</v>
      </c>
      <c r="K213" s="3">
        <v>1.36</v>
      </c>
      <c r="L213" s="3">
        <v>145</v>
      </c>
      <c r="M213" s="3">
        <v>2.2799999999999998</v>
      </c>
      <c r="P213" s="4">
        <f t="shared" si="33"/>
        <v>0</v>
      </c>
      <c r="Q213" s="3">
        <v>27</v>
      </c>
      <c r="R213" s="3">
        <v>47</v>
      </c>
      <c r="AN213" s="23"/>
    </row>
    <row r="214" spans="1:50" ht="34" x14ac:dyDescent="0.2">
      <c r="A214" s="24" t="s">
        <v>113</v>
      </c>
      <c r="B214" s="24" t="s">
        <v>114</v>
      </c>
      <c r="H214" s="2" t="s">
        <v>33</v>
      </c>
      <c r="I214" s="243" t="s">
        <v>1009</v>
      </c>
      <c r="K214" s="3">
        <v>1.47</v>
      </c>
      <c r="L214" s="3">
        <v>165</v>
      </c>
      <c r="M214" s="3">
        <v>1.82</v>
      </c>
      <c r="O214" s="3">
        <v>0.28999999999999998</v>
      </c>
      <c r="P214" s="4">
        <f t="shared" si="33"/>
        <v>0</v>
      </c>
      <c r="R214" s="3">
        <v>19</v>
      </c>
      <c r="AN214" s="23"/>
    </row>
    <row r="215" spans="1:50" s="71" customFormat="1" x14ac:dyDescent="0.2">
      <c r="A215" s="70" t="s">
        <v>113</v>
      </c>
      <c r="B215" s="70" t="s">
        <v>114</v>
      </c>
      <c r="C215" s="71" t="s">
        <v>115</v>
      </c>
      <c r="D215" s="71" t="s">
        <v>31</v>
      </c>
      <c r="E215" s="71" t="s">
        <v>46</v>
      </c>
      <c r="F215" s="71" t="s">
        <v>782</v>
      </c>
      <c r="H215" s="71" t="s">
        <v>33</v>
      </c>
      <c r="I215" s="87"/>
      <c r="J215" s="72"/>
      <c r="K215" s="72">
        <f>AVERAGEIF(K212:K214, "&lt;&gt;0")</f>
        <v>1.3966666666666667</v>
      </c>
      <c r="L215" s="72">
        <f>AVERAGEIF(L212:L214, "&lt;&gt;0")</f>
        <v>151.66666666666666</v>
      </c>
      <c r="M215" s="72">
        <f>AVERAGEIF(M212:M214, "&lt;&gt;0")</f>
        <v>2.1266666666666665</v>
      </c>
      <c r="N215" s="72"/>
      <c r="O215" s="72">
        <f t="shared" ref="O215:S215" si="34">AVERAGEIF(O212:O214, "&lt;&gt;0")</f>
        <v>0.28999999999999998</v>
      </c>
      <c r="P215" s="72">
        <f>AVERAGE(P212:P214)</f>
        <v>0</v>
      </c>
      <c r="Q215" s="72">
        <f t="shared" si="34"/>
        <v>27</v>
      </c>
      <c r="R215" s="72">
        <f t="shared" si="34"/>
        <v>37.666666666666664</v>
      </c>
      <c r="S215" s="72">
        <f t="shared" si="34"/>
        <v>2.98</v>
      </c>
      <c r="T215" s="72"/>
      <c r="U215" s="72"/>
      <c r="V215" s="72"/>
      <c r="W215" s="72"/>
      <c r="X215" s="72"/>
      <c r="Y215" s="72"/>
      <c r="Z215" s="72"/>
      <c r="AA215" s="72"/>
      <c r="AB215" s="72"/>
      <c r="AC215" s="73"/>
      <c r="AD215" s="73"/>
      <c r="AE215" s="73"/>
      <c r="AF215" s="73"/>
      <c r="AG215" s="73"/>
      <c r="AH215" s="73"/>
      <c r="AI215" s="73"/>
      <c r="AJ215" s="73"/>
      <c r="AK215" s="73"/>
      <c r="AL215" s="73"/>
      <c r="AM215" s="73"/>
      <c r="AN215" s="73"/>
      <c r="AO215" s="73"/>
      <c r="AP215" s="73"/>
      <c r="AQ215" s="73"/>
      <c r="AR215" s="73"/>
      <c r="AS215" s="73"/>
      <c r="AT215" s="73"/>
      <c r="AU215" s="73"/>
      <c r="AV215" s="73"/>
      <c r="AW215" s="73"/>
      <c r="AX215" s="73"/>
    </row>
    <row r="216" spans="1:50" s="22" customFormat="1" ht="102" x14ac:dyDescent="0.2">
      <c r="A216" s="21" t="s">
        <v>116</v>
      </c>
      <c r="B216" s="21" t="s">
        <v>117</v>
      </c>
      <c r="C216" s="2"/>
      <c r="D216" s="2"/>
      <c r="E216" s="2"/>
      <c r="H216" s="22" t="s">
        <v>33</v>
      </c>
      <c r="I216" s="65" t="s">
        <v>119</v>
      </c>
      <c r="J216" s="4">
        <v>0.6</v>
      </c>
      <c r="K216" s="4">
        <v>3.88</v>
      </c>
      <c r="L216" s="4">
        <v>684</v>
      </c>
      <c r="M216" s="4">
        <v>8.6999999999999993</v>
      </c>
      <c r="N216" s="4">
        <v>428</v>
      </c>
      <c r="O216" s="4"/>
      <c r="P216" s="4" t="s">
        <v>0</v>
      </c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</row>
    <row r="217" spans="1:50" s="22" customFormat="1" ht="102" x14ac:dyDescent="0.2">
      <c r="A217" s="21" t="s">
        <v>116</v>
      </c>
      <c r="B217" s="21" t="s">
        <v>117</v>
      </c>
      <c r="C217" s="2"/>
      <c r="D217" s="2"/>
      <c r="E217" s="2"/>
      <c r="H217" s="22" t="s">
        <v>33</v>
      </c>
      <c r="I217" s="65" t="s">
        <v>119</v>
      </c>
      <c r="J217" s="4">
        <v>0.6</v>
      </c>
      <c r="K217" s="4">
        <v>7.6</v>
      </c>
      <c r="L217" s="4">
        <v>1140</v>
      </c>
      <c r="M217" s="4">
        <v>28.5</v>
      </c>
      <c r="N217" s="4">
        <v>792</v>
      </c>
      <c r="O217" s="4"/>
      <c r="P217" s="4" t="s">
        <v>0</v>
      </c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</row>
    <row r="218" spans="1:50" s="71" customFormat="1" x14ac:dyDescent="0.2">
      <c r="A218" s="70" t="s">
        <v>116</v>
      </c>
      <c r="B218" s="70" t="s">
        <v>117</v>
      </c>
      <c r="C218" s="71" t="s">
        <v>118</v>
      </c>
      <c r="D218" s="71" t="s">
        <v>31</v>
      </c>
      <c r="E218" s="71" t="s">
        <v>32</v>
      </c>
      <c r="F218" s="71" t="s">
        <v>783</v>
      </c>
      <c r="H218" s="71" t="s">
        <v>33</v>
      </c>
      <c r="I218" s="87"/>
      <c r="J218" s="72">
        <f>AVERAGE(J216:J217)</f>
        <v>0.6</v>
      </c>
      <c r="K218" s="72">
        <f t="shared" ref="K218:N218" si="35">AVERAGE(K216:K217)</f>
        <v>5.74</v>
      </c>
      <c r="L218" s="72">
        <f t="shared" si="35"/>
        <v>912</v>
      </c>
      <c r="M218" s="72">
        <f t="shared" si="35"/>
        <v>18.600000000000001</v>
      </c>
      <c r="N218" s="72">
        <f t="shared" si="35"/>
        <v>610</v>
      </c>
      <c r="O218" s="72"/>
      <c r="P218" s="72"/>
      <c r="Q218" s="72"/>
      <c r="R218" s="72"/>
      <c r="S218" s="72"/>
      <c r="T218" s="72"/>
      <c r="U218" s="72"/>
      <c r="V218" s="72"/>
      <c r="W218" s="72"/>
      <c r="X218" s="72"/>
      <c r="Y218" s="72"/>
      <c r="Z218" s="72"/>
      <c r="AA218" s="72"/>
      <c r="AB218" s="72"/>
      <c r="AC218" s="73"/>
      <c r="AD218" s="73"/>
      <c r="AE218" s="73"/>
      <c r="AF218" s="73"/>
      <c r="AG218" s="73"/>
      <c r="AH218" s="73"/>
      <c r="AI218" s="73"/>
      <c r="AJ218" s="73"/>
      <c r="AK218" s="73"/>
      <c r="AL218" s="73"/>
      <c r="AM218" s="73"/>
      <c r="AN218" s="73"/>
      <c r="AO218" s="73"/>
      <c r="AP218" s="73"/>
      <c r="AQ218" s="73"/>
      <c r="AR218" s="73"/>
      <c r="AS218" s="73"/>
      <c r="AT218" s="73"/>
      <c r="AU218" s="73"/>
      <c r="AV218" s="73"/>
      <c r="AW218" s="73"/>
      <c r="AX218" s="73"/>
    </row>
    <row r="219" spans="1:50" s="22" customFormat="1" ht="34" x14ac:dyDescent="0.2">
      <c r="A219" s="21" t="s">
        <v>116</v>
      </c>
      <c r="B219" s="21" t="s">
        <v>120</v>
      </c>
      <c r="C219" s="22" t="s">
        <v>0</v>
      </c>
      <c r="D219" s="2"/>
      <c r="E219" s="2"/>
      <c r="H219" s="22" t="s">
        <v>121</v>
      </c>
      <c r="I219" s="65" t="s">
        <v>1009</v>
      </c>
      <c r="J219" s="4"/>
      <c r="K219" s="4">
        <v>0.72</v>
      </c>
      <c r="L219" s="4">
        <v>158</v>
      </c>
      <c r="M219" s="4">
        <v>1.24</v>
      </c>
      <c r="N219" s="4"/>
      <c r="O219" s="4">
        <v>0.35</v>
      </c>
      <c r="P219" s="4">
        <f>AN219</f>
        <v>0</v>
      </c>
      <c r="Q219" s="4">
        <v>172</v>
      </c>
      <c r="R219" s="4">
        <v>44</v>
      </c>
      <c r="S219" s="4">
        <v>3.11</v>
      </c>
      <c r="T219" s="4"/>
      <c r="U219" s="4"/>
      <c r="V219" s="4"/>
      <c r="W219" s="4"/>
      <c r="X219" s="4"/>
      <c r="Y219" s="4"/>
      <c r="Z219" s="4"/>
      <c r="AA219" s="4"/>
      <c r="AB219" s="4"/>
      <c r="AC219" s="23"/>
      <c r="AD219" s="23"/>
      <c r="AE219" s="23"/>
      <c r="AF219" s="23"/>
      <c r="AG219" s="5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</row>
    <row r="220" spans="1:50" s="71" customFormat="1" ht="15" customHeight="1" x14ac:dyDescent="0.2">
      <c r="A220" s="70" t="s">
        <v>116</v>
      </c>
      <c r="B220" s="70" t="s">
        <v>120</v>
      </c>
      <c r="C220" s="71" t="s">
        <v>122</v>
      </c>
      <c r="D220" s="71" t="s">
        <v>56</v>
      </c>
      <c r="E220" s="71" t="s">
        <v>46</v>
      </c>
      <c r="F220" s="71" t="s">
        <v>782</v>
      </c>
      <c r="H220" s="71" t="s">
        <v>121</v>
      </c>
      <c r="I220" s="87"/>
      <c r="J220" s="72"/>
      <c r="K220" s="72">
        <f>AVERAGEIF(K219, "&lt;&gt;0")</f>
        <v>0.72</v>
      </c>
      <c r="L220" s="72">
        <f>AVERAGEIF(L219, "&lt;&gt;0")</f>
        <v>158</v>
      </c>
      <c r="M220" s="72">
        <f>AVERAGEIF(M219, "&lt;&gt;0")</f>
        <v>1.24</v>
      </c>
      <c r="N220" s="72"/>
      <c r="O220" s="72">
        <f t="shared" ref="O220:S220" si="36">AVERAGEIF(O219, "&lt;&gt;0")</f>
        <v>0.35</v>
      </c>
      <c r="P220" s="72">
        <f>P219</f>
        <v>0</v>
      </c>
      <c r="Q220" s="72">
        <f t="shared" si="36"/>
        <v>172</v>
      </c>
      <c r="R220" s="72">
        <f t="shared" si="36"/>
        <v>44</v>
      </c>
      <c r="S220" s="72">
        <f t="shared" si="36"/>
        <v>3.11</v>
      </c>
      <c r="T220" s="72"/>
      <c r="U220" s="72"/>
      <c r="V220" s="72"/>
      <c r="W220" s="72"/>
      <c r="X220" s="72"/>
      <c r="Y220" s="72"/>
      <c r="Z220" s="72"/>
      <c r="AA220" s="72"/>
      <c r="AB220" s="72"/>
      <c r="AC220" s="73"/>
      <c r="AD220" s="73"/>
      <c r="AE220" s="73"/>
      <c r="AF220" s="73"/>
      <c r="AG220" s="73"/>
      <c r="AH220" s="73"/>
      <c r="AI220" s="73"/>
      <c r="AJ220" s="73"/>
      <c r="AK220" s="73"/>
      <c r="AL220" s="73"/>
      <c r="AM220" s="73"/>
      <c r="AN220" s="73"/>
      <c r="AO220" s="73"/>
      <c r="AP220" s="73"/>
      <c r="AQ220" s="73"/>
      <c r="AR220" s="73"/>
      <c r="AS220" s="73"/>
      <c r="AT220" s="73"/>
      <c r="AU220" s="73"/>
      <c r="AV220" s="73"/>
      <c r="AW220" s="73"/>
      <c r="AX220" s="73"/>
    </row>
    <row r="221" spans="1:50" s="22" customFormat="1" ht="15" customHeight="1" x14ac:dyDescent="0.2">
      <c r="A221" s="21" t="s">
        <v>907</v>
      </c>
      <c r="B221" s="21" t="s">
        <v>908</v>
      </c>
      <c r="D221" s="2"/>
      <c r="E221" s="2"/>
      <c r="H221" s="22" t="s">
        <v>28</v>
      </c>
      <c r="I221" s="65" t="s">
        <v>909</v>
      </c>
      <c r="J221" s="4">
        <v>94.2</v>
      </c>
      <c r="K221" s="4">
        <v>0.6</v>
      </c>
      <c r="L221" s="4">
        <v>3.4</v>
      </c>
      <c r="M221" s="4">
        <v>1.01</v>
      </c>
      <c r="N221" s="4"/>
      <c r="O221" s="4"/>
      <c r="P221" s="4">
        <v>3.5000000000000003E-2</v>
      </c>
      <c r="Q221" s="4"/>
      <c r="R221" s="4">
        <v>15.5</v>
      </c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</row>
    <row r="222" spans="1:50" s="22" customFormat="1" ht="15" customHeight="1" x14ac:dyDescent="0.2">
      <c r="A222" s="21" t="s">
        <v>907</v>
      </c>
      <c r="B222" s="21" t="s">
        <v>908</v>
      </c>
      <c r="D222" s="2"/>
      <c r="E222" s="2"/>
      <c r="H222" s="22" t="s">
        <v>28</v>
      </c>
      <c r="I222" s="65" t="s">
        <v>909</v>
      </c>
      <c r="J222" s="4">
        <v>94.7</v>
      </c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</row>
    <row r="223" spans="1:50" s="22" customFormat="1" ht="15" customHeight="1" x14ac:dyDescent="0.2">
      <c r="A223" s="21" t="s">
        <v>907</v>
      </c>
      <c r="B223" s="21" t="s">
        <v>908</v>
      </c>
      <c r="D223" s="2"/>
      <c r="E223" s="2"/>
      <c r="H223" s="22" t="s">
        <v>28</v>
      </c>
      <c r="I223" s="65" t="s">
        <v>909</v>
      </c>
      <c r="J223" s="4">
        <v>94.2</v>
      </c>
      <c r="K223" s="4">
        <v>0.7</v>
      </c>
      <c r="L223" s="4">
        <v>12</v>
      </c>
      <c r="M223" s="4">
        <v>0.4</v>
      </c>
      <c r="N223" s="4"/>
      <c r="O223" s="4"/>
      <c r="P223" s="4">
        <v>3.7999999999999999E-2</v>
      </c>
      <c r="Q223" s="4"/>
      <c r="R223" s="4">
        <v>15.7</v>
      </c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</row>
    <row r="224" spans="1:50" s="71" customFormat="1" ht="15" customHeight="1" x14ac:dyDescent="0.2">
      <c r="A224" s="70" t="s">
        <v>907</v>
      </c>
      <c r="B224" s="70" t="s">
        <v>908</v>
      </c>
      <c r="C224" s="71" t="s">
        <v>908</v>
      </c>
      <c r="D224" s="71" t="s">
        <v>31</v>
      </c>
      <c r="E224" s="71" t="s">
        <v>32</v>
      </c>
      <c r="F224" s="71" t="s">
        <v>781</v>
      </c>
      <c r="H224" s="71" t="s">
        <v>28</v>
      </c>
      <c r="I224" s="87"/>
      <c r="J224" s="72">
        <f>AVERAGE(J221:J223)</f>
        <v>94.366666666666674</v>
      </c>
      <c r="K224" s="72">
        <f>AVERAGE(K221:K223)</f>
        <v>0.64999999999999991</v>
      </c>
      <c r="L224" s="72">
        <f>AVERAGE(L221:L223)</f>
        <v>7.7</v>
      </c>
      <c r="M224" s="72">
        <f>AVERAGE(M221:M223)</f>
        <v>0.70500000000000007</v>
      </c>
      <c r="N224" s="72"/>
      <c r="O224" s="72"/>
      <c r="P224" s="72">
        <f>AVERAGE(P221:P223)</f>
        <v>3.6500000000000005E-2</v>
      </c>
      <c r="Q224" s="72"/>
      <c r="R224" s="72">
        <f>AVERAGE(R221:R223)</f>
        <v>15.6</v>
      </c>
      <c r="S224" s="72"/>
      <c r="T224" s="72"/>
      <c r="U224" s="72"/>
      <c r="V224" s="72"/>
      <c r="W224" s="72"/>
      <c r="X224" s="72"/>
      <c r="Y224" s="72"/>
      <c r="Z224" s="72"/>
      <c r="AA224" s="72"/>
      <c r="AB224" s="72"/>
      <c r="AC224" s="73"/>
      <c r="AD224" s="73"/>
      <c r="AE224" s="73"/>
      <c r="AF224" s="73"/>
      <c r="AG224" s="73"/>
      <c r="AH224" s="73"/>
      <c r="AI224" s="73"/>
      <c r="AJ224" s="73"/>
      <c r="AK224" s="73"/>
      <c r="AL224" s="73"/>
      <c r="AM224" s="73"/>
      <c r="AN224" s="73"/>
      <c r="AO224" s="73"/>
      <c r="AP224" s="73"/>
      <c r="AQ224" s="73"/>
      <c r="AR224" s="73"/>
      <c r="AS224" s="73"/>
      <c r="AT224" s="73"/>
      <c r="AU224" s="73"/>
      <c r="AV224" s="73"/>
      <c r="AW224" s="73"/>
      <c r="AX224" s="73"/>
    </row>
    <row r="225" spans="1:50" ht="51" x14ac:dyDescent="0.2">
      <c r="A225" s="24" t="s">
        <v>125</v>
      </c>
      <c r="B225" s="24" t="s">
        <v>124</v>
      </c>
      <c r="F225" s="2" t="s">
        <v>0</v>
      </c>
      <c r="H225" s="2" t="s">
        <v>33</v>
      </c>
      <c r="I225" s="243" t="s">
        <v>126</v>
      </c>
      <c r="J225" s="3">
        <v>90.47</v>
      </c>
      <c r="K225" s="3">
        <v>0.89</v>
      </c>
      <c r="L225" s="3">
        <v>114</v>
      </c>
      <c r="M225" s="3">
        <v>4.3</v>
      </c>
      <c r="N225" s="3">
        <v>80</v>
      </c>
      <c r="O225" s="3">
        <v>0.79</v>
      </c>
      <c r="P225" s="4" t="s">
        <v>0</v>
      </c>
      <c r="R225" s="3">
        <v>14</v>
      </c>
    </row>
    <row r="226" spans="1:50" ht="51" x14ac:dyDescent="0.2">
      <c r="A226" s="24" t="s">
        <v>125</v>
      </c>
      <c r="B226" s="24" t="s">
        <v>124</v>
      </c>
      <c r="F226" s="2" t="s">
        <v>0</v>
      </c>
      <c r="H226" s="2" t="s">
        <v>33</v>
      </c>
      <c r="I226" s="243" t="s">
        <v>126</v>
      </c>
      <c r="J226" s="3">
        <v>88.4</v>
      </c>
      <c r="K226" s="3">
        <v>1.05</v>
      </c>
      <c r="P226" s="4" t="s">
        <v>0</v>
      </c>
      <c r="R226" s="3">
        <v>3.2</v>
      </c>
    </row>
    <row r="227" spans="1:50" ht="34" x14ac:dyDescent="0.2">
      <c r="A227" s="24" t="s">
        <v>125</v>
      </c>
      <c r="B227" s="24" t="s">
        <v>124</v>
      </c>
      <c r="F227" s="2" t="s">
        <v>0</v>
      </c>
      <c r="H227" s="2" t="s">
        <v>33</v>
      </c>
      <c r="I227" s="243" t="s">
        <v>127</v>
      </c>
      <c r="K227" s="3">
        <v>0.9</v>
      </c>
      <c r="L227" s="3">
        <v>42.4</v>
      </c>
      <c r="M227" s="3">
        <v>0.23</v>
      </c>
      <c r="N227" s="3">
        <v>3.4</v>
      </c>
      <c r="P227" s="4" t="s">
        <v>0</v>
      </c>
      <c r="R227" s="3">
        <v>3.2</v>
      </c>
    </row>
    <row r="228" spans="1:50" ht="34" x14ac:dyDescent="0.2">
      <c r="A228" s="24" t="s">
        <v>123</v>
      </c>
      <c r="B228" s="24" t="s">
        <v>124</v>
      </c>
      <c r="F228" s="2" t="s">
        <v>0</v>
      </c>
      <c r="H228" s="2" t="s">
        <v>33</v>
      </c>
      <c r="I228" s="243" t="s">
        <v>1010</v>
      </c>
      <c r="J228" s="3">
        <v>89.8</v>
      </c>
      <c r="K228" s="3">
        <v>0.8</v>
      </c>
      <c r="L228" s="3">
        <v>86</v>
      </c>
      <c r="M228" s="3">
        <v>0.7</v>
      </c>
      <c r="N228" s="3">
        <v>9</v>
      </c>
      <c r="P228" s="4" t="s">
        <v>0</v>
      </c>
      <c r="R228" s="3">
        <v>17</v>
      </c>
    </row>
    <row r="229" spans="1:50" s="71" customFormat="1" x14ac:dyDescent="0.2">
      <c r="A229" s="70" t="s">
        <v>125</v>
      </c>
      <c r="B229" s="70" t="s">
        <v>124</v>
      </c>
      <c r="C229" s="71" t="s">
        <v>128</v>
      </c>
      <c r="D229" s="71" t="s">
        <v>31</v>
      </c>
      <c r="E229" s="71" t="s">
        <v>32</v>
      </c>
      <c r="F229" s="71" t="s">
        <v>780</v>
      </c>
      <c r="H229" s="71" t="s">
        <v>33</v>
      </c>
      <c r="I229" s="87"/>
      <c r="J229" s="72">
        <f t="shared" ref="J229" si="37">AVERAGEIF(J225:J228, "&lt;&gt;0")</f>
        <v>89.556666666666672</v>
      </c>
      <c r="K229" s="72">
        <f>AVERAGEIF(K225:K228, "&lt;&gt;0")</f>
        <v>0.90999999999999992</v>
      </c>
      <c r="L229" s="72">
        <f>AVERAGEIF(L225:L228, "&lt;&gt;0")</f>
        <v>80.8</v>
      </c>
      <c r="M229" s="72">
        <f>AVERAGEIF(M225:M228, "&lt;&gt;0")</f>
        <v>1.7433333333333334</v>
      </c>
      <c r="N229" s="72">
        <f>AVERAGEIF(N225:N228, "&lt;&gt;0")</f>
        <v>30.8</v>
      </c>
      <c r="O229" s="72">
        <f>AVERAGEIF(O225:O228, "&lt;&gt;0")</f>
        <v>0.79</v>
      </c>
      <c r="P229" s="72"/>
      <c r="Q229" s="72"/>
      <c r="R229" s="72">
        <f>AVERAGEIF(R225:R228, "&lt;&gt;0")</f>
        <v>9.35</v>
      </c>
      <c r="S229" s="72"/>
      <c r="T229" s="72"/>
      <c r="U229" s="72"/>
      <c r="V229" s="72"/>
      <c r="W229" s="72"/>
      <c r="X229" s="72"/>
      <c r="Y229" s="72"/>
      <c r="Z229" s="72"/>
      <c r="AA229" s="72"/>
      <c r="AB229" s="72"/>
      <c r="AC229" s="73"/>
      <c r="AD229" s="73"/>
      <c r="AE229" s="73"/>
      <c r="AF229" s="73"/>
      <c r="AG229" s="73"/>
      <c r="AH229" s="73"/>
      <c r="AI229" s="73"/>
      <c r="AJ229" s="73"/>
      <c r="AK229" s="73"/>
      <c r="AL229" s="73"/>
      <c r="AM229" s="73"/>
      <c r="AN229" s="73"/>
      <c r="AO229" s="73"/>
      <c r="AP229" s="73"/>
      <c r="AQ229" s="73"/>
      <c r="AR229" s="73"/>
      <c r="AS229" s="73"/>
      <c r="AT229" s="73"/>
      <c r="AU229" s="73"/>
      <c r="AV229" s="73"/>
      <c r="AW229" s="73"/>
      <c r="AX229" s="73"/>
    </row>
    <row r="230" spans="1:50" ht="51" x14ac:dyDescent="0.2">
      <c r="A230" s="24" t="s">
        <v>125</v>
      </c>
      <c r="B230" s="24" t="s">
        <v>124</v>
      </c>
      <c r="F230" s="2" t="s">
        <v>0</v>
      </c>
      <c r="H230" s="2" t="s">
        <v>28</v>
      </c>
      <c r="I230" s="243" t="s">
        <v>1027</v>
      </c>
      <c r="J230" s="3">
        <f>100-46.1</f>
        <v>53.9</v>
      </c>
      <c r="L230" s="3">
        <v>45</v>
      </c>
      <c r="M230" s="3">
        <v>2.23</v>
      </c>
      <c r="N230" s="3">
        <v>29</v>
      </c>
      <c r="O230" s="3">
        <v>0.25</v>
      </c>
      <c r="P230" s="4" t="s">
        <v>0</v>
      </c>
    </row>
    <row r="231" spans="1:50" ht="51" x14ac:dyDescent="0.2">
      <c r="A231" s="24" t="s">
        <v>125</v>
      </c>
      <c r="B231" s="24" t="s">
        <v>124</v>
      </c>
      <c r="F231" s="2" t="s">
        <v>0</v>
      </c>
      <c r="H231" s="2" t="s">
        <v>28</v>
      </c>
      <c r="I231" s="243" t="s">
        <v>1027</v>
      </c>
      <c r="J231" s="3">
        <f>100-46.2</f>
        <v>53.8</v>
      </c>
      <c r="L231" s="3">
        <v>44</v>
      </c>
      <c r="M231" s="3">
        <v>2.65</v>
      </c>
      <c r="N231" s="3">
        <v>28</v>
      </c>
      <c r="O231" s="3">
        <v>0.28999999999999998</v>
      </c>
      <c r="P231" s="4" t="s">
        <v>0</v>
      </c>
    </row>
    <row r="232" spans="1:50" ht="51" x14ac:dyDescent="0.2">
      <c r="A232" s="24" t="s">
        <v>125</v>
      </c>
      <c r="B232" s="24" t="s">
        <v>124</v>
      </c>
      <c r="F232" s="2" t="s">
        <v>0</v>
      </c>
      <c r="H232" s="2" t="s">
        <v>28</v>
      </c>
      <c r="I232" s="243" t="s">
        <v>1027</v>
      </c>
      <c r="J232" s="3">
        <f>100-32.1</f>
        <v>67.900000000000006</v>
      </c>
      <c r="L232" s="3">
        <v>47</v>
      </c>
      <c r="M232" s="3">
        <v>0.8</v>
      </c>
      <c r="N232" s="3">
        <v>28</v>
      </c>
      <c r="O232" s="3">
        <v>0.34</v>
      </c>
      <c r="P232" s="4" t="s">
        <v>0</v>
      </c>
    </row>
    <row r="233" spans="1:50" ht="51" x14ac:dyDescent="0.2">
      <c r="A233" s="24" t="s">
        <v>125</v>
      </c>
      <c r="B233" s="24" t="s">
        <v>124</v>
      </c>
      <c r="F233" s="2" t="s">
        <v>0</v>
      </c>
      <c r="H233" s="2" t="s">
        <v>28</v>
      </c>
      <c r="I233" s="243" t="s">
        <v>1027</v>
      </c>
      <c r="J233" s="3">
        <f>100-42</f>
        <v>58</v>
      </c>
      <c r="L233" s="3">
        <v>29</v>
      </c>
      <c r="M233" s="3">
        <v>1.1000000000000001</v>
      </c>
      <c r="N233" s="3">
        <v>20</v>
      </c>
      <c r="O233" s="3">
        <v>0.38</v>
      </c>
      <c r="P233" s="4" t="s">
        <v>0</v>
      </c>
    </row>
    <row r="234" spans="1:50" ht="34" x14ac:dyDescent="0.2">
      <c r="A234" s="34" t="s">
        <v>125</v>
      </c>
      <c r="B234" s="34" t="s">
        <v>124</v>
      </c>
      <c r="F234" s="2" t="s">
        <v>0</v>
      </c>
      <c r="H234" s="2" t="s">
        <v>28</v>
      </c>
      <c r="I234" s="243" t="s">
        <v>127</v>
      </c>
      <c r="K234" s="3">
        <v>2</v>
      </c>
      <c r="L234" s="3">
        <v>18.899999999999999</v>
      </c>
      <c r="M234" s="36">
        <v>0.59</v>
      </c>
      <c r="N234" s="3">
        <v>17.100000000000001</v>
      </c>
      <c r="P234" s="4">
        <f>AN234</f>
        <v>0</v>
      </c>
      <c r="R234" s="3">
        <v>18.7</v>
      </c>
      <c r="W234" s="36"/>
      <c r="AN234" s="23"/>
    </row>
    <row r="235" spans="1:50" ht="34" x14ac:dyDescent="0.2">
      <c r="A235" s="24" t="s">
        <v>125</v>
      </c>
      <c r="B235" s="24" t="s">
        <v>124</v>
      </c>
      <c r="F235" s="2" t="s">
        <v>0</v>
      </c>
      <c r="H235" s="2" t="s">
        <v>28</v>
      </c>
      <c r="I235" s="243" t="s">
        <v>127</v>
      </c>
      <c r="J235" s="3">
        <v>52.6</v>
      </c>
      <c r="K235" s="3">
        <v>3.2</v>
      </c>
      <c r="P235" s="4" t="s">
        <v>0</v>
      </c>
    </row>
    <row r="236" spans="1:50" ht="34" x14ac:dyDescent="0.2">
      <c r="A236" s="24" t="s">
        <v>125</v>
      </c>
      <c r="B236" s="24" t="s">
        <v>124</v>
      </c>
      <c r="F236" s="2" t="s">
        <v>0</v>
      </c>
      <c r="H236" s="2" t="s">
        <v>28</v>
      </c>
      <c r="I236" s="243" t="s">
        <v>127</v>
      </c>
      <c r="J236" s="3">
        <v>45</v>
      </c>
      <c r="K236" s="3">
        <v>3.8</v>
      </c>
      <c r="P236" s="4" t="s">
        <v>0</v>
      </c>
    </row>
    <row r="237" spans="1:50" ht="34" x14ac:dyDescent="0.2">
      <c r="A237" s="24" t="s">
        <v>125</v>
      </c>
      <c r="B237" s="24" t="s">
        <v>124</v>
      </c>
      <c r="F237" s="2" t="s">
        <v>0</v>
      </c>
      <c r="H237" s="2" t="s">
        <v>28</v>
      </c>
      <c r="I237" s="243" t="s">
        <v>127</v>
      </c>
      <c r="J237" s="3">
        <v>54.4</v>
      </c>
      <c r="K237" s="3">
        <v>8.4</v>
      </c>
      <c r="P237" s="4" t="s">
        <v>0</v>
      </c>
    </row>
    <row r="238" spans="1:50" ht="34" x14ac:dyDescent="0.2">
      <c r="A238" s="24" t="s">
        <v>125</v>
      </c>
      <c r="B238" s="24" t="s">
        <v>124</v>
      </c>
      <c r="F238" s="2" t="s">
        <v>0</v>
      </c>
      <c r="H238" s="2" t="s">
        <v>28</v>
      </c>
      <c r="I238" s="243" t="s">
        <v>127</v>
      </c>
      <c r="J238" s="3">
        <v>42.7</v>
      </c>
      <c r="K238" s="3">
        <v>9.3000000000000007</v>
      </c>
      <c r="P238" s="4" t="s">
        <v>0</v>
      </c>
    </row>
    <row r="239" spans="1:50" s="71" customFormat="1" x14ac:dyDescent="0.2">
      <c r="A239" s="70" t="s">
        <v>125</v>
      </c>
      <c r="B239" s="70" t="s">
        <v>124</v>
      </c>
      <c r="C239" s="71" t="s">
        <v>128</v>
      </c>
      <c r="D239" s="71" t="s">
        <v>31</v>
      </c>
      <c r="E239" s="71" t="s">
        <v>32</v>
      </c>
      <c r="F239" s="71" t="s">
        <v>780</v>
      </c>
      <c r="H239" s="71" t="s">
        <v>28</v>
      </c>
      <c r="I239" s="87"/>
      <c r="J239" s="72">
        <f>AVERAGEIF(J230:J238, "&lt;&gt;0")</f>
        <v>53.537499999999994</v>
      </c>
      <c r="K239" s="72">
        <f t="shared" ref="K239:O239" si="38">AVERAGEIF(K230:K238, "&lt;&gt;0")</f>
        <v>5.34</v>
      </c>
      <c r="L239" s="72">
        <f t="shared" si="38"/>
        <v>36.78</v>
      </c>
      <c r="M239" s="72">
        <f t="shared" si="38"/>
        <v>1.4739999999999998</v>
      </c>
      <c r="N239" s="72">
        <f t="shared" si="38"/>
        <v>24.419999999999998</v>
      </c>
      <c r="O239" s="72">
        <f t="shared" si="38"/>
        <v>0.31500000000000006</v>
      </c>
      <c r="P239" s="72">
        <f>AVERAGE(P230:P238)</f>
        <v>0</v>
      </c>
      <c r="Q239" s="72"/>
      <c r="R239" s="72">
        <f>AVERAGEIF(R230:R238, "&lt;&gt;0")</f>
        <v>18.7</v>
      </c>
      <c r="S239" s="72"/>
      <c r="T239" s="72"/>
      <c r="U239" s="72"/>
      <c r="V239" s="72"/>
      <c r="W239" s="72"/>
      <c r="X239" s="72"/>
      <c r="Y239" s="72"/>
      <c r="Z239" s="72"/>
      <c r="AA239" s="72"/>
      <c r="AB239" s="72"/>
      <c r="AC239" s="73"/>
      <c r="AD239" s="73"/>
      <c r="AE239" s="73"/>
      <c r="AF239" s="73"/>
      <c r="AG239" s="73"/>
      <c r="AH239" s="73"/>
      <c r="AI239" s="73"/>
      <c r="AJ239" s="73"/>
      <c r="AK239" s="73"/>
      <c r="AL239" s="73"/>
      <c r="AM239" s="73"/>
      <c r="AN239" s="73"/>
      <c r="AO239" s="73"/>
      <c r="AP239" s="73"/>
      <c r="AQ239" s="73"/>
      <c r="AR239" s="73"/>
      <c r="AS239" s="73"/>
      <c r="AT239" s="73"/>
      <c r="AU239" s="73"/>
      <c r="AV239" s="73"/>
      <c r="AW239" s="73"/>
      <c r="AX239" s="73"/>
    </row>
    <row r="240" spans="1:50" ht="15" customHeight="1" x14ac:dyDescent="0.2">
      <c r="A240" s="24" t="s">
        <v>769</v>
      </c>
      <c r="B240" s="24" t="s">
        <v>770</v>
      </c>
      <c r="F240" s="2" t="s">
        <v>0</v>
      </c>
      <c r="H240" s="2" t="s">
        <v>33</v>
      </c>
      <c r="I240" s="243" t="s">
        <v>456</v>
      </c>
      <c r="J240" s="3">
        <f>100-66.3</f>
        <v>33.700000000000003</v>
      </c>
      <c r="K240" s="3">
        <v>6.76</v>
      </c>
      <c r="L240" s="3">
        <v>106.08</v>
      </c>
      <c r="P240" s="4" t="s">
        <v>0</v>
      </c>
    </row>
    <row r="241" spans="1:50" s="71" customFormat="1" ht="15" customHeight="1" x14ac:dyDescent="0.2">
      <c r="A241" s="70" t="s">
        <v>769</v>
      </c>
      <c r="B241" s="70" t="s">
        <v>770</v>
      </c>
      <c r="C241" s="71" t="s">
        <v>864</v>
      </c>
      <c r="D241" s="71" t="s">
        <v>31</v>
      </c>
      <c r="E241" s="71" t="s">
        <v>32</v>
      </c>
      <c r="F241" s="71" t="s">
        <v>781</v>
      </c>
      <c r="H241" s="71" t="s">
        <v>33</v>
      </c>
      <c r="I241" s="87"/>
      <c r="J241" s="72">
        <f>J240</f>
        <v>33.700000000000003</v>
      </c>
      <c r="K241" s="72">
        <f>K240</f>
        <v>6.76</v>
      </c>
      <c r="L241" s="72">
        <f>L240</f>
        <v>106.08</v>
      </c>
      <c r="M241" s="72"/>
      <c r="N241" s="72"/>
      <c r="O241" s="72"/>
      <c r="P241" s="72"/>
      <c r="Q241" s="72"/>
      <c r="R241" s="72"/>
      <c r="S241" s="72"/>
      <c r="T241" s="72"/>
      <c r="U241" s="72"/>
      <c r="V241" s="72"/>
      <c r="W241" s="72"/>
      <c r="X241" s="72"/>
      <c r="Y241" s="72"/>
      <c r="Z241" s="72"/>
      <c r="AA241" s="72"/>
      <c r="AB241" s="72"/>
      <c r="AC241" s="73"/>
      <c r="AD241" s="73"/>
      <c r="AE241" s="73"/>
      <c r="AF241" s="73"/>
      <c r="AG241" s="73"/>
      <c r="AH241" s="73"/>
      <c r="AI241" s="73"/>
      <c r="AJ241" s="73"/>
      <c r="AK241" s="73"/>
      <c r="AL241" s="73"/>
      <c r="AM241" s="73"/>
      <c r="AN241" s="73"/>
      <c r="AO241" s="73"/>
      <c r="AP241" s="73"/>
      <c r="AQ241" s="73"/>
      <c r="AR241" s="73"/>
      <c r="AS241" s="73"/>
      <c r="AT241" s="73"/>
      <c r="AU241" s="73"/>
      <c r="AV241" s="73"/>
      <c r="AW241" s="73"/>
      <c r="AX241" s="73"/>
    </row>
    <row r="242" spans="1:50" ht="15" customHeight="1" x14ac:dyDescent="0.2">
      <c r="A242" s="24" t="s">
        <v>129</v>
      </c>
      <c r="B242" s="24" t="s">
        <v>771</v>
      </c>
      <c r="F242" s="2" t="s">
        <v>0</v>
      </c>
      <c r="H242" s="2" t="s">
        <v>131</v>
      </c>
      <c r="I242" s="243" t="s">
        <v>772</v>
      </c>
      <c r="J242" s="3">
        <v>71.22</v>
      </c>
      <c r="K242" s="3">
        <v>0.96</v>
      </c>
      <c r="L242" s="3">
        <v>13.1</v>
      </c>
      <c r="M242" s="3">
        <v>0.21</v>
      </c>
      <c r="N242" s="3">
        <v>0.52</v>
      </c>
      <c r="O242" s="3">
        <v>0.97</v>
      </c>
      <c r="P242" s="4" t="s">
        <v>0</v>
      </c>
    </row>
    <row r="243" spans="1:50" s="71" customFormat="1" ht="15" customHeight="1" x14ac:dyDescent="0.2">
      <c r="A243" s="70" t="s">
        <v>129</v>
      </c>
      <c r="B243" s="70" t="s">
        <v>771</v>
      </c>
      <c r="C243" s="71" t="s">
        <v>132</v>
      </c>
      <c r="D243" s="71" t="s">
        <v>31</v>
      </c>
      <c r="E243" s="71" t="s">
        <v>32</v>
      </c>
      <c r="F243" s="71" t="s">
        <v>132</v>
      </c>
      <c r="H243" s="71" t="s">
        <v>131</v>
      </c>
      <c r="I243" s="87"/>
      <c r="J243" s="72">
        <f t="shared" ref="J243:O243" si="39">J242</f>
        <v>71.22</v>
      </c>
      <c r="K243" s="72">
        <f t="shared" si="39"/>
        <v>0.96</v>
      </c>
      <c r="L243" s="72">
        <f t="shared" si="39"/>
        <v>13.1</v>
      </c>
      <c r="M243" s="72">
        <f t="shared" si="39"/>
        <v>0.21</v>
      </c>
      <c r="N243" s="72">
        <f t="shared" si="39"/>
        <v>0.52</v>
      </c>
      <c r="O243" s="72">
        <f t="shared" si="39"/>
        <v>0.97</v>
      </c>
      <c r="P243" s="72"/>
      <c r="Q243" s="72"/>
      <c r="R243" s="72"/>
      <c r="S243" s="72"/>
      <c r="T243" s="72"/>
      <c r="U243" s="72"/>
      <c r="V243" s="72"/>
      <c r="W243" s="72"/>
      <c r="X243" s="72"/>
      <c r="Y243" s="72"/>
      <c r="Z243" s="72"/>
      <c r="AA243" s="72"/>
      <c r="AB243" s="72"/>
      <c r="AC243" s="73"/>
      <c r="AD243" s="73"/>
      <c r="AE243" s="73"/>
      <c r="AF243" s="73"/>
      <c r="AG243" s="73"/>
      <c r="AH243" s="73"/>
      <c r="AI243" s="73"/>
      <c r="AJ243" s="73"/>
      <c r="AK243" s="73"/>
      <c r="AL243" s="73"/>
      <c r="AM243" s="73"/>
      <c r="AN243" s="73"/>
      <c r="AO243" s="73"/>
      <c r="AP243" s="73"/>
      <c r="AQ243" s="73"/>
      <c r="AR243" s="73"/>
      <c r="AS243" s="73"/>
      <c r="AT243" s="73"/>
      <c r="AU243" s="73"/>
      <c r="AV243" s="73"/>
      <c r="AW243" s="73"/>
      <c r="AX243" s="73"/>
    </row>
    <row r="244" spans="1:50" s="22" customFormat="1" ht="15" customHeight="1" x14ac:dyDescent="0.2">
      <c r="A244" s="24" t="s">
        <v>129</v>
      </c>
      <c r="B244" s="24" t="s">
        <v>773</v>
      </c>
      <c r="C244" s="2"/>
      <c r="D244" s="2"/>
      <c r="E244" s="2"/>
      <c r="F244" s="2" t="s">
        <v>0</v>
      </c>
      <c r="G244" s="2"/>
      <c r="H244" s="2" t="s">
        <v>131</v>
      </c>
      <c r="I244" s="65" t="s">
        <v>788</v>
      </c>
      <c r="J244" s="4">
        <v>89.83</v>
      </c>
      <c r="K244" s="4">
        <v>3.54</v>
      </c>
      <c r="L244" s="4"/>
      <c r="M244" s="4"/>
      <c r="N244" s="4"/>
      <c r="O244" s="4"/>
      <c r="P244" s="4"/>
      <c r="Q244" s="4"/>
      <c r="R244" s="4">
        <v>1.9</v>
      </c>
      <c r="S244" s="4">
        <v>0.61</v>
      </c>
      <c r="T244" s="4"/>
      <c r="U244" s="4"/>
      <c r="V244" s="4"/>
      <c r="W244" s="4"/>
      <c r="X244" s="4"/>
      <c r="Y244" s="4"/>
      <c r="Z244" s="4"/>
      <c r="AA244" s="4"/>
      <c r="AB244" s="4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</row>
    <row r="245" spans="1:50" ht="15" customHeight="1" x14ac:dyDescent="0.2">
      <c r="A245" s="24" t="s">
        <v>129</v>
      </c>
      <c r="B245" s="24" t="s">
        <v>773</v>
      </c>
      <c r="F245" s="2" t="s">
        <v>0</v>
      </c>
      <c r="H245" s="2" t="s">
        <v>131</v>
      </c>
      <c r="I245" s="243" t="s">
        <v>1091</v>
      </c>
      <c r="J245" s="3">
        <v>90.7</v>
      </c>
      <c r="K245" s="3">
        <v>0.5</v>
      </c>
      <c r="L245" s="3">
        <v>33</v>
      </c>
      <c r="M245" s="3">
        <v>0.4</v>
      </c>
      <c r="O245" s="3" t="s">
        <v>0</v>
      </c>
      <c r="P245" s="4">
        <f>AN245</f>
        <v>0</v>
      </c>
      <c r="R245" s="3">
        <v>4</v>
      </c>
      <c r="AE245" s="23"/>
      <c r="AN245" s="23"/>
    </row>
    <row r="246" spans="1:50" s="71" customFormat="1" ht="15" customHeight="1" x14ac:dyDescent="0.2">
      <c r="A246" s="70" t="s">
        <v>129</v>
      </c>
      <c r="B246" s="70" t="s">
        <v>773</v>
      </c>
      <c r="C246" s="71" t="s">
        <v>132</v>
      </c>
      <c r="D246" s="71" t="s">
        <v>31</v>
      </c>
      <c r="E246" s="71" t="s">
        <v>32</v>
      </c>
      <c r="F246" s="71" t="s">
        <v>132</v>
      </c>
      <c r="H246" s="71" t="s">
        <v>131</v>
      </c>
      <c r="I246" s="87"/>
      <c r="J246" s="72">
        <f>AVERAGE(J244:J245)</f>
        <v>90.265000000000001</v>
      </c>
      <c r="K246" s="72">
        <f>AVERAGE(K244:K245)</f>
        <v>2.02</v>
      </c>
      <c r="L246" s="72">
        <f>AVERAGE(L244:L245)</f>
        <v>33</v>
      </c>
      <c r="M246" s="72">
        <f>AVERAGE(M244:M245)</f>
        <v>0.4</v>
      </c>
      <c r="N246" s="72"/>
      <c r="O246" s="72"/>
      <c r="P246" s="72">
        <f>AVERAGE(P244:P245)</f>
        <v>0</v>
      </c>
      <c r="Q246" s="72"/>
      <c r="R246" s="72">
        <f>AVERAGE(R244:R245)</f>
        <v>2.95</v>
      </c>
      <c r="S246" s="72">
        <f>AVERAGE(S244:S245)</f>
        <v>0.61</v>
      </c>
      <c r="T246" s="72"/>
      <c r="U246" s="72"/>
      <c r="V246" s="72"/>
      <c r="W246" s="72"/>
      <c r="X246" s="72"/>
      <c r="Y246" s="72"/>
      <c r="Z246" s="72"/>
      <c r="AA246" s="72"/>
      <c r="AB246" s="72"/>
      <c r="AC246" s="73"/>
      <c r="AD246" s="73"/>
      <c r="AE246" s="73"/>
      <c r="AF246" s="73"/>
      <c r="AG246" s="73"/>
      <c r="AH246" s="73"/>
      <c r="AI246" s="73"/>
      <c r="AJ246" s="73"/>
      <c r="AK246" s="73"/>
      <c r="AL246" s="73"/>
      <c r="AM246" s="73"/>
      <c r="AN246" s="73"/>
      <c r="AO246" s="73"/>
      <c r="AP246" s="73"/>
      <c r="AQ246" s="73"/>
      <c r="AR246" s="73"/>
      <c r="AS246" s="73"/>
      <c r="AT246" s="73"/>
      <c r="AU246" s="73"/>
      <c r="AV246" s="73"/>
      <c r="AW246" s="73"/>
      <c r="AX246" s="73"/>
    </row>
    <row r="247" spans="1:50" s="22" customFormat="1" ht="15" customHeight="1" x14ac:dyDescent="0.2">
      <c r="A247" s="21" t="s">
        <v>129</v>
      </c>
      <c r="B247" s="21" t="s">
        <v>789</v>
      </c>
      <c r="D247" s="2"/>
      <c r="E247" s="2"/>
      <c r="F247" s="22" t="s">
        <v>0</v>
      </c>
      <c r="H247" s="22" t="s">
        <v>131</v>
      </c>
      <c r="I247" s="65" t="s">
        <v>788</v>
      </c>
      <c r="J247" s="4">
        <v>92</v>
      </c>
      <c r="K247" s="4">
        <v>2.2799999999999998</v>
      </c>
      <c r="L247" s="4"/>
      <c r="M247" s="4"/>
      <c r="N247" s="4"/>
      <c r="O247" s="4"/>
      <c r="P247" s="4"/>
      <c r="Q247" s="4"/>
      <c r="R247" s="4">
        <v>2.6</v>
      </c>
      <c r="S247" s="4">
        <v>0.47</v>
      </c>
      <c r="T247" s="4"/>
      <c r="U247" s="4"/>
      <c r="V247" s="4"/>
      <c r="W247" s="4"/>
      <c r="X247" s="4"/>
      <c r="Y247" s="4"/>
      <c r="Z247" s="4"/>
      <c r="AA247" s="4"/>
      <c r="AB247" s="4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</row>
    <row r="248" spans="1:50" s="71" customFormat="1" ht="15" customHeight="1" x14ac:dyDescent="0.2">
      <c r="A248" s="70" t="s">
        <v>129</v>
      </c>
      <c r="B248" s="70" t="s">
        <v>789</v>
      </c>
      <c r="C248" s="71" t="s">
        <v>132</v>
      </c>
      <c r="D248" s="71" t="s">
        <v>31</v>
      </c>
      <c r="E248" s="71" t="s">
        <v>32</v>
      </c>
      <c r="F248" s="71" t="s">
        <v>132</v>
      </c>
      <c r="H248" s="71" t="s">
        <v>131</v>
      </c>
      <c r="I248" s="87"/>
      <c r="J248" s="72">
        <f>J247</f>
        <v>92</v>
      </c>
      <c r="K248" s="72">
        <f>K247</f>
        <v>2.2799999999999998</v>
      </c>
      <c r="L248" s="72"/>
      <c r="M248" s="72"/>
      <c r="N248" s="72"/>
      <c r="O248" s="72"/>
      <c r="P248" s="72"/>
      <c r="Q248" s="72"/>
      <c r="R248" s="72">
        <f>R247</f>
        <v>2.6</v>
      </c>
      <c r="S248" s="72">
        <f>S247</f>
        <v>0.47</v>
      </c>
      <c r="T248" s="72"/>
      <c r="U248" s="72"/>
      <c r="V248" s="72"/>
      <c r="W248" s="72"/>
      <c r="X248" s="72"/>
      <c r="Y248" s="72"/>
      <c r="Z248" s="72"/>
      <c r="AA248" s="72"/>
      <c r="AB248" s="72"/>
      <c r="AC248" s="73"/>
      <c r="AD248" s="73"/>
      <c r="AE248" s="73"/>
      <c r="AF248" s="73"/>
      <c r="AG248" s="73"/>
      <c r="AH248" s="73"/>
      <c r="AI248" s="73"/>
      <c r="AJ248" s="73"/>
      <c r="AK248" s="73"/>
      <c r="AL248" s="73"/>
      <c r="AM248" s="73"/>
      <c r="AN248" s="73"/>
      <c r="AO248" s="73"/>
      <c r="AP248" s="73"/>
      <c r="AQ248" s="73"/>
      <c r="AR248" s="73"/>
      <c r="AS248" s="73"/>
      <c r="AT248" s="73"/>
      <c r="AU248" s="73"/>
      <c r="AV248" s="73"/>
      <c r="AW248" s="73"/>
      <c r="AX248" s="73"/>
    </row>
    <row r="249" spans="1:50" ht="15" customHeight="1" x14ac:dyDescent="0.2">
      <c r="A249" s="24" t="s">
        <v>129</v>
      </c>
      <c r="B249" s="24" t="s">
        <v>774</v>
      </c>
      <c r="F249" s="2" t="s">
        <v>0</v>
      </c>
      <c r="H249" s="2" t="s">
        <v>131</v>
      </c>
      <c r="I249" s="243" t="s">
        <v>701</v>
      </c>
      <c r="J249" s="3" t="s">
        <v>0</v>
      </c>
      <c r="L249" s="3">
        <v>560</v>
      </c>
      <c r="N249" s="3">
        <v>140</v>
      </c>
      <c r="P249" s="4" t="s">
        <v>0</v>
      </c>
    </row>
    <row r="250" spans="1:50" ht="15" customHeight="1" x14ac:dyDescent="0.2">
      <c r="A250" s="24" t="s">
        <v>129</v>
      </c>
      <c r="B250" s="24" t="s">
        <v>774</v>
      </c>
      <c r="F250" s="2" t="s">
        <v>0</v>
      </c>
      <c r="H250" s="2" t="s">
        <v>131</v>
      </c>
      <c r="I250" s="65" t="s">
        <v>788</v>
      </c>
      <c r="J250" s="3">
        <v>90.26</v>
      </c>
      <c r="K250" s="3">
        <v>3.81</v>
      </c>
      <c r="R250" s="3">
        <v>2.6</v>
      </c>
      <c r="S250" s="3">
        <v>0.49</v>
      </c>
    </row>
    <row r="251" spans="1:50" s="71" customFormat="1" ht="15" customHeight="1" x14ac:dyDescent="0.2">
      <c r="A251" s="70" t="s">
        <v>129</v>
      </c>
      <c r="B251" s="70" t="s">
        <v>774</v>
      </c>
      <c r="C251" s="71" t="s">
        <v>132</v>
      </c>
      <c r="D251" s="71" t="s">
        <v>31</v>
      </c>
      <c r="E251" s="71" t="s">
        <v>32</v>
      </c>
      <c r="F251" s="71" t="s">
        <v>132</v>
      </c>
      <c r="H251" s="71" t="s">
        <v>131</v>
      </c>
      <c r="I251" s="87"/>
      <c r="J251" s="72">
        <f>AVERAGE(J249:J250)</f>
        <v>90.26</v>
      </c>
      <c r="K251" s="72">
        <f>AVERAGE(K249:K250)</f>
        <v>3.81</v>
      </c>
      <c r="L251" s="72">
        <f>AVERAGE(L249:L250)</f>
        <v>560</v>
      </c>
      <c r="M251" s="72"/>
      <c r="N251" s="72">
        <f>AVERAGE(N249:N250)</f>
        <v>140</v>
      </c>
      <c r="O251" s="72"/>
      <c r="P251" s="72"/>
      <c r="Q251" s="72"/>
      <c r="R251" s="72">
        <f>AVERAGE(R249:R250)</f>
        <v>2.6</v>
      </c>
      <c r="S251" s="72">
        <f>AVERAGE(S249:S250)</f>
        <v>0.49</v>
      </c>
      <c r="T251" s="72"/>
      <c r="U251" s="72"/>
      <c r="V251" s="72"/>
      <c r="W251" s="72"/>
      <c r="X251" s="72"/>
      <c r="Y251" s="72"/>
      <c r="Z251" s="72"/>
      <c r="AA251" s="72"/>
      <c r="AB251" s="72"/>
      <c r="AC251" s="73"/>
      <c r="AD251" s="73"/>
      <c r="AE251" s="73"/>
      <c r="AF251" s="73"/>
      <c r="AG251" s="73"/>
      <c r="AH251" s="73"/>
      <c r="AI251" s="73"/>
      <c r="AJ251" s="73"/>
      <c r="AK251" s="73"/>
      <c r="AL251" s="73"/>
      <c r="AM251" s="73"/>
      <c r="AN251" s="73"/>
      <c r="AO251" s="73"/>
      <c r="AP251" s="73"/>
      <c r="AQ251" s="73"/>
      <c r="AR251" s="73"/>
      <c r="AS251" s="73"/>
      <c r="AT251" s="73"/>
      <c r="AU251" s="73"/>
      <c r="AV251" s="73"/>
      <c r="AW251" s="73"/>
      <c r="AX251" s="73"/>
    </row>
    <row r="252" spans="1:50" s="22" customFormat="1" ht="15" customHeight="1" x14ac:dyDescent="0.2">
      <c r="A252" s="21" t="s">
        <v>129</v>
      </c>
      <c r="B252" s="21" t="s">
        <v>790</v>
      </c>
      <c r="D252" s="2"/>
      <c r="E252" s="2"/>
      <c r="F252" s="22" t="s">
        <v>0</v>
      </c>
      <c r="H252" s="22" t="s">
        <v>131</v>
      </c>
      <c r="I252" s="65" t="s">
        <v>788</v>
      </c>
      <c r="J252" s="4">
        <v>83.6</v>
      </c>
      <c r="K252" s="4">
        <v>3.97</v>
      </c>
      <c r="L252" s="4">
        <v>4.0599999999999996</v>
      </c>
      <c r="M252" s="4">
        <v>2.69</v>
      </c>
      <c r="N252" s="4">
        <v>6.09</v>
      </c>
      <c r="O252" s="4">
        <v>0.7</v>
      </c>
      <c r="P252" s="4"/>
      <c r="Q252" s="4"/>
      <c r="R252" s="4">
        <v>1.42</v>
      </c>
      <c r="S252" s="4">
        <v>0.61</v>
      </c>
      <c r="T252" s="4"/>
      <c r="U252" s="4"/>
      <c r="V252" s="4"/>
      <c r="W252" s="4"/>
      <c r="X252" s="4"/>
      <c r="Y252" s="4"/>
      <c r="Z252" s="4"/>
      <c r="AA252" s="4"/>
      <c r="AB252" s="4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</row>
    <row r="253" spans="1:50" s="71" customFormat="1" ht="15" customHeight="1" x14ac:dyDescent="0.2">
      <c r="A253" s="70" t="s">
        <v>129</v>
      </c>
      <c r="B253" s="70" t="s">
        <v>790</v>
      </c>
      <c r="C253" s="71" t="s">
        <v>132</v>
      </c>
      <c r="D253" s="71" t="s">
        <v>31</v>
      </c>
      <c r="E253" s="71" t="s">
        <v>32</v>
      </c>
      <c r="F253" s="71" t="s">
        <v>132</v>
      </c>
      <c r="H253" s="71" t="s">
        <v>131</v>
      </c>
      <c r="I253" s="87"/>
      <c r="J253" s="72">
        <f t="shared" ref="J253:O253" si="40">J252</f>
        <v>83.6</v>
      </c>
      <c r="K253" s="72">
        <f t="shared" si="40"/>
        <v>3.97</v>
      </c>
      <c r="L253" s="72">
        <f t="shared" si="40"/>
        <v>4.0599999999999996</v>
      </c>
      <c r="M253" s="72">
        <f t="shared" si="40"/>
        <v>2.69</v>
      </c>
      <c r="N253" s="72">
        <f t="shared" si="40"/>
        <v>6.09</v>
      </c>
      <c r="O253" s="72">
        <f t="shared" si="40"/>
        <v>0.7</v>
      </c>
      <c r="P253" s="72"/>
      <c r="Q253" s="72"/>
      <c r="R253" s="72">
        <f>R252</f>
        <v>1.42</v>
      </c>
      <c r="S253" s="72">
        <f>S252</f>
        <v>0.61</v>
      </c>
      <c r="T253" s="72"/>
      <c r="U253" s="72"/>
      <c r="V253" s="72"/>
      <c r="W253" s="72"/>
      <c r="X253" s="72"/>
      <c r="Y253" s="72"/>
      <c r="Z253" s="72"/>
      <c r="AA253" s="72"/>
      <c r="AB253" s="72"/>
      <c r="AC253" s="73"/>
      <c r="AD253" s="73"/>
      <c r="AE253" s="73"/>
      <c r="AF253" s="73"/>
      <c r="AG253" s="73"/>
      <c r="AH253" s="73"/>
      <c r="AI253" s="73"/>
      <c r="AJ253" s="73"/>
      <c r="AK253" s="73"/>
      <c r="AL253" s="73"/>
      <c r="AM253" s="73"/>
      <c r="AN253" s="73"/>
      <c r="AO253" s="73"/>
      <c r="AP253" s="73"/>
      <c r="AQ253" s="73"/>
      <c r="AR253" s="73"/>
      <c r="AS253" s="73"/>
      <c r="AT253" s="73"/>
      <c r="AU253" s="73"/>
      <c r="AV253" s="73"/>
      <c r="AW253" s="73"/>
      <c r="AX253" s="73"/>
    </row>
    <row r="254" spans="1:50" s="22" customFormat="1" ht="15" customHeight="1" x14ac:dyDescent="0.2">
      <c r="A254" s="24" t="s">
        <v>129</v>
      </c>
      <c r="B254" s="21" t="s">
        <v>146</v>
      </c>
      <c r="D254" s="2"/>
      <c r="E254" s="2"/>
      <c r="F254" s="2" t="s">
        <v>0</v>
      </c>
      <c r="H254" s="22" t="s">
        <v>131</v>
      </c>
      <c r="I254" s="65" t="s">
        <v>1016</v>
      </c>
      <c r="J254" s="4">
        <v>91</v>
      </c>
      <c r="K254" s="4"/>
      <c r="L254" s="4">
        <v>15</v>
      </c>
      <c r="M254" s="4">
        <v>0.7</v>
      </c>
      <c r="N254" s="4"/>
      <c r="O254" s="4"/>
      <c r="P254" s="4" t="s">
        <v>0</v>
      </c>
      <c r="Q254" s="4"/>
      <c r="R254" s="4">
        <v>6.5</v>
      </c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</row>
    <row r="255" spans="1:50" s="22" customFormat="1" ht="15" customHeight="1" x14ac:dyDescent="0.2">
      <c r="A255" s="24" t="s">
        <v>129</v>
      </c>
      <c r="B255" s="21" t="s">
        <v>146</v>
      </c>
      <c r="D255" s="2"/>
      <c r="E255" s="2"/>
      <c r="F255" s="2" t="s">
        <v>0</v>
      </c>
      <c r="H255" s="22" t="s">
        <v>131</v>
      </c>
      <c r="I255" s="65" t="s">
        <v>788</v>
      </c>
      <c r="J255" s="4">
        <v>90.6</v>
      </c>
      <c r="K255" s="4">
        <v>4.24</v>
      </c>
      <c r="L255" s="4"/>
      <c r="M255" s="4"/>
      <c r="N255" s="4"/>
      <c r="O255" s="4"/>
      <c r="P255" s="4"/>
      <c r="Q255" s="4"/>
      <c r="R255" s="4">
        <v>4.8</v>
      </c>
      <c r="S255" s="4">
        <v>0.52</v>
      </c>
      <c r="T255" s="4"/>
      <c r="U255" s="4"/>
      <c r="V255" s="4"/>
      <c r="W255" s="4"/>
      <c r="X255" s="4"/>
      <c r="Y255" s="4"/>
      <c r="Z255" s="4"/>
      <c r="AA255" s="4"/>
      <c r="AB255" s="4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</row>
    <row r="256" spans="1:50" s="22" customFormat="1" ht="15" customHeight="1" x14ac:dyDescent="0.2">
      <c r="A256" s="24" t="s">
        <v>129</v>
      </c>
      <c r="B256" s="21" t="s">
        <v>146</v>
      </c>
      <c r="D256" s="2"/>
      <c r="E256" s="2"/>
      <c r="F256" s="2" t="s">
        <v>0</v>
      </c>
      <c r="H256" s="22" t="s">
        <v>131</v>
      </c>
      <c r="I256" s="65" t="s">
        <v>701</v>
      </c>
      <c r="J256" s="4">
        <v>77</v>
      </c>
      <c r="K256" s="4"/>
      <c r="L256" s="4">
        <v>320</v>
      </c>
      <c r="M256" s="4"/>
      <c r="N256" s="4">
        <v>100</v>
      </c>
      <c r="O256" s="4"/>
      <c r="P256" s="4" t="s">
        <v>0</v>
      </c>
      <c r="Q256" s="4"/>
      <c r="R256" s="4">
        <v>13.7</v>
      </c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</row>
    <row r="257" spans="1:50" ht="51" x14ac:dyDescent="0.2">
      <c r="A257" s="24" t="s">
        <v>129</v>
      </c>
      <c r="B257" s="24" t="s">
        <v>146</v>
      </c>
      <c r="F257" s="2" t="s">
        <v>0</v>
      </c>
      <c r="H257" s="2" t="s">
        <v>131</v>
      </c>
      <c r="I257" s="243" t="s">
        <v>1024</v>
      </c>
      <c r="J257" s="3">
        <v>94.5</v>
      </c>
      <c r="K257" s="3">
        <v>1.55</v>
      </c>
      <c r="L257" s="3">
        <v>10</v>
      </c>
      <c r="M257" s="3">
        <v>0.33</v>
      </c>
      <c r="N257" s="3">
        <v>8.2799999999999994</v>
      </c>
      <c r="O257" s="3">
        <v>0.37</v>
      </c>
      <c r="P257" s="4" t="s">
        <v>0</v>
      </c>
      <c r="Q257" s="3">
        <v>17.05</v>
      </c>
      <c r="R257" s="3">
        <v>15.74</v>
      </c>
      <c r="S257" s="3">
        <v>0.06</v>
      </c>
    </row>
    <row r="258" spans="1:50" s="71" customFormat="1" ht="15" customHeight="1" x14ac:dyDescent="0.2">
      <c r="A258" s="70" t="s">
        <v>129</v>
      </c>
      <c r="B258" s="70" t="s">
        <v>146</v>
      </c>
      <c r="C258" s="71" t="s">
        <v>132</v>
      </c>
      <c r="D258" s="71" t="s">
        <v>31</v>
      </c>
      <c r="E258" s="71" t="s">
        <v>32</v>
      </c>
      <c r="F258" s="71" t="s">
        <v>132</v>
      </c>
      <c r="H258" s="71" t="s">
        <v>131</v>
      </c>
      <c r="I258" s="87"/>
      <c r="J258" s="72">
        <f>AVERAGE(J254:J257)</f>
        <v>88.275000000000006</v>
      </c>
      <c r="K258" s="72">
        <f t="shared" ref="K258:S258" si="41">AVERAGE(K254:K257)</f>
        <v>2.895</v>
      </c>
      <c r="L258" s="72">
        <f t="shared" si="41"/>
        <v>115</v>
      </c>
      <c r="M258" s="72">
        <f t="shared" si="41"/>
        <v>0.51500000000000001</v>
      </c>
      <c r="N258" s="72">
        <f t="shared" si="41"/>
        <v>54.14</v>
      </c>
      <c r="O258" s="72">
        <f t="shared" si="41"/>
        <v>0.37</v>
      </c>
      <c r="P258" s="72"/>
      <c r="Q258" s="72">
        <f t="shared" si="41"/>
        <v>17.05</v>
      </c>
      <c r="R258" s="72">
        <f t="shared" si="41"/>
        <v>10.185</v>
      </c>
      <c r="S258" s="72">
        <f t="shared" si="41"/>
        <v>0.29000000000000004</v>
      </c>
      <c r="T258" s="72"/>
      <c r="U258" s="72"/>
      <c r="V258" s="72"/>
      <c r="W258" s="72"/>
      <c r="X258" s="72"/>
      <c r="Y258" s="72"/>
      <c r="Z258" s="72"/>
      <c r="AA258" s="72"/>
      <c r="AB258" s="72"/>
      <c r="AC258" s="73"/>
      <c r="AD258" s="73"/>
      <c r="AE258" s="73"/>
      <c r="AF258" s="73"/>
      <c r="AG258" s="73"/>
      <c r="AH258" s="73"/>
      <c r="AI258" s="73"/>
      <c r="AJ258" s="73"/>
      <c r="AK258" s="73"/>
      <c r="AL258" s="73"/>
      <c r="AM258" s="73"/>
      <c r="AN258" s="73"/>
      <c r="AO258" s="73"/>
      <c r="AP258" s="73"/>
      <c r="AQ258" s="73"/>
      <c r="AR258" s="73"/>
      <c r="AS258" s="73"/>
      <c r="AT258" s="73"/>
      <c r="AU258" s="73"/>
      <c r="AV258" s="73"/>
      <c r="AW258" s="73"/>
      <c r="AX258" s="73"/>
    </row>
    <row r="259" spans="1:50" ht="17" x14ac:dyDescent="0.2">
      <c r="A259" s="24" t="s">
        <v>129</v>
      </c>
      <c r="B259" s="24" t="s">
        <v>130</v>
      </c>
      <c r="F259" s="2" t="s">
        <v>0</v>
      </c>
      <c r="H259" s="2" t="s">
        <v>131</v>
      </c>
      <c r="I259" s="243" t="s">
        <v>1013</v>
      </c>
      <c r="J259" s="3">
        <v>91.2</v>
      </c>
      <c r="K259" s="3">
        <v>5.7</v>
      </c>
      <c r="L259" s="3">
        <v>24</v>
      </c>
      <c r="M259" s="3">
        <v>1</v>
      </c>
      <c r="P259" s="4" t="s">
        <v>0</v>
      </c>
      <c r="R259" s="3">
        <v>5</v>
      </c>
    </row>
    <row r="260" spans="1:50" ht="17" x14ac:dyDescent="0.2">
      <c r="A260" s="31" t="s">
        <v>129</v>
      </c>
      <c r="B260" s="31" t="s">
        <v>79</v>
      </c>
      <c r="C260" s="1"/>
      <c r="F260" s="2" t="s">
        <v>0</v>
      </c>
      <c r="H260" s="2" t="s">
        <v>33</v>
      </c>
      <c r="I260" s="243" t="s">
        <v>1006</v>
      </c>
      <c r="J260" s="3">
        <v>92</v>
      </c>
      <c r="K260" s="3">
        <v>1.899999999999999</v>
      </c>
      <c r="L260" s="3">
        <v>6.9995999999999956</v>
      </c>
      <c r="M260" s="3">
        <v>1.0031999999999994</v>
      </c>
      <c r="P260" s="4">
        <f t="shared" ref="P260:P262" si="42">AN260</f>
        <v>0</v>
      </c>
      <c r="R260" s="3" t="s">
        <v>55</v>
      </c>
      <c r="AE260" s="23"/>
      <c r="AN260" s="23"/>
    </row>
    <row r="261" spans="1:50" ht="17" x14ac:dyDescent="0.2">
      <c r="A261" s="31" t="s">
        <v>129</v>
      </c>
      <c r="B261" s="31" t="s">
        <v>79</v>
      </c>
      <c r="C261" s="1"/>
      <c r="F261" s="2" t="s">
        <v>0</v>
      </c>
      <c r="H261" s="2" t="s">
        <v>33</v>
      </c>
      <c r="I261" s="243" t="s">
        <v>1006</v>
      </c>
      <c r="J261" s="3">
        <v>90</v>
      </c>
      <c r="K261" s="3">
        <v>0.90479999999999972</v>
      </c>
      <c r="L261" s="3">
        <v>10.004799999999998</v>
      </c>
      <c r="M261" s="3">
        <v>0.60319999999999985</v>
      </c>
      <c r="P261" s="4">
        <f t="shared" si="42"/>
        <v>0</v>
      </c>
      <c r="R261" s="3">
        <v>10.004799999999998</v>
      </c>
      <c r="AE261" s="23"/>
      <c r="AN261" s="23"/>
    </row>
    <row r="262" spans="1:50" ht="17" x14ac:dyDescent="0.2">
      <c r="A262" s="31" t="s">
        <v>129</v>
      </c>
      <c r="B262" s="31" t="s">
        <v>79</v>
      </c>
      <c r="C262" s="1"/>
      <c r="F262" s="2" t="s">
        <v>0</v>
      </c>
      <c r="H262" s="2" t="s">
        <v>33</v>
      </c>
      <c r="I262" s="243" t="s">
        <v>1006</v>
      </c>
      <c r="J262" s="3">
        <v>91</v>
      </c>
      <c r="K262" s="3">
        <v>0.70199999999999974</v>
      </c>
      <c r="L262" s="3">
        <v>12.995999999999997</v>
      </c>
      <c r="M262" s="3">
        <v>0.50399999999999978</v>
      </c>
      <c r="P262" s="4">
        <f t="shared" si="42"/>
        <v>0</v>
      </c>
      <c r="R262" s="3">
        <v>3.9959999999999987</v>
      </c>
      <c r="AE262" s="23"/>
      <c r="AN262" s="23"/>
    </row>
    <row r="263" spans="1:50" ht="17" x14ac:dyDescent="0.2">
      <c r="A263" s="31" t="s">
        <v>129</v>
      </c>
      <c r="B263" s="31" t="s">
        <v>79</v>
      </c>
      <c r="C263" s="1"/>
      <c r="F263" s="2" t="s">
        <v>0</v>
      </c>
      <c r="H263" s="2" t="s">
        <v>33</v>
      </c>
      <c r="I263" s="243" t="s">
        <v>1006</v>
      </c>
      <c r="J263" s="3">
        <v>89</v>
      </c>
      <c r="K263" s="3">
        <v>0.70059999999999989</v>
      </c>
      <c r="L263" s="3">
        <v>32.995999999999995</v>
      </c>
      <c r="M263" s="3">
        <v>0.2034</v>
      </c>
      <c r="P263" s="4" t="s">
        <v>0</v>
      </c>
      <c r="R263" s="3">
        <v>8.9947999999999979</v>
      </c>
    </row>
    <row r="264" spans="1:50" ht="34" x14ac:dyDescent="0.2">
      <c r="A264" s="24" t="s">
        <v>129</v>
      </c>
      <c r="B264" s="24" t="s">
        <v>130</v>
      </c>
      <c r="F264" s="2" t="s">
        <v>0</v>
      </c>
      <c r="H264" s="2" t="s">
        <v>33</v>
      </c>
      <c r="I264" s="243" t="s">
        <v>1010</v>
      </c>
      <c r="J264" s="3">
        <v>91</v>
      </c>
      <c r="K264" s="3">
        <v>0.7</v>
      </c>
      <c r="L264" s="3">
        <v>13</v>
      </c>
      <c r="M264" s="3">
        <v>0.5</v>
      </c>
      <c r="N264" s="3">
        <v>3</v>
      </c>
      <c r="P264" s="4">
        <f>AN264</f>
        <v>0</v>
      </c>
      <c r="R264" s="3">
        <v>4</v>
      </c>
      <c r="AI264" s="23"/>
      <c r="AN264" s="23"/>
    </row>
    <row r="265" spans="1:50" s="71" customFormat="1" x14ac:dyDescent="0.2">
      <c r="A265" s="77" t="s">
        <v>129</v>
      </c>
      <c r="B265" s="77" t="s">
        <v>79</v>
      </c>
      <c r="C265" s="78" t="s">
        <v>132</v>
      </c>
      <c r="D265" s="71" t="s">
        <v>31</v>
      </c>
      <c r="E265" s="71" t="s">
        <v>32</v>
      </c>
      <c r="F265" s="71" t="s">
        <v>132</v>
      </c>
      <c r="H265" s="71" t="s">
        <v>33</v>
      </c>
      <c r="I265" s="87"/>
      <c r="J265" s="72">
        <f t="shared" ref="J265" si="43">AVERAGEIF(J259:J264, "&lt;&gt;0")</f>
        <v>90.7</v>
      </c>
      <c r="K265" s="72">
        <f>AVERAGEIF(K259:K264, "&lt;&gt;0")</f>
        <v>1.7678999999999998</v>
      </c>
      <c r="L265" s="72">
        <f>AVERAGEIF(L259:L264, "&lt;&gt;0")</f>
        <v>16.666066666666662</v>
      </c>
      <c r="M265" s="72">
        <f>AVERAGEIF(M259:M264, "&lt;&gt;0")</f>
        <v>0.63563333333333316</v>
      </c>
      <c r="N265" s="72">
        <f>AVERAGEIF(N259:N264, "&lt;&gt;0")</f>
        <v>3</v>
      </c>
      <c r="O265" s="72"/>
      <c r="P265" s="72">
        <f>AVERAGE(P259:P264)</f>
        <v>0</v>
      </c>
      <c r="Q265" s="72"/>
      <c r="R265" s="72">
        <f>AVERAGEIF(R259:R264, "&lt;&gt;0")</f>
        <v>6.399119999999999</v>
      </c>
      <c r="S265" s="72"/>
      <c r="T265" s="72"/>
      <c r="U265" s="72"/>
      <c r="V265" s="72"/>
      <c r="W265" s="72"/>
      <c r="X265" s="72"/>
      <c r="Y265" s="72"/>
      <c r="Z265" s="72"/>
      <c r="AA265" s="72"/>
      <c r="AB265" s="72"/>
      <c r="AC265" s="73"/>
      <c r="AD265" s="73"/>
      <c r="AE265" s="73"/>
      <c r="AF265" s="73"/>
      <c r="AG265" s="73"/>
      <c r="AH265" s="73"/>
      <c r="AI265" s="73"/>
      <c r="AJ265" s="73"/>
      <c r="AK265" s="73"/>
      <c r="AL265" s="73"/>
      <c r="AM265" s="73"/>
      <c r="AN265" s="73"/>
      <c r="AO265" s="73"/>
      <c r="AP265" s="73"/>
      <c r="AQ265" s="73"/>
      <c r="AR265" s="73"/>
      <c r="AS265" s="73"/>
      <c r="AT265" s="73"/>
      <c r="AU265" s="73"/>
      <c r="AV265" s="73"/>
      <c r="AW265" s="73"/>
      <c r="AX265" s="73"/>
    </row>
    <row r="266" spans="1:50" s="22" customFormat="1" ht="34" x14ac:dyDescent="0.2">
      <c r="A266" s="24" t="s">
        <v>133</v>
      </c>
      <c r="B266" s="24" t="s">
        <v>146</v>
      </c>
      <c r="C266" s="2"/>
      <c r="D266" s="2"/>
      <c r="E266" s="2"/>
      <c r="F266" s="2"/>
      <c r="G266" s="2"/>
      <c r="H266" s="2" t="s">
        <v>166</v>
      </c>
      <c r="I266" s="65" t="s">
        <v>902</v>
      </c>
      <c r="J266" s="4"/>
      <c r="K266" s="4"/>
      <c r="L266" s="4">
        <v>163</v>
      </c>
      <c r="M266" s="4"/>
      <c r="N266" s="4"/>
      <c r="O266" s="4"/>
      <c r="P266" s="4">
        <f>101/1000</f>
        <v>0.10100000000000001</v>
      </c>
      <c r="Q266" s="4"/>
      <c r="R266" s="4">
        <v>141</v>
      </c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</row>
    <row r="267" spans="1:50" ht="15" customHeight="1" x14ac:dyDescent="0.2">
      <c r="A267" s="24" t="s">
        <v>133</v>
      </c>
      <c r="B267" s="24" t="s">
        <v>146</v>
      </c>
      <c r="H267" s="2" t="s">
        <v>166</v>
      </c>
      <c r="I267" s="243" t="s">
        <v>1016</v>
      </c>
      <c r="J267" s="3">
        <v>82.5</v>
      </c>
      <c r="L267" s="3">
        <v>156</v>
      </c>
      <c r="M267" s="3">
        <v>2.2999999999999998</v>
      </c>
      <c r="P267" s="4" t="s">
        <v>0</v>
      </c>
      <c r="R267" s="3">
        <v>314</v>
      </c>
    </row>
    <row r="268" spans="1:50" s="71" customFormat="1" ht="15" customHeight="1" x14ac:dyDescent="0.2">
      <c r="A268" s="70" t="s">
        <v>133</v>
      </c>
      <c r="B268" s="70" t="s">
        <v>146</v>
      </c>
      <c r="C268" s="71" t="s">
        <v>753</v>
      </c>
      <c r="D268" s="71" t="s">
        <v>25</v>
      </c>
      <c r="E268" s="71" t="s">
        <v>46</v>
      </c>
      <c r="F268" s="71" t="s">
        <v>782</v>
      </c>
      <c r="H268" s="71" t="s">
        <v>166</v>
      </c>
      <c r="I268" s="87"/>
      <c r="J268" s="72">
        <f>AVERAGE(J266:J267)</f>
        <v>82.5</v>
      </c>
      <c r="K268" s="72"/>
      <c r="L268" s="72">
        <f>AVERAGE(L266:L267)</f>
        <v>159.5</v>
      </c>
      <c r="M268" s="72">
        <f>AVERAGE(M266:M267)</f>
        <v>2.2999999999999998</v>
      </c>
      <c r="N268" s="72"/>
      <c r="O268" s="72"/>
      <c r="P268" s="72">
        <f>AVERAGE(P266:P267)</f>
        <v>0.10100000000000001</v>
      </c>
      <c r="Q268" s="72"/>
      <c r="R268" s="72">
        <f>AVERAGE(R266:R267)</f>
        <v>227.5</v>
      </c>
      <c r="S268" s="72"/>
      <c r="T268" s="72"/>
      <c r="U268" s="72"/>
      <c r="V268" s="72"/>
      <c r="W268" s="72"/>
      <c r="X268" s="72"/>
      <c r="Y268" s="72"/>
      <c r="Z268" s="72"/>
      <c r="AA268" s="72"/>
      <c r="AB268" s="72"/>
      <c r="AC268" s="73"/>
      <c r="AD268" s="73"/>
      <c r="AE268" s="73"/>
      <c r="AF268" s="73"/>
      <c r="AG268" s="73"/>
      <c r="AH268" s="73"/>
      <c r="AI268" s="73"/>
      <c r="AJ268" s="73"/>
      <c r="AK268" s="73"/>
      <c r="AL268" s="73"/>
      <c r="AM268" s="73"/>
      <c r="AN268" s="73"/>
      <c r="AO268" s="73"/>
      <c r="AP268" s="73"/>
      <c r="AQ268" s="73"/>
      <c r="AR268" s="73"/>
      <c r="AS268" s="73"/>
      <c r="AT268" s="73"/>
      <c r="AU268" s="73"/>
      <c r="AV268" s="73"/>
      <c r="AW268" s="73"/>
      <c r="AX268" s="73"/>
    </row>
    <row r="269" spans="1:50" s="22" customFormat="1" ht="34" x14ac:dyDescent="0.2">
      <c r="A269" s="21" t="s">
        <v>133</v>
      </c>
      <c r="B269" s="21" t="s">
        <v>134</v>
      </c>
      <c r="C269" s="22" t="s">
        <v>0</v>
      </c>
      <c r="D269" s="2"/>
      <c r="E269" s="2"/>
      <c r="H269" s="22" t="s">
        <v>33</v>
      </c>
      <c r="I269" s="65" t="s">
        <v>1010</v>
      </c>
      <c r="J269" s="4">
        <v>90</v>
      </c>
      <c r="K269" s="4">
        <v>1</v>
      </c>
      <c r="L269" s="4">
        <v>80</v>
      </c>
      <c r="M269" s="4">
        <v>1</v>
      </c>
      <c r="N269" s="4"/>
      <c r="O269" s="4"/>
      <c r="P269" s="4">
        <f>AN269</f>
        <v>0</v>
      </c>
      <c r="Q269" s="4"/>
      <c r="R269" s="4">
        <v>70</v>
      </c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</row>
    <row r="270" spans="1:50" s="71" customFormat="1" ht="15" customHeight="1" x14ac:dyDescent="0.2">
      <c r="A270" s="70" t="s">
        <v>133</v>
      </c>
      <c r="B270" s="70" t="s">
        <v>134</v>
      </c>
      <c r="C270" s="71" t="s">
        <v>135</v>
      </c>
      <c r="D270" s="71" t="s">
        <v>56</v>
      </c>
      <c r="E270" s="71" t="s">
        <v>46</v>
      </c>
      <c r="F270" s="71" t="s">
        <v>782</v>
      </c>
      <c r="H270" s="71" t="s">
        <v>33</v>
      </c>
      <c r="I270" s="87"/>
      <c r="J270" s="72">
        <f t="shared" ref="J270" si="44">AVERAGEIF(J269, "&lt;&gt;0")</f>
        <v>90</v>
      </c>
      <c r="K270" s="72">
        <f>AVERAGEIF(K269, "&lt;&gt;0")</f>
        <v>1</v>
      </c>
      <c r="L270" s="72">
        <f>AVERAGEIF(L269, "&lt;&gt;0")</f>
        <v>80</v>
      </c>
      <c r="M270" s="72">
        <f>AVERAGEIF(M269, "&lt;&gt;0")</f>
        <v>1</v>
      </c>
      <c r="N270" s="72"/>
      <c r="O270" s="72"/>
      <c r="P270" s="72">
        <f>P269</f>
        <v>0</v>
      </c>
      <c r="Q270" s="72"/>
      <c r="R270" s="72">
        <f>AVERAGEIF(R269, "&lt;&gt;0")</f>
        <v>70</v>
      </c>
      <c r="S270" s="72"/>
      <c r="T270" s="72"/>
      <c r="U270" s="72"/>
      <c r="V270" s="72"/>
      <c r="W270" s="72"/>
      <c r="X270" s="72"/>
      <c r="Y270" s="72"/>
      <c r="Z270" s="72"/>
      <c r="AA270" s="72"/>
      <c r="AB270" s="72"/>
      <c r="AC270" s="73"/>
      <c r="AD270" s="73"/>
      <c r="AE270" s="73"/>
      <c r="AF270" s="73"/>
      <c r="AG270" s="73"/>
      <c r="AH270" s="73"/>
      <c r="AI270" s="73"/>
      <c r="AJ270" s="73"/>
      <c r="AK270" s="73"/>
      <c r="AL270" s="73"/>
      <c r="AM270" s="73"/>
      <c r="AN270" s="73"/>
      <c r="AO270" s="73"/>
      <c r="AP270" s="73"/>
      <c r="AQ270" s="73"/>
      <c r="AR270" s="73"/>
      <c r="AS270" s="73"/>
      <c r="AT270" s="73"/>
      <c r="AU270" s="73"/>
      <c r="AV270" s="73"/>
      <c r="AW270" s="73"/>
      <c r="AX270" s="73"/>
    </row>
    <row r="271" spans="1:50" ht="17" x14ac:dyDescent="0.2">
      <c r="A271" s="24" t="s">
        <v>136</v>
      </c>
      <c r="B271" s="24" t="s">
        <v>137</v>
      </c>
      <c r="H271" s="2" t="s">
        <v>33</v>
      </c>
      <c r="I271" s="243" t="s">
        <v>1030</v>
      </c>
      <c r="M271" s="3">
        <v>1.5</v>
      </c>
      <c r="N271" s="3">
        <v>48</v>
      </c>
      <c r="P271" s="4">
        <f t="shared" ref="P271:P272" si="45">AN271</f>
        <v>0</v>
      </c>
      <c r="Q271" s="3">
        <v>140</v>
      </c>
      <c r="AN271" s="23"/>
    </row>
    <row r="272" spans="1:50" ht="34" x14ac:dyDescent="0.2">
      <c r="A272" s="24" t="s">
        <v>136</v>
      </c>
      <c r="B272" s="24" t="s">
        <v>137</v>
      </c>
      <c r="H272" s="2" t="s">
        <v>33</v>
      </c>
      <c r="I272" s="243" t="s">
        <v>1019</v>
      </c>
      <c r="M272" s="3">
        <v>3.1</v>
      </c>
      <c r="P272" s="4">
        <f t="shared" si="45"/>
        <v>0</v>
      </c>
      <c r="R272" s="3">
        <v>166</v>
      </c>
      <c r="AI272" s="23"/>
      <c r="AN272" s="23"/>
    </row>
    <row r="273" spans="1:50" ht="34" x14ac:dyDescent="0.2">
      <c r="A273" s="24" t="s">
        <v>136</v>
      </c>
      <c r="B273" s="24" t="s">
        <v>137</v>
      </c>
      <c r="H273" s="2" t="s">
        <v>33</v>
      </c>
      <c r="I273" s="243" t="s">
        <v>1019</v>
      </c>
      <c r="J273" s="3">
        <v>91</v>
      </c>
      <c r="M273" s="3">
        <v>1.2</v>
      </c>
      <c r="P273" s="4" t="s">
        <v>0</v>
      </c>
      <c r="R273" s="3">
        <v>29</v>
      </c>
    </row>
    <row r="274" spans="1:50" ht="34" x14ac:dyDescent="0.2">
      <c r="A274" s="24" t="s">
        <v>136</v>
      </c>
      <c r="B274" s="24" t="s">
        <v>137</v>
      </c>
      <c r="H274" s="2" t="s">
        <v>33</v>
      </c>
      <c r="I274" s="243" t="s">
        <v>1004</v>
      </c>
      <c r="J274" s="3">
        <v>91</v>
      </c>
      <c r="K274" s="3">
        <v>1.3</v>
      </c>
      <c r="L274" s="3">
        <v>16</v>
      </c>
      <c r="M274" s="3">
        <v>3.1</v>
      </c>
      <c r="P274" s="4">
        <f t="shared" ref="P274:P284" si="46">AN274</f>
        <v>0</v>
      </c>
      <c r="R274" s="3">
        <v>29</v>
      </c>
      <c r="AI274" s="23"/>
      <c r="AN274" s="23"/>
    </row>
    <row r="275" spans="1:50" ht="34" x14ac:dyDescent="0.2">
      <c r="A275" s="34" t="s">
        <v>136</v>
      </c>
      <c r="B275" s="34" t="s">
        <v>137</v>
      </c>
      <c r="C275" s="33"/>
      <c r="H275" s="2" t="s">
        <v>33</v>
      </c>
      <c r="I275" s="245" t="s">
        <v>1004</v>
      </c>
      <c r="J275" s="36">
        <v>91</v>
      </c>
      <c r="K275" s="36">
        <v>1.3</v>
      </c>
      <c r="L275" s="36">
        <v>117</v>
      </c>
      <c r="P275" s="4">
        <f t="shared" si="46"/>
        <v>0</v>
      </c>
      <c r="R275" s="36">
        <v>166</v>
      </c>
      <c r="T275" s="36"/>
      <c r="U275" s="36"/>
      <c r="V275" s="36"/>
      <c r="Z275" s="36"/>
      <c r="AA275" s="36"/>
      <c r="AB275" s="36"/>
      <c r="AI275" s="23"/>
      <c r="AN275" s="23"/>
    </row>
    <row r="276" spans="1:50" ht="17" x14ac:dyDescent="0.2">
      <c r="A276" s="31" t="s">
        <v>136</v>
      </c>
      <c r="B276" s="31" t="s">
        <v>137</v>
      </c>
      <c r="C276" s="1"/>
      <c r="H276" s="2" t="s">
        <v>33</v>
      </c>
      <c r="I276" s="243" t="s">
        <v>1006</v>
      </c>
      <c r="J276" s="3">
        <v>93</v>
      </c>
      <c r="K276" s="3">
        <v>0.56759999999999955</v>
      </c>
      <c r="L276" s="3">
        <v>326.23139999999972</v>
      </c>
      <c r="M276" s="3">
        <v>3.6761999999999975</v>
      </c>
      <c r="P276" s="4">
        <f t="shared" si="46"/>
        <v>0</v>
      </c>
      <c r="R276" s="3">
        <v>65.056199999999947</v>
      </c>
      <c r="AE276" s="23"/>
      <c r="AN276" s="23"/>
    </row>
    <row r="277" spans="1:50" ht="17" x14ac:dyDescent="0.2">
      <c r="A277" s="31" t="s">
        <v>136</v>
      </c>
      <c r="B277" s="31" t="s">
        <v>137</v>
      </c>
      <c r="C277" s="1"/>
      <c r="H277" s="2" t="s">
        <v>33</v>
      </c>
      <c r="I277" s="243" t="s">
        <v>1006</v>
      </c>
      <c r="J277" s="3">
        <v>93</v>
      </c>
      <c r="K277" s="3">
        <v>0.63699999999999957</v>
      </c>
      <c r="L277" s="3">
        <v>112.42699999999992</v>
      </c>
      <c r="M277" s="3">
        <v>1.6939999999999988</v>
      </c>
      <c r="P277" s="4">
        <f t="shared" si="46"/>
        <v>0</v>
      </c>
      <c r="R277" s="3">
        <v>91.209999999999937</v>
      </c>
      <c r="AE277" s="23"/>
      <c r="AN277" s="23"/>
    </row>
    <row r="278" spans="1:50" ht="17" x14ac:dyDescent="0.2">
      <c r="A278" s="31" t="s">
        <v>136</v>
      </c>
      <c r="B278" s="31" t="s">
        <v>137</v>
      </c>
      <c r="C278" s="1"/>
      <c r="H278" s="2" t="s">
        <v>33</v>
      </c>
      <c r="I278" s="243" t="s">
        <v>1006</v>
      </c>
      <c r="J278" s="3">
        <v>93</v>
      </c>
      <c r="K278" s="3">
        <v>6.8999999999999955E-3</v>
      </c>
      <c r="L278" s="3">
        <v>109.01309999999992</v>
      </c>
      <c r="M278" s="3">
        <v>1.200599999999999</v>
      </c>
      <c r="P278" s="4">
        <f t="shared" si="46"/>
        <v>0</v>
      </c>
      <c r="R278" s="3">
        <v>102.00269999999992</v>
      </c>
      <c r="AE278" s="23"/>
      <c r="AN278" s="23"/>
    </row>
    <row r="279" spans="1:50" ht="17" x14ac:dyDescent="0.2">
      <c r="A279" s="24" t="s">
        <v>136</v>
      </c>
      <c r="B279" s="24" t="s">
        <v>137</v>
      </c>
      <c r="C279" s="32" t="s">
        <v>0</v>
      </c>
      <c r="H279" s="2" t="s">
        <v>33</v>
      </c>
      <c r="I279" s="243" t="s">
        <v>1007</v>
      </c>
      <c r="J279" s="3">
        <v>93.1</v>
      </c>
      <c r="L279" s="3">
        <v>109</v>
      </c>
      <c r="M279" s="3">
        <v>1.2</v>
      </c>
      <c r="N279" s="3">
        <v>65</v>
      </c>
      <c r="O279" s="3">
        <v>0.43</v>
      </c>
      <c r="P279" s="4">
        <f t="shared" si="46"/>
        <v>0</v>
      </c>
      <c r="Q279" s="3">
        <v>140</v>
      </c>
      <c r="R279" s="3">
        <v>102</v>
      </c>
      <c r="AI279" s="23"/>
      <c r="AN279" s="23"/>
    </row>
    <row r="280" spans="1:50" ht="34" x14ac:dyDescent="0.2">
      <c r="A280" s="24" t="s">
        <v>136</v>
      </c>
      <c r="B280" s="24" t="s">
        <v>137</v>
      </c>
      <c r="H280" s="2" t="s">
        <v>33</v>
      </c>
      <c r="I280" s="243" t="s">
        <v>1009</v>
      </c>
      <c r="K280" s="3">
        <v>0.73</v>
      </c>
      <c r="L280" s="3">
        <v>25</v>
      </c>
      <c r="M280" s="3">
        <v>1.03</v>
      </c>
      <c r="P280" s="4">
        <f t="shared" si="46"/>
        <v>0</v>
      </c>
      <c r="Q280" s="3">
        <v>71</v>
      </c>
      <c r="R280" s="3">
        <v>49</v>
      </c>
      <c r="S280" s="3">
        <v>1.35</v>
      </c>
      <c r="AN280" s="23"/>
    </row>
    <row r="281" spans="1:50" ht="34" x14ac:dyDescent="0.2">
      <c r="A281" s="24" t="s">
        <v>136</v>
      </c>
      <c r="B281" s="24" t="s">
        <v>137</v>
      </c>
      <c r="H281" s="2" t="s">
        <v>33</v>
      </c>
      <c r="I281" s="243" t="s">
        <v>1009</v>
      </c>
      <c r="K281" s="3">
        <v>0.73</v>
      </c>
      <c r="L281" s="3">
        <v>27</v>
      </c>
      <c r="M281" s="3">
        <v>1.02</v>
      </c>
      <c r="P281" s="4">
        <f t="shared" si="46"/>
        <v>0</v>
      </c>
      <c r="Q281" s="3">
        <v>104</v>
      </c>
      <c r="R281" s="3">
        <v>51</v>
      </c>
      <c r="S281" s="3">
        <v>1.29</v>
      </c>
      <c r="AN281" s="23"/>
    </row>
    <row r="282" spans="1:50" ht="34" x14ac:dyDescent="0.2">
      <c r="A282" s="24" t="s">
        <v>136</v>
      </c>
      <c r="B282" s="24" t="s">
        <v>138</v>
      </c>
      <c r="C282" s="2" t="s">
        <v>0</v>
      </c>
      <c r="H282" s="2" t="s">
        <v>33</v>
      </c>
      <c r="I282" s="243" t="s">
        <v>1009</v>
      </c>
      <c r="K282" s="3">
        <v>0.57999999999999996</v>
      </c>
      <c r="L282" s="3">
        <v>79</v>
      </c>
      <c r="M282" s="3">
        <v>1.29</v>
      </c>
      <c r="P282" s="4">
        <f t="shared" si="46"/>
        <v>0</v>
      </c>
      <c r="R282" s="3">
        <v>49</v>
      </c>
      <c r="S282" s="3">
        <v>1.46</v>
      </c>
      <c r="AN282" s="23"/>
    </row>
    <row r="283" spans="1:50" ht="34" x14ac:dyDescent="0.2">
      <c r="A283" s="24" t="s">
        <v>136</v>
      </c>
      <c r="B283" s="24" t="s">
        <v>139</v>
      </c>
      <c r="C283" s="2" t="s">
        <v>0</v>
      </c>
      <c r="H283" s="2" t="s">
        <v>33</v>
      </c>
      <c r="I283" s="243" t="s">
        <v>1009</v>
      </c>
      <c r="K283" s="3">
        <v>0.71</v>
      </c>
      <c r="L283" s="3">
        <v>128</v>
      </c>
      <c r="M283" s="3">
        <v>1.5</v>
      </c>
      <c r="P283" s="4">
        <f t="shared" si="46"/>
        <v>0</v>
      </c>
      <c r="R283" s="3">
        <v>78</v>
      </c>
      <c r="S283" s="3">
        <v>1.42</v>
      </c>
      <c r="AN283" s="23"/>
    </row>
    <row r="284" spans="1:50" ht="34" x14ac:dyDescent="0.2">
      <c r="A284" s="24" t="s">
        <v>136</v>
      </c>
      <c r="B284" s="24" t="s">
        <v>137</v>
      </c>
      <c r="H284" s="2" t="s">
        <v>33</v>
      </c>
      <c r="I284" s="243" t="s">
        <v>1010</v>
      </c>
      <c r="J284" s="3">
        <v>93.1</v>
      </c>
      <c r="K284" s="3">
        <v>0.7</v>
      </c>
      <c r="L284" s="3">
        <v>130</v>
      </c>
      <c r="M284" s="3">
        <v>1.5</v>
      </c>
      <c r="P284" s="4">
        <f t="shared" si="46"/>
        <v>0</v>
      </c>
      <c r="R284" s="3">
        <v>95</v>
      </c>
      <c r="AI284" s="23"/>
      <c r="AN284" s="23"/>
    </row>
    <row r="285" spans="1:50" s="71" customFormat="1" x14ac:dyDescent="0.2">
      <c r="A285" s="70" t="s">
        <v>136</v>
      </c>
      <c r="B285" s="70" t="s">
        <v>137</v>
      </c>
      <c r="C285" s="71" t="s">
        <v>140</v>
      </c>
      <c r="D285" s="71" t="s">
        <v>31</v>
      </c>
      <c r="E285" s="71" t="s">
        <v>42</v>
      </c>
      <c r="F285" s="71" t="s">
        <v>784</v>
      </c>
      <c r="H285" s="71" t="s">
        <v>33</v>
      </c>
      <c r="I285" s="87"/>
      <c r="J285" s="72">
        <f t="shared" ref="J285" si="47">AVERAGEIF(J271:J284, "&lt;&gt;0")</f>
        <v>92.275000000000006</v>
      </c>
      <c r="K285" s="72">
        <f t="shared" ref="K285:S285" si="48">AVERAGEIF(K271:K284, "&lt;&gt;0")</f>
        <v>0.72614999999999996</v>
      </c>
      <c r="L285" s="72">
        <f t="shared" si="48"/>
        <v>107.1519545454545</v>
      </c>
      <c r="M285" s="72">
        <f t="shared" si="48"/>
        <v>1.7700615384615381</v>
      </c>
      <c r="N285" s="72">
        <f t="shared" si="48"/>
        <v>56.5</v>
      </c>
      <c r="O285" s="72">
        <f t="shared" si="48"/>
        <v>0.43</v>
      </c>
      <c r="P285" s="72">
        <f>AVERAGE(P271:P284)</f>
        <v>0</v>
      </c>
      <c r="Q285" s="72">
        <f t="shared" si="48"/>
        <v>113.75</v>
      </c>
      <c r="R285" s="72">
        <f t="shared" si="48"/>
        <v>82.482223076923063</v>
      </c>
      <c r="S285" s="72">
        <f t="shared" si="48"/>
        <v>1.38</v>
      </c>
      <c r="T285" s="72"/>
      <c r="U285" s="72"/>
      <c r="V285" s="72"/>
      <c r="W285" s="72"/>
      <c r="X285" s="72"/>
      <c r="Y285" s="72"/>
      <c r="Z285" s="72"/>
      <c r="AA285" s="72"/>
      <c r="AB285" s="72"/>
      <c r="AC285" s="73"/>
      <c r="AD285" s="73"/>
      <c r="AE285" s="73"/>
      <c r="AF285" s="73"/>
      <c r="AG285" s="73"/>
      <c r="AH285" s="73"/>
      <c r="AI285" s="73"/>
      <c r="AJ285" s="73"/>
      <c r="AK285" s="73"/>
      <c r="AL285" s="73"/>
      <c r="AM285" s="73"/>
      <c r="AN285" s="73"/>
      <c r="AO285" s="73"/>
      <c r="AP285" s="73"/>
      <c r="AQ285" s="73"/>
      <c r="AR285" s="73"/>
      <c r="AS285" s="73"/>
      <c r="AT285" s="73"/>
      <c r="AU285" s="73"/>
      <c r="AV285" s="73"/>
      <c r="AW285" s="73"/>
      <c r="AX285" s="73"/>
    </row>
    <row r="286" spans="1:50" ht="17" x14ac:dyDescent="0.2">
      <c r="A286" s="24" t="s">
        <v>719</v>
      </c>
      <c r="B286" s="24" t="s">
        <v>720</v>
      </c>
      <c r="H286" s="2" t="s">
        <v>721</v>
      </c>
      <c r="I286" s="243" t="s">
        <v>1018</v>
      </c>
      <c r="J286" s="3">
        <v>70.5</v>
      </c>
      <c r="K286" s="3">
        <v>2.8</v>
      </c>
      <c r="L286" s="3">
        <v>294</v>
      </c>
      <c r="M286" s="3">
        <v>2.9</v>
      </c>
      <c r="P286" s="4" t="s">
        <v>0</v>
      </c>
      <c r="S286" s="3" t="s">
        <v>0</v>
      </c>
    </row>
    <row r="287" spans="1:50" s="71" customFormat="1" ht="15" customHeight="1" x14ac:dyDescent="0.2">
      <c r="A287" s="70" t="s">
        <v>719</v>
      </c>
      <c r="B287" s="70" t="s">
        <v>720</v>
      </c>
      <c r="C287" s="71" t="s">
        <v>865</v>
      </c>
      <c r="D287" s="71" t="s">
        <v>31</v>
      </c>
      <c r="E287" s="71" t="s">
        <v>32</v>
      </c>
      <c r="F287" s="71" t="s">
        <v>781</v>
      </c>
      <c r="H287" s="71" t="s">
        <v>721</v>
      </c>
      <c r="I287" s="87"/>
      <c r="J287" s="72">
        <f>J286</f>
        <v>70.5</v>
      </c>
      <c r="K287" s="72">
        <f>K286</f>
        <v>2.8</v>
      </c>
      <c r="L287" s="72">
        <f>L286</f>
        <v>294</v>
      </c>
      <c r="M287" s="72">
        <f>M286</f>
        <v>2.9</v>
      </c>
      <c r="N287" s="72"/>
      <c r="O287" s="72"/>
      <c r="P287" s="72"/>
      <c r="Q287" s="72"/>
      <c r="R287" s="72"/>
      <c r="S287" s="72"/>
      <c r="T287" s="72"/>
      <c r="U287" s="72"/>
      <c r="V287" s="72"/>
      <c r="W287" s="72"/>
      <c r="X287" s="72"/>
      <c r="Y287" s="72"/>
      <c r="Z287" s="72"/>
      <c r="AA287" s="72"/>
      <c r="AB287" s="72"/>
      <c r="AC287" s="73"/>
      <c r="AD287" s="73"/>
      <c r="AE287" s="73"/>
      <c r="AF287" s="73"/>
      <c r="AG287" s="73"/>
      <c r="AH287" s="73"/>
      <c r="AI287" s="73"/>
      <c r="AJ287" s="73"/>
      <c r="AK287" s="73"/>
      <c r="AL287" s="73"/>
      <c r="AM287" s="73"/>
      <c r="AN287" s="73"/>
      <c r="AO287" s="73"/>
      <c r="AP287" s="73"/>
      <c r="AQ287" s="73"/>
      <c r="AR287" s="73"/>
      <c r="AS287" s="73"/>
      <c r="AT287" s="73"/>
      <c r="AU287" s="73"/>
      <c r="AV287" s="73"/>
      <c r="AW287" s="73"/>
      <c r="AX287" s="73"/>
    </row>
    <row r="288" spans="1:50" s="22" customFormat="1" ht="15" customHeight="1" x14ac:dyDescent="0.2">
      <c r="A288" s="21" t="s">
        <v>921</v>
      </c>
      <c r="B288" s="21" t="s">
        <v>922</v>
      </c>
      <c r="D288" s="2"/>
      <c r="E288" s="2"/>
      <c r="F288" s="2"/>
      <c r="H288" s="22" t="s">
        <v>33</v>
      </c>
      <c r="I288" s="243" t="s">
        <v>1029</v>
      </c>
      <c r="J288" s="4"/>
      <c r="K288" s="4"/>
      <c r="L288" s="4">
        <v>190</v>
      </c>
      <c r="M288" s="4">
        <v>2.7</v>
      </c>
      <c r="N288" s="4">
        <v>33</v>
      </c>
      <c r="O288" s="4"/>
      <c r="P288" s="4">
        <f>AE288</f>
        <v>0</v>
      </c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</row>
    <row r="289" spans="1:50" s="71" customFormat="1" ht="15" customHeight="1" x14ac:dyDescent="0.2">
      <c r="A289" s="70" t="s">
        <v>921</v>
      </c>
      <c r="B289" s="70" t="s">
        <v>922</v>
      </c>
      <c r="C289" s="71" t="s">
        <v>923</v>
      </c>
      <c r="D289" s="71" t="s">
        <v>31</v>
      </c>
      <c r="E289" s="71" t="s">
        <v>46</v>
      </c>
      <c r="F289" s="71" t="s">
        <v>782</v>
      </c>
      <c r="H289" s="71" t="s">
        <v>33</v>
      </c>
      <c r="I289" s="87"/>
      <c r="J289" s="72"/>
      <c r="K289" s="72"/>
      <c r="L289" s="72">
        <f>L288</f>
        <v>190</v>
      </c>
      <c r="M289" s="72">
        <f>M288</f>
        <v>2.7</v>
      </c>
      <c r="N289" s="72">
        <f>N288</f>
        <v>33</v>
      </c>
      <c r="O289" s="72"/>
      <c r="P289" s="72">
        <f>P288</f>
        <v>0</v>
      </c>
      <c r="Q289" s="72"/>
      <c r="R289" s="72"/>
      <c r="S289" s="72"/>
      <c r="T289" s="72"/>
      <c r="U289" s="72"/>
      <c r="V289" s="72"/>
      <c r="W289" s="72"/>
      <c r="X289" s="72"/>
      <c r="Y289" s="72"/>
      <c r="Z289" s="72"/>
      <c r="AA289" s="72"/>
      <c r="AB289" s="72"/>
      <c r="AC289" s="73"/>
      <c r="AD289" s="73"/>
      <c r="AE289" s="73"/>
      <c r="AF289" s="73"/>
      <c r="AG289" s="73"/>
      <c r="AH289" s="73"/>
      <c r="AI289" s="73"/>
      <c r="AJ289" s="73"/>
      <c r="AK289" s="73"/>
      <c r="AL289" s="73"/>
      <c r="AM289" s="73"/>
      <c r="AN289" s="73"/>
      <c r="AO289" s="73"/>
      <c r="AP289" s="73"/>
      <c r="AQ289" s="73"/>
      <c r="AR289" s="73"/>
      <c r="AS289" s="73"/>
      <c r="AT289" s="73"/>
      <c r="AU289" s="73"/>
      <c r="AV289" s="73"/>
      <c r="AW289" s="73"/>
      <c r="AX289" s="73"/>
    </row>
    <row r="290" spans="1:50" ht="34" x14ac:dyDescent="0.2">
      <c r="A290" s="24" t="s">
        <v>141</v>
      </c>
      <c r="B290" s="24" t="s">
        <v>142</v>
      </c>
      <c r="H290" s="2" t="s">
        <v>28</v>
      </c>
      <c r="I290" s="243" t="s">
        <v>1005</v>
      </c>
      <c r="J290" s="3">
        <v>96.1</v>
      </c>
      <c r="K290" s="3">
        <v>2.9</v>
      </c>
      <c r="L290" s="3">
        <v>19</v>
      </c>
      <c r="M290" s="3">
        <v>0.4</v>
      </c>
      <c r="N290" s="3">
        <v>10</v>
      </c>
      <c r="O290" s="3">
        <v>0.6</v>
      </c>
      <c r="P290" s="4" t="s">
        <v>0</v>
      </c>
      <c r="Q290" s="3">
        <v>5</v>
      </c>
      <c r="R290" s="3">
        <v>13</v>
      </c>
    </row>
    <row r="291" spans="1:50" ht="17" x14ac:dyDescent="0.2">
      <c r="A291" s="24" t="s">
        <v>141</v>
      </c>
      <c r="B291" s="24" t="s">
        <v>142</v>
      </c>
      <c r="C291" s="32"/>
      <c r="H291" s="2" t="s">
        <v>28</v>
      </c>
      <c r="I291" s="243" t="s">
        <v>1007</v>
      </c>
      <c r="J291" s="3">
        <v>96.1</v>
      </c>
      <c r="K291" s="3">
        <v>2.9</v>
      </c>
      <c r="L291" s="3">
        <v>19</v>
      </c>
      <c r="M291" s="3">
        <v>0.4</v>
      </c>
      <c r="N291" s="3">
        <v>10</v>
      </c>
      <c r="O291" s="3">
        <v>0.6</v>
      </c>
      <c r="P291" s="4">
        <f>AN291</f>
        <v>0</v>
      </c>
      <c r="Q291" s="3">
        <v>5</v>
      </c>
      <c r="R291" s="3">
        <v>13</v>
      </c>
      <c r="AI291" s="23"/>
      <c r="AN291" s="23"/>
    </row>
    <row r="292" spans="1:50" ht="34" x14ac:dyDescent="0.2">
      <c r="A292" s="24" t="s">
        <v>141</v>
      </c>
      <c r="B292" s="31" t="s">
        <v>142</v>
      </c>
      <c r="H292" s="2" t="s">
        <v>28</v>
      </c>
      <c r="I292" s="243" t="s">
        <v>1009</v>
      </c>
      <c r="K292" s="3">
        <v>0.36</v>
      </c>
      <c r="L292" s="3">
        <v>13</v>
      </c>
      <c r="M292" s="3">
        <v>0.56999999999999995</v>
      </c>
      <c r="O292" s="3">
        <v>0.06</v>
      </c>
      <c r="P292" s="4" t="s">
        <v>0</v>
      </c>
      <c r="R292" s="3">
        <v>18</v>
      </c>
      <c r="S292" s="3">
        <v>0.03</v>
      </c>
    </row>
    <row r="293" spans="1:50" ht="34" x14ac:dyDescent="0.2">
      <c r="A293" s="24" t="s">
        <v>141</v>
      </c>
      <c r="B293" s="31" t="s">
        <v>142</v>
      </c>
      <c r="H293" s="2" t="s">
        <v>28</v>
      </c>
      <c r="I293" s="243" t="s">
        <v>1009</v>
      </c>
      <c r="K293" s="3">
        <v>0.55000000000000004</v>
      </c>
      <c r="L293" s="3">
        <v>13</v>
      </c>
      <c r="M293" s="3">
        <v>0.04</v>
      </c>
      <c r="O293" s="3">
        <v>0.04</v>
      </c>
      <c r="P293" s="4" t="s">
        <v>0</v>
      </c>
      <c r="R293" s="3">
        <v>37</v>
      </c>
      <c r="S293" s="3">
        <v>0.14000000000000001</v>
      </c>
    </row>
    <row r="294" spans="1:50" ht="34" x14ac:dyDescent="0.2">
      <c r="A294" s="24" t="s">
        <v>141</v>
      </c>
      <c r="B294" s="24" t="s">
        <v>142</v>
      </c>
      <c r="H294" s="2" t="s">
        <v>28</v>
      </c>
      <c r="I294" s="243" t="s">
        <v>1010</v>
      </c>
      <c r="J294" s="3">
        <v>96</v>
      </c>
      <c r="K294" s="3">
        <v>0.7</v>
      </c>
      <c r="L294" s="3">
        <v>22</v>
      </c>
      <c r="M294" s="3">
        <v>0.5</v>
      </c>
      <c r="P294" s="4">
        <f>AN294</f>
        <v>0</v>
      </c>
      <c r="R294" s="3">
        <v>39</v>
      </c>
      <c r="AI294" s="23"/>
      <c r="AN294" s="23"/>
    </row>
    <row r="295" spans="1:50" ht="34" x14ac:dyDescent="0.2">
      <c r="A295" s="24" t="s">
        <v>141</v>
      </c>
      <c r="B295" s="24" t="s">
        <v>142</v>
      </c>
      <c r="H295" s="2" t="s">
        <v>28</v>
      </c>
      <c r="I295" s="243" t="s">
        <v>1010</v>
      </c>
      <c r="J295" s="3">
        <v>96</v>
      </c>
      <c r="L295" s="3">
        <v>14</v>
      </c>
      <c r="M295" s="3">
        <v>0.4</v>
      </c>
      <c r="N295" s="3">
        <v>16</v>
      </c>
      <c r="P295" s="4" t="s">
        <v>0</v>
      </c>
      <c r="R295" s="3">
        <v>14</v>
      </c>
    </row>
    <row r="296" spans="1:50" s="71" customFormat="1" x14ac:dyDescent="0.2">
      <c r="A296" s="70" t="s">
        <v>141</v>
      </c>
      <c r="B296" s="70" t="s">
        <v>142</v>
      </c>
      <c r="C296" s="71" t="s">
        <v>144</v>
      </c>
      <c r="D296" s="71" t="s">
        <v>56</v>
      </c>
      <c r="E296" s="71" t="s">
        <v>143</v>
      </c>
      <c r="F296" s="71" t="s">
        <v>782</v>
      </c>
      <c r="H296" s="71" t="s">
        <v>28</v>
      </c>
      <c r="I296" s="87"/>
      <c r="J296" s="72">
        <f t="shared" ref="J296" si="49">AVERAGEIF(J290:J295, "&lt;&gt;0")</f>
        <v>96.05</v>
      </c>
      <c r="K296" s="72">
        <f t="shared" ref="K296:S296" si="50">AVERAGEIF(K290:K295, "&lt;&gt;0")</f>
        <v>1.482</v>
      </c>
      <c r="L296" s="72">
        <f t="shared" si="50"/>
        <v>16.666666666666668</v>
      </c>
      <c r="M296" s="72">
        <f t="shared" si="50"/>
        <v>0.38500000000000001</v>
      </c>
      <c r="N296" s="72">
        <f t="shared" si="50"/>
        <v>12</v>
      </c>
      <c r="O296" s="72">
        <f t="shared" si="50"/>
        <v>0.32500000000000001</v>
      </c>
      <c r="P296" s="72">
        <f>AVERAGE(P290:P295)</f>
        <v>0</v>
      </c>
      <c r="Q296" s="72">
        <f t="shared" si="50"/>
        <v>5</v>
      </c>
      <c r="R296" s="72">
        <f t="shared" si="50"/>
        <v>22.333333333333332</v>
      </c>
      <c r="S296" s="72">
        <f t="shared" si="50"/>
        <v>8.5000000000000006E-2</v>
      </c>
      <c r="T296" s="72"/>
      <c r="U296" s="72"/>
      <c r="V296" s="72"/>
      <c r="W296" s="72"/>
      <c r="X296" s="72"/>
      <c r="Y296" s="72"/>
      <c r="Z296" s="72"/>
      <c r="AA296" s="72"/>
      <c r="AB296" s="72"/>
      <c r="AC296" s="73"/>
      <c r="AD296" s="73"/>
      <c r="AE296" s="73"/>
      <c r="AF296" s="73"/>
      <c r="AG296" s="73"/>
      <c r="AH296" s="73"/>
      <c r="AI296" s="73"/>
      <c r="AJ296" s="73"/>
      <c r="AK296" s="73"/>
      <c r="AL296" s="73"/>
      <c r="AM296" s="73"/>
      <c r="AN296" s="73"/>
      <c r="AO296" s="73"/>
      <c r="AP296" s="73"/>
      <c r="AQ296" s="73"/>
      <c r="AR296" s="73"/>
      <c r="AS296" s="73"/>
      <c r="AT296" s="73"/>
      <c r="AU296" s="73"/>
      <c r="AV296" s="73"/>
      <c r="AW296" s="73"/>
      <c r="AX296" s="73"/>
    </row>
    <row r="297" spans="1:50" ht="17" x14ac:dyDescent="0.2">
      <c r="A297" s="24" t="s">
        <v>145</v>
      </c>
      <c r="B297" s="24" t="s">
        <v>146</v>
      </c>
      <c r="H297" s="2" t="s">
        <v>33</v>
      </c>
      <c r="I297" s="243" t="s">
        <v>1006</v>
      </c>
      <c r="J297" s="3">
        <v>90.9</v>
      </c>
      <c r="K297" s="3">
        <v>1.3</v>
      </c>
      <c r="L297" s="3">
        <v>119</v>
      </c>
      <c r="M297" s="3">
        <v>3.3</v>
      </c>
      <c r="P297" s="4">
        <f t="shared" ref="P297:P309" si="51">AN297</f>
        <v>0</v>
      </c>
      <c r="R297" s="3">
        <v>30</v>
      </c>
      <c r="AE297" s="23"/>
      <c r="AN297" s="23"/>
    </row>
    <row r="298" spans="1:50" ht="17" x14ac:dyDescent="0.2">
      <c r="A298" s="24" t="s">
        <v>145</v>
      </c>
      <c r="B298" s="24" t="s">
        <v>146</v>
      </c>
      <c r="H298" s="2" t="s">
        <v>33</v>
      </c>
      <c r="I298" s="243" t="s">
        <v>1006</v>
      </c>
      <c r="J298" s="3">
        <v>91.1</v>
      </c>
      <c r="K298" s="3">
        <v>0.8</v>
      </c>
      <c r="L298" s="3">
        <v>88</v>
      </c>
      <c r="M298" s="3">
        <v>3.2</v>
      </c>
      <c r="P298" s="4">
        <f t="shared" si="51"/>
        <v>0</v>
      </c>
      <c r="R298" s="3">
        <v>32</v>
      </c>
      <c r="AE298" s="23"/>
      <c r="AN298" s="23"/>
    </row>
    <row r="299" spans="1:50" ht="17" x14ac:dyDescent="0.2">
      <c r="A299" s="24" t="s">
        <v>145</v>
      </c>
      <c r="B299" s="24" t="s">
        <v>146</v>
      </c>
      <c r="C299" s="32" t="s">
        <v>0</v>
      </c>
      <c r="H299" s="2" t="s">
        <v>33</v>
      </c>
      <c r="I299" s="243" t="s">
        <v>1007</v>
      </c>
      <c r="J299" s="3">
        <v>92.7</v>
      </c>
      <c r="K299" s="3">
        <v>1.6</v>
      </c>
      <c r="L299" s="3">
        <v>51</v>
      </c>
      <c r="M299" s="3">
        <v>1.8</v>
      </c>
      <c r="N299" s="3">
        <v>81</v>
      </c>
      <c r="O299" s="3">
        <v>0.36</v>
      </c>
      <c r="P299" s="4">
        <f t="shared" si="51"/>
        <v>0</v>
      </c>
      <c r="Q299" s="3">
        <v>14</v>
      </c>
      <c r="R299" s="3">
        <v>30</v>
      </c>
      <c r="S299" s="3">
        <v>1.89</v>
      </c>
      <c r="AI299" s="23"/>
      <c r="AN299" s="23"/>
    </row>
    <row r="300" spans="1:50" ht="17" x14ac:dyDescent="0.2">
      <c r="A300" s="24" t="s">
        <v>145</v>
      </c>
      <c r="B300" s="24" t="s">
        <v>146</v>
      </c>
      <c r="C300" s="32" t="s">
        <v>0</v>
      </c>
      <c r="H300" s="2" t="s">
        <v>33</v>
      </c>
      <c r="I300" s="243" t="s">
        <v>1007</v>
      </c>
      <c r="J300" s="3">
        <v>91</v>
      </c>
      <c r="K300" s="3">
        <v>3.7</v>
      </c>
      <c r="L300" s="3">
        <v>117</v>
      </c>
      <c r="M300" s="3">
        <v>2.6</v>
      </c>
      <c r="N300" s="3">
        <v>70</v>
      </c>
      <c r="O300" s="3">
        <v>0.4</v>
      </c>
      <c r="P300" s="4">
        <f t="shared" si="51"/>
        <v>0</v>
      </c>
      <c r="Q300" s="3">
        <v>15</v>
      </c>
      <c r="R300" s="3">
        <v>30</v>
      </c>
      <c r="S300" s="3">
        <v>1.5</v>
      </c>
      <c r="AI300" s="23"/>
      <c r="AN300" s="23"/>
    </row>
    <row r="301" spans="1:50" ht="34" x14ac:dyDescent="0.2">
      <c r="A301" s="24" t="s">
        <v>145</v>
      </c>
      <c r="B301" s="24" t="s">
        <v>146</v>
      </c>
      <c r="H301" s="2" t="s">
        <v>33</v>
      </c>
      <c r="I301" s="243" t="s">
        <v>1009</v>
      </c>
      <c r="K301" s="3">
        <v>0.57999999999999996</v>
      </c>
      <c r="L301" s="3">
        <v>30</v>
      </c>
      <c r="M301" s="3">
        <v>0.13</v>
      </c>
      <c r="O301" s="3">
        <v>0.26</v>
      </c>
      <c r="P301" s="4">
        <f t="shared" si="51"/>
        <v>0</v>
      </c>
      <c r="Q301" s="3">
        <v>30</v>
      </c>
      <c r="R301" s="3">
        <v>12</v>
      </c>
      <c r="S301" s="3">
        <v>1.1000000000000001</v>
      </c>
      <c r="AN301" s="23"/>
    </row>
    <row r="302" spans="1:50" ht="34" x14ac:dyDescent="0.2">
      <c r="A302" s="24" t="s">
        <v>145</v>
      </c>
      <c r="B302" s="24" t="s">
        <v>146</v>
      </c>
      <c r="H302" s="2" t="s">
        <v>33</v>
      </c>
      <c r="I302" s="243" t="s">
        <v>1009</v>
      </c>
      <c r="K302" s="3">
        <v>2.17</v>
      </c>
      <c r="L302" s="3">
        <v>48</v>
      </c>
      <c r="M302" s="3">
        <v>0.21</v>
      </c>
      <c r="O302" s="3">
        <v>0.35</v>
      </c>
      <c r="P302" s="4">
        <f t="shared" si="51"/>
        <v>0</v>
      </c>
      <c r="Q302" s="3">
        <v>32</v>
      </c>
      <c r="R302" s="3">
        <v>16</v>
      </c>
      <c r="S302" s="3">
        <v>0.6</v>
      </c>
      <c r="AN302" s="23"/>
    </row>
    <row r="303" spans="1:50" ht="34" x14ac:dyDescent="0.2">
      <c r="A303" s="24" t="s">
        <v>145</v>
      </c>
      <c r="B303" s="24" t="s">
        <v>146</v>
      </c>
      <c r="H303" s="2" t="s">
        <v>33</v>
      </c>
      <c r="I303" s="243" t="s">
        <v>1009</v>
      </c>
      <c r="P303" s="4">
        <f t="shared" si="51"/>
        <v>0</v>
      </c>
      <c r="Q303" s="3">
        <v>32</v>
      </c>
      <c r="R303" s="3">
        <v>16</v>
      </c>
      <c r="S303" s="3">
        <v>0.6</v>
      </c>
      <c r="AN303" s="23"/>
    </row>
    <row r="304" spans="1:50" ht="34" x14ac:dyDescent="0.2">
      <c r="A304" s="24" t="s">
        <v>145</v>
      </c>
      <c r="B304" s="24" t="s">
        <v>146</v>
      </c>
      <c r="H304" s="2" t="s">
        <v>33</v>
      </c>
      <c r="I304" s="243" t="s">
        <v>1009</v>
      </c>
      <c r="K304" s="3">
        <v>2.19</v>
      </c>
      <c r="L304" s="3">
        <v>41</v>
      </c>
      <c r="M304" s="3">
        <v>0.21</v>
      </c>
      <c r="O304" s="3">
        <v>0.24</v>
      </c>
      <c r="P304" s="4">
        <f t="shared" si="51"/>
        <v>0</v>
      </c>
      <c r="Q304" s="3">
        <v>38</v>
      </c>
      <c r="R304" s="3">
        <v>20</v>
      </c>
      <c r="S304" s="3">
        <v>1</v>
      </c>
      <c r="AN304" s="23"/>
    </row>
    <row r="305" spans="1:50" ht="34" x14ac:dyDescent="0.2">
      <c r="A305" s="24" t="s">
        <v>145</v>
      </c>
      <c r="B305" s="24" t="s">
        <v>146</v>
      </c>
      <c r="H305" s="2" t="s">
        <v>33</v>
      </c>
      <c r="I305" s="243" t="s">
        <v>1009</v>
      </c>
      <c r="K305" s="3">
        <v>0.82</v>
      </c>
      <c r="L305" s="3">
        <v>73</v>
      </c>
      <c r="M305" s="3">
        <v>0.87</v>
      </c>
      <c r="P305" s="4">
        <f t="shared" si="51"/>
        <v>0</v>
      </c>
      <c r="R305" s="3">
        <v>12</v>
      </c>
      <c r="S305" s="3">
        <v>0.35</v>
      </c>
      <c r="AN305" s="23"/>
    </row>
    <row r="306" spans="1:50" ht="34" x14ac:dyDescent="0.2">
      <c r="A306" s="24" t="s">
        <v>147</v>
      </c>
      <c r="B306" s="24" t="s">
        <v>148</v>
      </c>
      <c r="H306" s="2" t="s">
        <v>33</v>
      </c>
      <c r="I306" s="243" t="s">
        <v>1009</v>
      </c>
      <c r="K306" s="3">
        <v>0.62</v>
      </c>
      <c r="L306" s="3">
        <v>72</v>
      </c>
      <c r="M306" s="3">
        <v>1.33</v>
      </c>
      <c r="O306" s="3">
        <v>0.28999999999999998</v>
      </c>
      <c r="P306" s="4">
        <f t="shared" si="51"/>
        <v>0</v>
      </c>
      <c r="Q306" s="3">
        <v>67</v>
      </c>
      <c r="R306" s="3">
        <v>20</v>
      </c>
      <c r="S306" s="3">
        <v>0.39</v>
      </c>
      <c r="AN306" s="23"/>
    </row>
    <row r="307" spans="1:50" ht="34" x14ac:dyDescent="0.2">
      <c r="A307" s="24" t="s">
        <v>147</v>
      </c>
      <c r="B307" s="24" t="s">
        <v>146</v>
      </c>
      <c r="H307" s="2" t="s">
        <v>33</v>
      </c>
      <c r="I307" s="243" t="s">
        <v>1010</v>
      </c>
      <c r="J307" s="3">
        <v>86.4</v>
      </c>
      <c r="K307" s="3">
        <v>0.7</v>
      </c>
      <c r="L307" s="3">
        <v>380</v>
      </c>
      <c r="M307" s="3">
        <v>16.2</v>
      </c>
      <c r="P307" s="4">
        <f t="shared" si="51"/>
        <v>0</v>
      </c>
      <c r="R307" s="3">
        <v>70</v>
      </c>
      <c r="AI307" s="23"/>
      <c r="AN307" s="23"/>
    </row>
    <row r="308" spans="1:50" ht="34" x14ac:dyDescent="0.2">
      <c r="A308" s="24" t="s">
        <v>147</v>
      </c>
      <c r="B308" s="24" t="s">
        <v>146</v>
      </c>
      <c r="H308" s="2" t="s">
        <v>33</v>
      </c>
      <c r="I308" s="243" t="s">
        <v>1010</v>
      </c>
      <c r="J308" s="3">
        <v>92.3</v>
      </c>
      <c r="K308" s="3">
        <v>1.7</v>
      </c>
      <c r="L308" s="3">
        <v>121</v>
      </c>
      <c r="M308" s="3">
        <v>3.3</v>
      </c>
      <c r="N308" s="3">
        <v>89</v>
      </c>
      <c r="P308" s="4">
        <f t="shared" si="51"/>
        <v>0</v>
      </c>
      <c r="R308" s="3">
        <v>31</v>
      </c>
      <c r="AI308" s="23"/>
      <c r="AN308" s="23"/>
    </row>
    <row r="309" spans="1:50" ht="34" x14ac:dyDescent="0.2">
      <c r="A309" s="24" t="s">
        <v>147</v>
      </c>
      <c r="B309" s="24" t="s">
        <v>146</v>
      </c>
      <c r="H309" s="2" t="s">
        <v>33</v>
      </c>
      <c r="I309" s="243" t="s">
        <v>1010</v>
      </c>
      <c r="J309" s="3">
        <v>92.3</v>
      </c>
      <c r="K309" s="3">
        <v>0.77</v>
      </c>
      <c r="L309" s="3">
        <v>93</v>
      </c>
      <c r="M309" s="3">
        <v>2.2999999999999998</v>
      </c>
      <c r="N309" s="3">
        <v>73</v>
      </c>
      <c r="P309" s="4">
        <f t="shared" si="51"/>
        <v>0</v>
      </c>
      <c r="R309" s="3">
        <v>35</v>
      </c>
      <c r="AI309" s="23"/>
      <c r="AN309" s="23"/>
    </row>
    <row r="310" spans="1:50" s="71" customFormat="1" x14ac:dyDescent="0.2">
      <c r="A310" s="70" t="s">
        <v>147</v>
      </c>
      <c r="B310" s="70" t="s">
        <v>148</v>
      </c>
      <c r="C310" s="71" t="s">
        <v>149</v>
      </c>
      <c r="D310" s="71" t="s">
        <v>56</v>
      </c>
      <c r="E310" s="71" t="s">
        <v>46</v>
      </c>
      <c r="F310" s="71" t="s">
        <v>782</v>
      </c>
      <c r="H310" s="71" t="s">
        <v>33</v>
      </c>
      <c r="I310" s="87"/>
      <c r="J310" s="72">
        <f t="shared" ref="J310" si="52">AVERAGEIF(J297:J309, "&lt;&gt;0")</f>
        <v>90.957142857142841</v>
      </c>
      <c r="K310" s="72">
        <f t="shared" ref="K310:S310" si="53">AVERAGEIF(K297:K309, "&lt;&gt;0")</f>
        <v>1.4124999999999999</v>
      </c>
      <c r="L310" s="72">
        <f t="shared" si="53"/>
        <v>102.75</v>
      </c>
      <c r="M310" s="72">
        <f t="shared" si="53"/>
        <v>2.9541666666666662</v>
      </c>
      <c r="N310" s="72">
        <f t="shared" si="53"/>
        <v>78.25</v>
      </c>
      <c r="O310" s="72">
        <f t="shared" si="53"/>
        <v>0.31666666666666671</v>
      </c>
      <c r="P310" s="72">
        <f>AVERAGE(P297:P309)</f>
        <v>0</v>
      </c>
      <c r="Q310" s="72">
        <f t="shared" si="53"/>
        <v>32.571428571428569</v>
      </c>
      <c r="R310" s="72">
        <f t="shared" si="53"/>
        <v>27.23076923076923</v>
      </c>
      <c r="S310" s="72">
        <f t="shared" si="53"/>
        <v>0.92874999999999985</v>
      </c>
      <c r="T310" s="72"/>
      <c r="U310" s="72"/>
      <c r="V310" s="72"/>
      <c r="W310" s="72"/>
      <c r="X310" s="72"/>
      <c r="Y310" s="72"/>
      <c r="Z310" s="72"/>
      <c r="AA310" s="72"/>
      <c r="AB310" s="72"/>
      <c r="AC310" s="73"/>
      <c r="AD310" s="73"/>
      <c r="AE310" s="73"/>
      <c r="AF310" s="73"/>
      <c r="AG310" s="73"/>
      <c r="AH310" s="73"/>
      <c r="AI310" s="73"/>
      <c r="AJ310" s="73"/>
      <c r="AK310" s="73"/>
      <c r="AL310" s="73"/>
      <c r="AM310" s="73"/>
      <c r="AN310" s="73"/>
      <c r="AO310" s="73"/>
      <c r="AP310" s="73"/>
      <c r="AQ310" s="73"/>
      <c r="AR310" s="73"/>
      <c r="AS310" s="73"/>
      <c r="AT310" s="73"/>
      <c r="AU310" s="73"/>
      <c r="AV310" s="73"/>
      <c r="AW310" s="73"/>
      <c r="AX310" s="73"/>
    </row>
    <row r="311" spans="1:50" s="22" customFormat="1" ht="34" x14ac:dyDescent="0.2">
      <c r="A311" s="21" t="s">
        <v>145</v>
      </c>
      <c r="B311" s="21" t="s">
        <v>1082</v>
      </c>
      <c r="C311" s="22" t="s">
        <v>0</v>
      </c>
      <c r="D311" s="2"/>
      <c r="E311" s="2"/>
      <c r="H311" s="22" t="s">
        <v>33</v>
      </c>
      <c r="I311" s="65" t="s">
        <v>1092</v>
      </c>
      <c r="J311" s="4">
        <v>89</v>
      </c>
      <c r="K311" s="4">
        <v>3.6</v>
      </c>
      <c r="L311" s="4">
        <v>190</v>
      </c>
      <c r="M311" s="4">
        <v>4</v>
      </c>
      <c r="N311" s="4">
        <v>57</v>
      </c>
      <c r="O311" s="4">
        <v>0.2</v>
      </c>
      <c r="P311" s="4" t="s">
        <v>0</v>
      </c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</row>
    <row r="312" spans="1:50" s="22" customFormat="1" ht="34" x14ac:dyDescent="0.2">
      <c r="A312" s="21" t="s">
        <v>145</v>
      </c>
      <c r="B312" s="21" t="s">
        <v>1082</v>
      </c>
      <c r="C312" s="22" t="s">
        <v>0</v>
      </c>
      <c r="D312" s="2"/>
      <c r="E312" s="2"/>
      <c r="H312" s="22" t="s">
        <v>33</v>
      </c>
      <c r="I312" s="65" t="s">
        <v>1017</v>
      </c>
      <c r="J312" s="4">
        <v>87.3</v>
      </c>
      <c r="K312" s="4">
        <v>4.38</v>
      </c>
      <c r="L312" s="4">
        <v>67.099999999999994</v>
      </c>
      <c r="M312" s="4">
        <v>2.88</v>
      </c>
      <c r="N312" s="4">
        <v>66.900000000000006</v>
      </c>
      <c r="O312" s="4">
        <f>875*0.001</f>
        <v>0.875</v>
      </c>
      <c r="P312" s="4" t="s">
        <v>0</v>
      </c>
      <c r="Q312" s="4">
        <v>302</v>
      </c>
      <c r="R312" s="4">
        <v>36.4</v>
      </c>
      <c r="S312" s="4">
        <v>0.67</v>
      </c>
      <c r="T312" s="4"/>
      <c r="U312" s="4"/>
      <c r="V312" s="4"/>
      <c r="W312" s="4"/>
      <c r="X312" s="4"/>
      <c r="Y312" s="4"/>
      <c r="Z312" s="4"/>
      <c r="AA312" s="4"/>
      <c r="AB312" s="4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</row>
    <row r="313" spans="1:50" s="71" customFormat="1" ht="17" x14ac:dyDescent="0.2">
      <c r="A313" s="70" t="s">
        <v>145</v>
      </c>
      <c r="B313" s="70" t="s">
        <v>1083</v>
      </c>
      <c r="C313" s="71" t="s">
        <v>150</v>
      </c>
      <c r="D313" s="71" t="s">
        <v>31</v>
      </c>
      <c r="E313" s="71" t="s">
        <v>46</v>
      </c>
      <c r="F313" s="71" t="s">
        <v>782</v>
      </c>
      <c r="H313" s="71" t="s">
        <v>33</v>
      </c>
      <c r="I313" s="87" t="s">
        <v>0</v>
      </c>
      <c r="J313" s="72">
        <f t="shared" ref="J313:O313" si="54">AVERAGE(J311:J312)</f>
        <v>88.15</v>
      </c>
      <c r="K313" s="72">
        <f t="shared" si="54"/>
        <v>3.99</v>
      </c>
      <c r="L313" s="72">
        <f t="shared" si="54"/>
        <v>128.55000000000001</v>
      </c>
      <c r="M313" s="72">
        <f t="shared" si="54"/>
        <v>3.44</v>
      </c>
      <c r="N313" s="72">
        <f t="shared" si="54"/>
        <v>61.95</v>
      </c>
      <c r="O313" s="72">
        <f t="shared" si="54"/>
        <v>0.53749999999999998</v>
      </c>
      <c r="P313" s="72"/>
      <c r="Q313" s="72">
        <f t="shared" ref="Q313:S313" si="55">AVERAGE(Q311:Q312)</f>
        <v>302</v>
      </c>
      <c r="R313" s="72">
        <f t="shared" si="55"/>
        <v>36.4</v>
      </c>
      <c r="S313" s="72">
        <f t="shared" si="55"/>
        <v>0.67</v>
      </c>
      <c r="T313" s="72"/>
      <c r="U313" s="72"/>
      <c r="V313" s="72"/>
      <c r="W313" s="72"/>
      <c r="X313" s="72"/>
      <c r="Y313" s="72"/>
      <c r="Z313" s="72"/>
      <c r="AA313" s="72"/>
      <c r="AB313" s="72"/>
      <c r="AC313" s="73"/>
      <c r="AD313" s="73"/>
      <c r="AE313" s="73"/>
      <c r="AF313" s="73"/>
      <c r="AG313" s="73"/>
      <c r="AH313" s="73"/>
      <c r="AI313" s="73"/>
      <c r="AJ313" s="73"/>
      <c r="AK313" s="73"/>
      <c r="AL313" s="73"/>
      <c r="AM313" s="73"/>
      <c r="AN313" s="73"/>
      <c r="AO313" s="73"/>
      <c r="AP313" s="73"/>
      <c r="AQ313" s="73"/>
      <c r="AR313" s="73"/>
      <c r="AS313" s="73"/>
      <c r="AT313" s="73"/>
      <c r="AU313" s="73"/>
      <c r="AV313" s="73"/>
      <c r="AW313" s="73"/>
      <c r="AX313" s="73"/>
    </row>
    <row r="314" spans="1:50" ht="17" x14ac:dyDescent="0.2">
      <c r="A314" s="24" t="s">
        <v>151</v>
      </c>
      <c r="B314" s="24" t="s">
        <v>152</v>
      </c>
      <c r="H314" s="22" t="s">
        <v>33</v>
      </c>
      <c r="I314" s="243" t="s">
        <v>1030</v>
      </c>
      <c r="P314" s="4">
        <f t="shared" ref="P314" si="56">AN314</f>
        <v>0</v>
      </c>
      <c r="AN314" s="23"/>
    </row>
    <row r="315" spans="1:50" ht="17" x14ac:dyDescent="0.2">
      <c r="A315" s="24" t="s">
        <v>151</v>
      </c>
      <c r="B315" s="24" t="s">
        <v>152</v>
      </c>
      <c r="H315" s="22" t="s">
        <v>33</v>
      </c>
      <c r="I315" s="243" t="s">
        <v>1033</v>
      </c>
      <c r="J315" s="3">
        <v>82</v>
      </c>
      <c r="P315" s="4" t="s">
        <v>0</v>
      </c>
      <c r="R315" s="3">
        <v>50</v>
      </c>
    </row>
    <row r="316" spans="1:50" ht="34" x14ac:dyDescent="0.2">
      <c r="A316" s="21" t="s">
        <v>151</v>
      </c>
      <c r="B316" s="21" t="s">
        <v>152</v>
      </c>
      <c r="H316" s="22" t="s">
        <v>33</v>
      </c>
      <c r="I316" s="65" t="s">
        <v>1009</v>
      </c>
      <c r="K316" s="4">
        <v>1.1100000000000001</v>
      </c>
      <c r="L316" s="4">
        <v>118</v>
      </c>
      <c r="M316" s="4">
        <v>1.38</v>
      </c>
      <c r="O316" s="4"/>
      <c r="P316" s="4">
        <f t="shared" ref="P316" si="57">AN316</f>
        <v>0</v>
      </c>
      <c r="Q316" s="4"/>
      <c r="R316" s="4">
        <v>55</v>
      </c>
      <c r="S316" s="4">
        <v>1.74</v>
      </c>
      <c r="T316" s="4"/>
      <c r="U316" s="4"/>
      <c r="AN316" s="23"/>
    </row>
    <row r="317" spans="1:50" s="71" customFormat="1" x14ac:dyDescent="0.2">
      <c r="A317" s="70" t="s">
        <v>151</v>
      </c>
      <c r="B317" s="70" t="s">
        <v>152</v>
      </c>
      <c r="C317" s="71" t="s">
        <v>153</v>
      </c>
      <c r="D317" s="71" t="s">
        <v>56</v>
      </c>
      <c r="E317" s="71" t="s">
        <v>46</v>
      </c>
      <c r="F317" s="71" t="s">
        <v>782</v>
      </c>
      <c r="H317" s="71" t="s">
        <v>33</v>
      </c>
      <c r="I317" s="87"/>
      <c r="J317" s="72">
        <f>AVERAGEIF(J314:J316, "&lt;&gt;0")</f>
        <v>82</v>
      </c>
      <c r="K317" s="72">
        <f>AVERAGEIF(K314:K316, "&lt;&gt;0")</f>
        <v>1.1100000000000001</v>
      </c>
      <c r="L317" s="72">
        <f>AVERAGEIF(L314:L316, "&lt;&gt;0")</f>
        <v>118</v>
      </c>
      <c r="M317" s="72">
        <f>AVERAGEIF(M314:M316, "&lt;&gt;0")</f>
        <v>1.38</v>
      </c>
      <c r="N317" s="72"/>
      <c r="O317" s="72"/>
      <c r="P317" s="72">
        <f>AVERAGE(P314:P316)</f>
        <v>0</v>
      </c>
      <c r="Q317" s="72"/>
      <c r="R317" s="72">
        <f>AVERAGEIF(R314:R316, "&lt;&gt;0")</f>
        <v>52.5</v>
      </c>
      <c r="S317" s="72">
        <f>AVERAGEIF(S314:S316, "&lt;&gt;0")</f>
        <v>1.74</v>
      </c>
      <c r="T317" s="72"/>
      <c r="U317" s="72"/>
      <c r="V317" s="72"/>
      <c r="W317" s="72"/>
      <c r="X317" s="72"/>
      <c r="Y317" s="72"/>
      <c r="Z317" s="72"/>
      <c r="AA317" s="72"/>
      <c r="AB317" s="72"/>
      <c r="AC317" s="73"/>
      <c r="AD317" s="73"/>
      <c r="AE317" s="73"/>
      <c r="AF317" s="73"/>
      <c r="AG317" s="73"/>
      <c r="AH317" s="73"/>
      <c r="AI317" s="73"/>
      <c r="AJ317" s="73"/>
      <c r="AK317" s="73"/>
      <c r="AL317" s="73"/>
      <c r="AM317" s="73"/>
      <c r="AN317" s="73"/>
      <c r="AO317" s="73"/>
      <c r="AP317" s="73"/>
      <c r="AQ317" s="73"/>
      <c r="AR317" s="73"/>
      <c r="AS317" s="73"/>
      <c r="AT317" s="73"/>
      <c r="AU317" s="73"/>
      <c r="AV317" s="73"/>
      <c r="AW317" s="73"/>
      <c r="AX317" s="73"/>
    </row>
    <row r="318" spans="1:50" s="22" customFormat="1" ht="51" x14ac:dyDescent="0.2">
      <c r="A318" s="25" t="s">
        <v>154</v>
      </c>
      <c r="B318" s="25" t="s">
        <v>155</v>
      </c>
      <c r="C318" s="26" t="s">
        <v>0</v>
      </c>
      <c r="D318" s="2"/>
      <c r="E318" s="2"/>
      <c r="F318" s="26"/>
      <c r="G318" s="26"/>
      <c r="H318" s="26" t="s">
        <v>156</v>
      </c>
      <c r="I318" s="65" t="s">
        <v>913</v>
      </c>
      <c r="J318" s="4"/>
      <c r="K318" s="4">
        <v>0.99</v>
      </c>
      <c r="L318" s="4">
        <v>43.3</v>
      </c>
      <c r="M318" s="4">
        <v>5.37</v>
      </c>
      <c r="N318" s="4"/>
      <c r="O318" s="4">
        <v>1.24</v>
      </c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</row>
    <row r="319" spans="1:50" s="22" customFormat="1" ht="17" x14ac:dyDescent="0.2">
      <c r="A319" s="25" t="s">
        <v>154</v>
      </c>
      <c r="B319" s="25" t="s">
        <v>155</v>
      </c>
      <c r="C319" s="26" t="s">
        <v>0</v>
      </c>
      <c r="D319" s="2"/>
      <c r="E319" s="2"/>
      <c r="F319" s="26"/>
      <c r="G319" s="26"/>
      <c r="H319" s="26" t="s">
        <v>156</v>
      </c>
      <c r="I319" s="65" t="s">
        <v>1006</v>
      </c>
      <c r="J319" s="4">
        <v>69</v>
      </c>
      <c r="K319" s="4">
        <v>1.6016000000000004</v>
      </c>
      <c r="L319" s="4">
        <v>40.009200000000007</v>
      </c>
      <c r="M319" s="4">
        <v>2.7104000000000008</v>
      </c>
      <c r="N319" s="4"/>
      <c r="O319" s="4"/>
      <c r="P319" s="4">
        <f t="shared" ref="P319" si="58">AN319</f>
        <v>0</v>
      </c>
      <c r="Q319" s="4"/>
      <c r="R319" s="4">
        <v>25.995200000000008</v>
      </c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</row>
    <row r="320" spans="1:50" s="71" customFormat="1" ht="15" customHeight="1" x14ac:dyDescent="0.2">
      <c r="A320" s="77" t="s">
        <v>154</v>
      </c>
      <c r="B320" s="77" t="s">
        <v>155</v>
      </c>
      <c r="C320" s="78" t="s">
        <v>157</v>
      </c>
      <c r="D320" s="71" t="s">
        <v>31</v>
      </c>
      <c r="E320" s="78" t="s">
        <v>32</v>
      </c>
      <c r="F320" s="78" t="s">
        <v>781</v>
      </c>
      <c r="G320" s="78"/>
      <c r="H320" s="78" t="s">
        <v>156</v>
      </c>
      <c r="I320" s="87"/>
      <c r="J320" s="72">
        <f>AVERAGE(J318:J319)</f>
        <v>69</v>
      </c>
      <c r="K320" s="72">
        <f>AVERAGE(K318:K319)</f>
        <v>1.2958000000000003</v>
      </c>
      <c r="L320" s="72">
        <f>AVERAGE(L318:L319)</f>
        <v>41.654600000000002</v>
      </c>
      <c r="M320" s="72">
        <f>AVERAGE(M318:M319)</f>
        <v>4.0402000000000005</v>
      </c>
      <c r="N320" s="72" t="s">
        <v>0</v>
      </c>
      <c r="O320" s="72">
        <f>AVERAGE(O318:O319)</f>
        <v>1.24</v>
      </c>
      <c r="P320" s="72">
        <f>AVERAGE(P318:P319)</f>
        <v>0</v>
      </c>
      <c r="Q320" s="72" t="s">
        <v>0</v>
      </c>
      <c r="R320" s="72">
        <f>AVERAGEIF(R319, "&lt;&gt;0")</f>
        <v>25.995200000000008</v>
      </c>
      <c r="S320" s="72" t="s">
        <v>0</v>
      </c>
      <c r="T320" s="72"/>
      <c r="U320" s="72"/>
      <c r="V320" s="72"/>
      <c r="W320" s="72"/>
      <c r="X320" s="72"/>
      <c r="Y320" s="72"/>
      <c r="Z320" s="72"/>
      <c r="AA320" s="72"/>
      <c r="AB320" s="72"/>
      <c r="AC320" s="73"/>
      <c r="AD320" s="73"/>
      <c r="AE320" s="73"/>
      <c r="AF320" s="73"/>
      <c r="AG320" s="73"/>
      <c r="AH320" s="73"/>
      <c r="AI320" s="73"/>
      <c r="AJ320" s="73"/>
      <c r="AK320" s="73"/>
      <c r="AL320" s="73"/>
      <c r="AM320" s="73"/>
      <c r="AN320" s="73"/>
      <c r="AO320" s="73"/>
      <c r="AP320" s="73"/>
      <c r="AQ320" s="73"/>
      <c r="AR320" s="73"/>
      <c r="AS320" s="73"/>
      <c r="AT320" s="73"/>
      <c r="AU320" s="73"/>
      <c r="AV320" s="73"/>
      <c r="AW320" s="73"/>
      <c r="AX320" s="73"/>
    </row>
    <row r="321" spans="1:50" s="22" customFormat="1" ht="15" customHeight="1" x14ac:dyDescent="0.2">
      <c r="A321" s="25" t="s">
        <v>158</v>
      </c>
      <c r="B321" s="25" t="s">
        <v>159</v>
      </c>
      <c r="C321" s="26" t="s">
        <v>0</v>
      </c>
      <c r="D321" s="2"/>
      <c r="E321" s="2"/>
      <c r="F321" s="26"/>
      <c r="G321" s="26" t="s">
        <v>0</v>
      </c>
      <c r="H321" s="26" t="s">
        <v>33</v>
      </c>
      <c r="I321" s="65" t="s">
        <v>1022</v>
      </c>
      <c r="J321" s="4">
        <v>98.6</v>
      </c>
      <c r="K321" s="4">
        <v>1</v>
      </c>
      <c r="L321" s="4">
        <v>4</v>
      </c>
      <c r="M321" s="4">
        <v>0</v>
      </c>
      <c r="N321" s="4">
        <v>2</v>
      </c>
      <c r="O321" s="4">
        <v>0.2</v>
      </c>
      <c r="P321" s="4" t="s">
        <v>0</v>
      </c>
      <c r="Q321" s="4">
        <v>3</v>
      </c>
      <c r="R321" s="4">
        <v>0</v>
      </c>
      <c r="S321" s="4">
        <v>0.1</v>
      </c>
      <c r="T321" s="4"/>
      <c r="U321" s="4"/>
      <c r="V321" s="4"/>
      <c r="W321" s="4"/>
      <c r="X321" s="4"/>
      <c r="Y321" s="4"/>
      <c r="Z321" s="4"/>
      <c r="AA321" s="4"/>
      <c r="AB321" s="4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</row>
    <row r="322" spans="1:50" s="71" customFormat="1" ht="15" customHeight="1" x14ac:dyDescent="0.2">
      <c r="A322" s="77" t="s">
        <v>158</v>
      </c>
      <c r="B322" s="77" t="s">
        <v>159</v>
      </c>
      <c r="C322" s="78" t="s">
        <v>160</v>
      </c>
      <c r="D322" s="71" t="s">
        <v>31</v>
      </c>
      <c r="E322" s="78" t="s">
        <v>46</v>
      </c>
      <c r="F322" s="78" t="s">
        <v>782</v>
      </c>
      <c r="G322" s="78" t="s">
        <v>71</v>
      </c>
      <c r="H322" s="78" t="s">
        <v>33</v>
      </c>
      <c r="I322" s="87"/>
      <c r="J322" s="72">
        <f t="shared" ref="J322" si="59">J321</f>
        <v>98.6</v>
      </c>
      <c r="K322" s="72">
        <f>K321</f>
        <v>1</v>
      </c>
      <c r="L322" s="72">
        <f>L321</f>
        <v>4</v>
      </c>
      <c r="M322" s="72">
        <f>M321</f>
        <v>0</v>
      </c>
      <c r="N322" s="72">
        <f>N321</f>
        <v>2</v>
      </c>
      <c r="O322" s="72">
        <f>O321</f>
        <v>0.2</v>
      </c>
      <c r="P322" s="72"/>
      <c r="Q322" s="72">
        <f>Q321</f>
        <v>3</v>
      </c>
      <c r="R322" s="72">
        <f>R321</f>
        <v>0</v>
      </c>
      <c r="S322" s="72">
        <f>S321</f>
        <v>0.1</v>
      </c>
      <c r="T322" s="72"/>
      <c r="U322" s="72"/>
      <c r="V322" s="72"/>
      <c r="W322" s="72"/>
      <c r="X322" s="72"/>
      <c r="Y322" s="72"/>
      <c r="Z322" s="72"/>
      <c r="AA322" s="72"/>
      <c r="AB322" s="72"/>
      <c r="AC322" s="73"/>
      <c r="AD322" s="73"/>
      <c r="AE322" s="73"/>
      <c r="AF322" s="73"/>
      <c r="AG322" s="73"/>
      <c r="AH322" s="73"/>
      <c r="AI322" s="73"/>
      <c r="AJ322" s="73"/>
      <c r="AK322" s="73"/>
      <c r="AL322" s="73"/>
      <c r="AM322" s="73"/>
      <c r="AN322" s="73"/>
      <c r="AO322" s="73"/>
      <c r="AP322" s="73"/>
      <c r="AQ322" s="73"/>
      <c r="AR322" s="73"/>
      <c r="AS322" s="73"/>
      <c r="AT322" s="73"/>
      <c r="AU322" s="73"/>
      <c r="AV322" s="73"/>
      <c r="AW322" s="73"/>
      <c r="AX322" s="73"/>
    </row>
    <row r="323" spans="1:50" ht="34" x14ac:dyDescent="0.2">
      <c r="A323" s="34" t="s">
        <v>164</v>
      </c>
      <c r="B323" s="34" t="s">
        <v>162</v>
      </c>
      <c r="C323" s="33"/>
      <c r="H323" s="2" t="s">
        <v>33</v>
      </c>
      <c r="I323" s="245" t="s">
        <v>1005</v>
      </c>
      <c r="J323" s="36">
        <v>94.4</v>
      </c>
      <c r="K323" s="36">
        <v>1.2</v>
      </c>
      <c r="L323" s="36">
        <v>77</v>
      </c>
      <c r="M323" s="36">
        <v>0.31</v>
      </c>
      <c r="N323" s="3">
        <v>13</v>
      </c>
      <c r="O323" s="3">
        <v>0.2</v>
      </c>
      <c r="P323" s="4">
        <f t="shared" ref="P323:P358" si="60">AN323</f>
        <v>0</v>
      </c>
      <c r="Q323" s="3">
        <v>66</v>
      </c>
      <c r="R323" s="36">
        <v>45</v>
      </c>
      <c r="T323" s="36"/>
      <c r="U323" s="36"/>
      <c r="V323" s="36"/>
      <c r="W323" s="36"/>
      <c r="Z323" s="36"/>
      <c r="AA323" s="36"/>
      <c r="AB323" s="36"/>
      <c r="AI323" s="23"/>
      <c r="AN323" s="23"/>
    </row>
    <row r="324" spans="1:50" ht="17" x14ac:dyDescent="0.2">
      <c r="A324" s="24" t="s">
        <v>161</v>
      </c>
      <c r="B324" s="24" t="s">
        <v>162</v>
      </c>
      <c r="C324" s="32" t="s">
        <v>0</v>
      </c>
      <c r="H324" s="2" t="s">
        <v>33</v>
      </c>
      <c r="I324" s="243" t="s">
        <v>1007</v>
      </c>
      <c r="J324" s="3">
        <v>89.7</v>
      </c>
      <c r="K324" s="3">
        <v>3.2</v>
      </c>
      <c r="L324" s="3">
        <v>190</v>
      </c>
      <c r="M324" s="3">
        <v>1.1000000000000001</v>
      </c>
      <c r="N324" s="3">
        <v>31</v>
      </c>
      <c r="O324" s="3">
        <v>0.19</v>
      </c>
      <c r="P324" s="4">
        <f t="shared" si="60"/>
        <v>0</v>
      </c>
      <c r="Q324" s="3">
        <v>194</v>
      </c>
      <c r="R324" s="3">
        <v>60</v>
      </c>
      <c r="S324" s="3">
        <v>2.86</v>
      </c>
      <c r="AI324" s="23"/>
      <c r="AN324" s="23"/>
    </row>
    <row r="325" spans="1:50" ht="17" x14ac:dyDescent="0.2">
      <c r="A325" s="24" t="s">
        <v>164</v>
      </c>
      <c r="B325" s="24" t="s">
        <v>162</v>
      </c>
      <c r="C325" s="32" t="s">
        <v>0</v>
      </c>
      <c r="H325" s="2" t="s">
        <v>33</v>
      </c>
      <c r="I325" s="243" t="s">
        <v>1007</v>
      </c>
      <c r="J325" s="3">
        <v>95.3</v>
      </c>
      <c r="K325" s="3">
        <v>1</v>
      </c>
      <c r="L325" s="3">
        <v>105</v>
      </c>
      <c r="M325" s="3">
        <v>0.8</v>
      </c>
      <c r="N325" s="3">
        <v>19</v>
      </c>
      <c r="O325" s="3">
        <v>0.19</v>
      </c>
      <c r="P325" s="4">
        <f t="shared" si="60"/>
        <v>0</v>
      </c>
      <c r="Q325" s="3">
        <v>66</v>
      </c>
      <c r="R325" s="3">
        <v>45</v>
      </c>
      <c r="S325" s="3">
        <v>0.09</v>
      </c>
      <c r="AI325" s="23"/>
      <c r="AN325" s="23"/>
    </row>
    <row r="326" spans="1:50" ht="34" x14ac:dyDescent="0.2">
      <c r="A326" s="31" t="s">
        <v>161</v>
      </c>
      <c r="B326" s="31" t="s">
        <v>162</v>
      </c>
      <c r="H326" s="2" t="s">
        <v>33</v>
      </c>
      <c r="I326" s="243" t="s">
        <v>1009</v>
      </c>
      <c r="K326" s="3">
        <v>0.65</v>
      </c>
      <c r="L326" s="3">
        <v>171</v>
      </c>
      <c r="M326" s="3">
        <v>2.86</v>
      </c>
      <c r="O326" s="3">
        <v>0.25</v>
      </c>
      <c r="P326" s="4">
        <f t="shared" si="60"/>
        <v>0</v>
      </c>
      <c r="R326" s="3">
        <v>59</v>
      </c>
      <c r="S326" s="3">
        <v>1.02</v>
      </c>
      <c r="AN326" s="23"/>
    </row>
    <row r="327" spans="1:50" ht="34" x14ac:dyDescent="0.2">
      <c r="A327" s="24" t="s">
        <v>161</v>
      </c>
      <c r="B327" s="31" t="s">
        <v>162</v>
      </c>
      <c r="H327" s="2" t="s">
        <v>33</v>
      </c>
      <c r="I327" s="243" t="s">
        <v>1009</v>
      </c>
      <c r="K327" s="3">
        <v>0.78</v>
      </c>
      <c r="L327" s="3">
        <v>245</v>
      </c>
      <c r="M327" s="3">
        <v>2.74</v>
      </c>
      <c r="O327" s="3">
        <v>0.21</v>
      </c>
      <c r="P327" s="4">
        <f t="shared" si="60"/>
        <v>0</v>
      </c>
      <c r="R327" s="3">
        <v>65</v>
      </c>
      <c r="S327" s="3">
        <v>1.01</v>
      </c>
      <c r="AN327" s="23"/>
    </row>
    <row r="328" spans="1:50" ht="34" x14ac:dyDescent="0.2">
      <c r="A328" s="31" t="s">
        <v>161</v>
      </c>
      <c r="B328" s="31" t="s">
        <v>162</v>
      </c>
      <c r="H328" s="2" t="s">
        <v>33</v>
      </c>
      <c r="I328" s="243" t="s">
        <v>1009</v>
      </c>
      <c r="K328" s="3">
        <v>0.63</v>
      </c>
      <c r="L328" s="3">
        <v>197</v>
      </c>
      <c r="M328" s="3">
        <v>2.65</v>
      </c>
      <c r="O328" s="3">
        <v>0.23</v>
      </c>
      <c r="P328" s="4">
        <f t="shared" si="60"/>
        <v>0</v>
      </c>
      <c r="R328" s="3">
        <v>88</v>
      </c>
      <c r="S328" s="3">
        <v>0.42</v>
      </c>
      <c r="AN328" s="23"/>
    </row>
    <row r="329" spans="1:50" ht="34" x14ac:dyDescent="0.2">
      <c r="A329" s="24" t="s">
        <v>161</v>
      </c>
      <c r="B329" s="31" t="s">
        <v>162</v>
      </c>
      <c r="H329" s="2" t="s">
        <v>33</v>
      </c>
      <c r="I329" s="243" t="s">
        <v>1009</v>
      </c>
      <c r="K329" s="3">
        <v>0.7</v>
      </c>
      <c r="L329" s="3">
        <v>99</v>
      </c>
      <c r="M329" s="3">
        <v>2.19</v>
      </c>
      <c r="O329" s="3">
        <v>0.25</v>
      </c>
      <c r="P329" s="4">
        <f t="shared" si="60"/>
        <v>0</v>
      </c>
      <c r="R329" s="3">
        <v>63</v>
      </c>
      <c r="S329" s="3">
        <v>1.29</v>
      </c>
      <c r="AN329" s="23"/>
    </row>
    <row r="330" spans="1:50" ht="34" x14ac:dyDescent="0.2">
      <c r="A330" s="24" t="s">
        <v>161</v>
      </c>
      <c r="B330" s="31" t="s">
        <v>162</v>
      </c>
      <c r="H330" s="2" t="s">
        <v>33</v>
      </c>
      <c r="I330" s="243" t="s">
        <v>1009</v>
      </c>
      <c r="K330" s="3">
        <v>0.64</v>
      </c>
      <c r="L330" s="3">
        <v>228</v>
      </c>
      <c r="M330" s="3">
        <v>0.97</v>
      </c>
      <c r="O330" s="3">
        <v>0.15</v>
      </c>
      <c r="P330" s="4">
        <f t="shared" si="60"/>
        <v>0</v>
      </c>
      <c r="R330" s="3">
        <v>52</v>
      </c>
      <c r="S330" s="3">
        <v>0.73</v>
      </c>
      <c r="AN330" s="23"/>
    </row>
    <row r="331" spans="1:50" ht="34" x14ac:dyDescent="0.2">
      <c r="A331" s="31" t="s">
        <v>161</v>
      </c>
      <c r="B331" s="31" t="s">
        <v>162</v>
      </c>
      <c r="H331" s="2" t="s">
        <v>33</v>
      </c>
      <c r="I331" s="243" t="s">
        <v>1009</v>
      </c>
      <c r="K331" s="3">
        <v>0.63</v>
      </c>
      <c r="L331" s="3">
        <v>193</v>
      </c>
      <c r="M331" s="3">
        <v>0.89</v>
      </c>
      <c r="O331" s="3">
        <v>0.23</v>
      </c>
      <c r="P331" s="4">
        <f t="shared" si="60"/>
        <v>0</v>
      </c>
      <c r="R331" s="3">
        <v>41</v>
      </c>
      <c r="S331" s="3">
        <v>0.8</v>
      </c>
      <c r="AN331" s="23"/>
    </row>
    <row r="332" spans="1:50" ht="34" x14ac:dyDescent="0.2">
      <c r="A332" s="46" t="s">
        <v>161</v>
      </c>
      <c r="B332" s="31" t="s">
        <v>162</v>
      </c>
      <c r="H332" s="2" t="s">
        <v>33</v>
      </c>
      <c r="I332" s="243" t="s">
        <v>1009</v>
      </c>
      <c r="K332" s="3">
        <v>0.47</v>
      </c>
      <c r="L332" s="3">
        <v>182</v>
      </c>
      <c r="M332" s="36">
        <v>0.86</v>
      </c>
      <c r="O332" s="3">
        <v>0.15</v>
      </c>
      <c r="P332" s="4">
        <f t="shared" si="60"/>
        <v>0</v>
      </c>
      <c r="R332" s="3">
        <v>96</v>
      </c>
      <c r="S332" s="3">
        <v>0.79</v>
      </c>
      <c r="W332" s="36"/>
      <c r="AN332" s="23"/>
    </row>
    <row r="333" spans="1:50" ht="34" x14ac:dyDescent="0.2">
      <c r="A333" s="46" t="s">
        <v>161</v>
      </c>
      <c r="B333" s="31" t="s">
        <v>162</v>
      </c>
      <c r="C333" s="33"/>
      <c r="H333" s="2" t="s">
        <v>33</v>
      </c>
      <c r="I333" s="245" t="s">
        <v>1009</v>
      </c>
      <c r="J333" s="36"/>
      <c r="K333" s="36">
        <v>0.47</v>
      </c>
      <c r="L333" s="36">
        <v>153</v>
      </c>
      <c r="M333" s="36">
        <v>0.78</v>
      </c>
      <c r="O333" s="3">
        <v>0.21</v>
      </c>
      <c r="P333" s="4">
        <f t="shared" si="60"/>
        <v>0</v>
      </c>
      <c r="R333" s="36">
        <v>57</v>
      </c>
      <c r="S333" s="3">
        <v>0.86</v>
      </c>
      <c r="T333" s="36"/>
      <c r="U333" s="36"/>
      <c r="V333" s="36"/>
      <c r="W333" s="36"/>
      <c r="Z333" s="36"/>
      <c r="AA333" s="36"/>
      <c r="AB333" s="36"/>
      <c r="AN333" s="23"/>
    </row>
    <row r="334" spans="1:50" ht="34" x14ac:dyDescent="0.2">
      <c r="A334" s="46" t="s">
        <v>161</v>
      </c>
      <c r="B334" s="31" t="s">
        <v>162</v>
      </c>
      <c r="C334" s="33"/>
      <c r="H334" s="2" t="s">
        <v>33</v>
      </c>
      <c r="I334" s="245" t="s">
        <v>1009</v>
      </c>
      <c r="J334" s="36"/>
      <c r="K334" s="36">
        <v>0.49</v>
      </c>
      <c r="L334" s="36">
        <v>69</v>
      </c>
      <c r="M334" s="3">
        <v>0.69</v>
      </c>
      <c r="O334" s="3">
        <v>0.16</v>
      </c>
      <c r="P334" s="4">
        <f t="shared" si="60"/>
        <v>0</v>
      </c>
      <c r="R334" s="36"/>
      <c r="T334" s="36"/>
      <c r="U334" s="36"/>
      <c r="V334" s="36"/>
      <c r="Z334" s="36"/>
      <c r="AA334" s="36"/>
      <c r="AB334" s="36"/>
      <c r="AN334" s="23"/>
    </row>
    <row r="335" spans="1:50" ht="34" x14ac:dyDescent="0.2">
      <c r="A335" s="24" t="s">
        <v>161</v>
      </c>
      <c r="B335" s="31" t="s">
        <v>162</v>
      </c>
      <c r="H335" s="2" t="s">
        <v>33</v>
      </c>
      <c r="I335" s="243" t="s">
        <v>1009</v>
      </c>
      <c r="K335" s="3">
        <v>0.81</v>
      </c>
      <c r="L335" s="3">
        <v>205</v>
      </c>
      <c r="M335" s="3">
        <v>1.74</v>
      </c>
      <c r="O335" s="3">
        <v>0.28999999999999998</v>
      </c>
      <c r="P335" s="4">
        <f t="shared" si="60"/>
        <v>0</v>
      </c>
      <c r="Q335" s="3">
        <v>28</v>
      </c>
      <c r="R335" s="3">
        <v>50</v>
      </c>
      <c r="S335" s="3">
        <v>1.51</v>
      </c>
      <c r="AN335" s="23"/>
    </row>
    <row r="336" spans="1:50" ht="34" x14ac:dyDescent="0.2">
      <c r="A336" s="24" t="s">
        <v>161</v>
      </c>
      <c r="B336" s="31" t="s">
        <v>162</v>
      </c>
      <c r="H336" s="2" t="s">
        <v>33</v>
      </c>
      <c r="I336" s="243" t="s">
        <v>1009</v>
      </c>
      <c r="K336" s="3">
        <v>0.75</v>
      </c>
      <c r="L336" s="3">
        <v>82</v>
      </c>
      <c r="M336" s="3">
        <v>1.02</v>
      </c>
      <c r="O336" s="3">
        <v>0.62</v>
      </c>
      <c r="P336" s="4">
        <f t="shared" si="60"/>
        <v>0</v>
      </c>
      <c r="Q336" s="3">
        <v>46</v>
      </c>
      <c r="R336" s="3">
        <v>74</v>
      </c>
      <c r="S336" s="3">
        <v>1.35</v>
      </c>
      <c r="AN336" s="23"/>
    </row>
    <row r="337" spans="1:40" ht="34" x14ac:dyDescent="0.2">
      <c r="A337" s="24" t="s">
        <v>161</v>
      </c>
      <c r="B337" s="31" t="s">
        <v>162</v>
      </c>
      <c r="H337" s="2" t="s">
        <v>33</v>
      </c>
      <c r="I337" s="243" t="s">
        <v>1009</v>
      </c>
      <c r="K337" s="3">
        <v>0.65</v>
      </c>
      <c r="L337" s="3">
        <v>98</v>
      </c>
      <c r="M337" s="3">
        <v>0.76</v>
      </c>
      <c r="O337" s="3">
        <v>0.38</v>
      </c>
      <c r="P337" s="4">
        <f t="shared" si="60"/>
        <v>0</v>
      </c>
      <c r="Q337" s="3">
        <v>51</v>
      </c>
      <c r="R337" s="3">
        <v>77</v>
      </c>
      <c r="S337" s="3">
        <v>1.25</v>
      </c>
      <c r="AN337" s="23"/>
    </row>
    <row r="338" spans="1:40" ht="34" x14ac:dyDescent="0.2">
      <c r="A338" s="24" t="s">
        <v>161</v>
      </c>
      <c r="B338" s="31" t="s">
        <v>162</v>
      </c>
      <c r="H338" s="2" t="s">
        <v>33</v>
      </c>
      <c r="I338" s="243" t="s">
        <v>1009</v>
      </c>
      <c r="K338" s="3">
        <v>0.63</v>
      </c>
      <c r="L338" s="3">
        <v>84</v>
      </c>
      <c r="M338" s="3">
        <v>0.74</v>
      </c>
      <c r="O338" s="3">
        <v>0.28000000000000003</v>
      </c>
      <c r="P338" s="4">
        <f t="shared" si="60"/>
        <v>0</v>
      </c>
      <c r="Q338" s="3">
        <v>66</v>
      </c>
      <c r="R338" s="3">
        <v>74</v>
      </c>
      <c r="S338" s="3">
        <v>0.87</v>
      </c>
      <c r="AN338" s="23"/>
    </row>
    <row r="339" spans="1:40" ht="34" x14ac:dyDescent="0.2">
      <c r="A339" s="24" t="s">
        <v>161</v>
      </c>
      <c r="B339" s="34" t="s">
        <v>162</v>
      </c>
      <c r="C339" s="33"/>
      <c r="H339" s="2" t="s">
        <v>33</v>
      </c>
      <c r="I339" s="243" t="s">
        <v>1009</v>
      </c>
      <c r="K339" s="3">
        <v>0.68</v>
      </c>
      <c r="L339" s="3">
        <v>106</v>
      </c>
      <c r="M339" s="3">
        <v>0.9</v>
      </c>
      <c r="O339" s="3">
        <v>0.19</v>
      </c>
      <c r="P339" s="4">
        <f t="shared" si="60"/>
        <v>0</v>
      </c>
      <c r="R339" s="3">
        <v>44</v>
      </c>
      <c r="S339" s="3">
        <v>0.78</v>
      </c>
      <c r="AN339" s="23"/>
    </row>
    <row r="340" spans="1:40" ht="34" x14ac:dyDescent="0.2">
      <c r="A340" s="24" t="s">
        <v>161</v>
      </c>
      <c r="B340" s="34" t="s">
        <v>162</v>
      </c>
      <c r="C340" s="33"/>
      <c r="H340" s="2" t="s">
        <v>33</v>
      </c>
      <c r="I340" s="243" t="s">
        <v>1009</v>
      </c>
      <c r="K340" s="3">
        <v>0.47</v>
      </c>
      <c r="L340" s="3">
        <v>148</v>
      </c>
      <c r="M340" s="3">
        <v>0.66</v>
      </c>
      <c r="O340" s="3">
        <v>0.18</v>
      </c>
      <c r="P340" s="4">
        <f t="shared" si="60"/>
        <v>0</v>
      </c>
      <c r="R340" s="3">
        <v>36</v>
      </c>
      <c r="S340" s="3">
        <v>0.2</v>
      </c>
      <c r="AN340" s="23"/>
    </row>
    <row r="341" spans="1:40" ht="34" x14ac:dyDescent="0.2">
      <c r="A341" s="24" t="s">
        <v>161</v>
      </c>
      <c r="B341" s="34" t="s">
        <v>162</v>
      </c>
      <c r="C341" s="33"/>
      <c r="H341" s="2" t="s">
        <v>33</v>
      </c>
      <c r="I341" s="243" t="s">
        <v>1009</v>
      </c>
      <c r="K341" s="3">
        <v>0.7</v>
      </c>
      <c r="L341" s="3">
        <v>201</v>
      </c>
      <c r="M341" s="3">
        <v>2.9</v>
      </c>
      <c r="O341" s="3">
        <v>0.18</v>
      </c>
      <c r="P341" s="4">
        <f t="shared" si="60"/>
        <v>0</v>
      </c>
      <c r="R341" s="3">
        <v>56</v>
      </c>
      <c r="S341" s="3">
        <v>1.25</v>
      </c>
      <c r="AN341" s="23"/>
    </row>
    <row r="342" spans="1:40" ht="34" x14ac:dyDescent="0.2">
      <c r="A342" s="31" t="s">
        <v>161</v>
      </c>
      <c r="B342" s="34" t="s">
        <v>162</v>
      </c>
      <c r="C342" s="33"/>
      <c r="H342" s="2" t="s">
        <v>33</v>
      </c>
      <c r="I342" s="243" t="s">
        <v>1009</v>
      </c>
      <c r="K342" s="3">
        <v>0.59</v>
      </c>
      <c r="L342" s="3">
        <v>187</v>
      </c>
      <c r="M342" s="3">
        <v>2.5499999999999998</v>
      </c>
      <c r="O342" s="3">
        <v>0.23</v>
      </c>
      <c r="P342" s="4">
        <f t="shared" si="60"/>
        <v>0</v>
      </c>
      <c r="R342" s="3">
        <v>51</v>
      </c>
      <c r="AN342" s="23"/>
    </row>
    <row r="343" spans="1:40" ht="34" x14ac:dyDescent="0.2">
      <c r="A343" s="24" t="s">
        <v>161</v>
      </c>
      <c r="B343" s="34" t="s">
        <v>162</v>
      </c>
      <c r="C343" s="33"/>
      <c r="H343" s="2" t="s">
        <v>33</v>
      </c>
      <c r="I343" s="243" t="s">
        <v>1009</v>
      </c>
      <c r="K343" s="3">
        <v>0.65</v>
      </c>
      <c r="L343" s="3">
        <v>196</v>
      </c>
      <c r="M343" s="3">
        <v>2.41</v>
      </c>
      <c r="O343" s="3">
        <v>0.27</v>
      </c>
      <c r="P343" s="4">
        <f t="shared" si="60"/>
        <v>0</v>
      </c>
      <c r="R343" s="3">
        <v>72</v>
      </c>
      <c r="S343" s="3">
        <v>1</v>
      </c>
      <c r="AN343" s="23"/>
    </row>
    <row r="344" spans="1:40" ht="34" x14ac:dyDescent="0.2">
      <c r="A344" s="31" t="s">
        <v>161</v>
      </c>
      <c r="B344" s="34" t="s">
        <v>162</v>
      </c>
      <c r="H344" s="2" t="s">
        <v>33</v>
      </c>
      <c r="I344" s="243" t="s">
        <v>1009</v>
      </c>
      <c r="K344" s="3">
        <v>0.42</v>
      </c>
      <c r="L344" s="3">
        <v>45.8</v>
      </c>
      <c r="M344" s="3">
        <v>0.92</v>
      </c>
      <c r="O344" s="3">
        <v>0.24</v>
      </c>
      <c r="P344" s="4">
        <f t="shared" si="60"/>
        <v>0</v>
      </c>
      <c r="R344" s="3">
        <v>35</v>
      </c>
      <c r="AN344" s="23"/>
    </row>
    <row r="345" spans="1:40" ht="34" x14ac:dyDescent="0.2">
      <c r="A345" s="31" t="s">
        <v>161</v>
      </c>
      <c r="B345" s="34" t="s">
        <v>162</v>
      </c>
      <c r="H345" s="2" t="s">
        <v>33</v>
      </c>
      <c r="I345" s="243" t="s">
        <v>1009</v>
      </c>
      <c r="K345" s="3">
        <v>0.41</v>
      </c>
      <c r="L345" s="3">
        <v>52</v>
      </c>
      <c r="M345" s="3">
        <v>0.47</v>
      </c>
      <c r="O345" s="3">
        <v>0.17</v>
      </c>
      <c r="P345" s="4">
        <f t="shared" si="60"/>
        <v>0</v>
      </c>
      <c r="R345" s="3">
        <v>20</v>
      </c>
      <c r="S345" s="3">
        <v>0.12</v>
      </c>
      <c r="AN345" s="23"/>
    </row>
    <row r="346" spans="1:40" ht="34" x14ac:dyDescent="0.2">
      <c r="A346" s="31" t="s">
        <v>161</v>
      </c>
      <c r="B346" s="34" t="s">
        <v>162</v>
      </c>
      <c r="H346" s="2" t="s">
        <v>33</v>
      </c>
      <c r="I346" s="243" t="s">
        <v>1009</v>
      </c>
      <c r="K346" s="3">
        <v>0.41</v>
      </c>
      <c r="L346" s="3">
        <v>103</v>
      </c>
      <c r="M346" s="3">
        <v>0.46</v>
      </c>
      <c r="O346" s="3">
        <v>0.19</v>
      </c>
      <c r="P346" s="4">
        <f t="shared" si="60"/>
        <v>0</v>
      </c>
      <c r="R346" s="3">
        <v>16</v>
      </c>
      <c r="S346" s="3">
        <v>0.05</v>
      </c>
      <c r="AN346" s="23"/>
    </row>
    <row r="347" spans="1:40" ht="34" x14ac:dyDescent="0.2">
      <c r="A347" s="24" t="s">
        <v>161</v>
      </c>
      <c r="B347" s="34" t="s">
        <v>162</v>
      </c>
      <c r="H347" s="2" t="s">
        <v>33</v>
      </c>
      <c r="I347" s="243" t="s">
        <v>1009</v>
      </c>
      <c r="K347" s="3">
        <v>0.44</v>
      </c>
      <c r="L347" s="3">
        <v>42</v>
      </c>
      <c r="M347" s="3">
        <v>0.31</v>
      </c>
      <c r="O347" s="3">
        <v>0.21</v>
      </c>
      <c r="P347" s="4">
        <f t="shared" si="60"/>
        <v>0</v>
      </c>
      <c r="R347" s="3">
        <v>29</v>
      </c>
      <c r="AN347" s="23"/>
    </row>
    <row r="348" spans="1:40" ht="34" x14ac:dyDescent="0.2">
      <c r="A348" s="46" t="s">
        <v>161</v>
      </c>
      <c r="B348" s="34" t="s">
        <v>162</v>
      </c>
      <c r="C348" s="33"/>
      <c r="H348" s="2" t="s">
        <v>33</v>
      </c>
      <c r="I348" s="245" t="s">
        <v>1009</v>
      </c>
      <c r="J348" s="36"/>
      <c r="K348" s="36">
        <v>0.56999999999999995</v>
      </c>
      <c r="L348" s="36">
        <v>157</v>
      </c>
      <c r="M348" s="36">
        <v>2.11</v>
      </c>
      <c r="O348" s="3">
        <v>0.31</v>
      </c>
      <c r="P348" s="4">
        <f t="shared" si="60"/>
        <v>0</v>
      </c>
      <c r="R348" s="36">
        <v>82</v>
      </c>
      <c r="S348" s="3">
        <v>0.28999999999999998</v>
      </c>
      <c r="T348" s="36"/>
      <c r="U348" s="36"/>
      <c r="V348" s="36"/>
      <c r="W348" s="36"/>
      <c r="Z348" s="36"/>
      <c r="AA348" s="36"/>
      <c r="AB348" s="36"/>
      <c r="AN348" s="23"/>
    </row>
    <row r="349" spans="1:40" ht="34" x14ac:dyDescent="0.2">
      <c r="A349" s="31" t="s">
        <v>161</v>
      </c>
      <c r="B349" s="34" t="s">
        <v>162</v>
      </c>
      <c r="C349" s="33"/>
      <c r="H349" s="2" t="s">
        <v>33</v>
      </c>
      <c r="I349" s="243" t="s">
        <v>1009</v>
      </c>
      <c r="K349" s="3">
        <v>0.54</v>
      </c>
      <c r="L349" s="3">
        <v>126</v>
      </c>
      <c r="M349" s="3">
        <v>0.94</v>
      </c>
      <c r="O349" s="3">
        <v>0.25</v>
      </c>
      <c r="P349" s="4">
        <f t="shared" si="60"/>
        <v>0</v>
      </c>
      <c r="R349" s="3">
        <v>50</v>
      </c>
      <c r="S349" s="3">
        <v>0.78</v>
      </c>
      <c r="AN349" s="23"/>
    </row>
    <row r="350" spans="1:40" ht="34" x14ac:dyDescent="0.2">
      <c r="A350" s="31" t="s">
        <v>161</v>
      </c>
      <c r="B350" s="34" t="s">
        <v>162</v>
      </c>
      <c r="C350" s="33"/>
      <c r="H350" s="2" t="s">
        <v>33</v>
      </c>
      <c r="I350" s="243" t="s">
        <v>1009</v>
      </c>
      <c r="K350" s="3">
        <v>0.41</v>
      </c>
      <c r="L350" s="3">
        <v>153</v>
      </c>
      <c r="M350" s="3">
        <v>0.84</v>
      </c>
      <c r="O350" s="3">
        <v>0.21</v>
      </c>
      <c r="P350" s="4">
        <f t="shared" si="60"/>
        <v>0</v>
      </c>
      <c r="R350" s="3">
        <v>35</v>
      </c>
      <c r="S350" s="3">
        <v>0.53</v>
      </c>
      <c r="AN350" s="23"/>
    </row>
    <row r="351" spans="1:40" ht="34" x14ac:dyDescent="0.2">
      <c r="A351" s="31" t="s">
        <v>161</v>
      </c>
      <c r="B351" s="34" t="s">
        <v>162</v>
      </c>
      <c r="C351" s="33"/>
      <c r="H351" s="2" t="s">
        <v>33</v>
      </c>
      <c r="I351" s="243" t="s">
        <v>1009</v>
      </c>
      <c r="K351" s="3">
        <v>0.41</v>
      </c>
      <c r="L351" s="3">
        <v>172</v>
      </c>
      <c r="M351" s="3">
        <v>0.67</v>
      </c>
      <c r="O351" s="3">
        <v>0.16</v>
      </c>
      <c r="P351" s="4">
        <f t="shared" si="60"/>
        <v>0</v>
      </c>
      <c r="R351" s="3">
        <v>34</v>
      </c>
      <c r="S351" s="3">
        <v>0.87</v>
      </c>
      <c r="AN351" s="23"/>
    </row>
    <row r="352" spans="1:40" ht="34" x14ac:dyDescent="0.2">
      <c r="A352" s="31" t="s">
        <v>161</v>
      </c>
      <c r="B352" s="34" t="s">
        <v>162</v>
      </c>
      <c r="C352" s="33"/>
      <c r="H352" s="2" t="s">
        <v>33</v>
      </c>
      <c r="I352" s="243" t="s">
        <v>1009</v>
      </c>
      <c r="K352" s="3">
        <v>0.65</v>
      </c>
      <c r="L352" s="3">
        <v>81</v>
      </c>
      <c r="M352" s="3">
        <v>0.62</v>
      </c>
      <c r="O352" s="3">
        <v>0.21</v>
      </c>
      <c r="P352" s="4">
        <f t="shared" si="60"/>
        <v>0</v>
      </c>
      <c r="R352" s="3">
        <v>42</v>
      </c>
      <c r="S352" s="3">
        <v>1.1599999999999999</v>
      </c>
      <c r="AN352" s="23"/>
    </row>
    <row r="353" spans="1:50" ht="34" x14ac:dyDescent="0.2">
      <c r="A353" s="31" t="s">
        <v>161</v>
      </c>
      <c r="B353" s="34" t="s">
        <v>162</v>
      </c>
      <c r="C353" s="33"/>
      <c r="H353" s="2" t="s">
        <v>33</v>
      </c>
      <c r="I353" s="243" t="s">
        <v>1009</v>
      </c>
      <c r="K353" s="3">
        <v>0.35</v>
      </c>
      <c r="L353" s="3">
        <v>35</v>
      </c>
      <c r="M353" s="3">
        <v>7.0000000000000007E-2</v>
      </c>
      <c r="O353" s="3">
        <v>0.13</v>
      </c>
      <c r="P353" s="4">
        <f t="shared" si="60"/>
        <v>0</v>
      </c>
      <c r="R353" s="3">
        <v>28</v>
      </c>
      <c r="S353" s="3">
        <v>0.11</v>
      </c>
      <c r="AN353" s="23"/>
    </row>
    <row r="354" spans="1:50" ht="34" x14ac:dyDescent="0.2">
      <c r="A354" s="24" t="s">
        <v>161</v>
      </c>
      <c r="B354" s="24" t="s">
        <v>162</v>
      </c>
      <c r="C354" s="2" t="s">
        <v>0</v>
      </c>
      <c r="H354" s="2" t="s">
        <v>33</v>
      </c>
      <c r="I354" s="243" t="s">
        <v>1010</v>
      </c>
      <c r="J354" s="3">
        <v>90.5</v>
      </c>
      <c r="K354" s="3">
        <v>0.8</v>
      </c>
      <c r="L354" s="3">
        <v>224</v>
      </c>
      <c r="M354" s="3">
        <v>1.5</v>
      </c>
      <c r="N354" s="3">
        <v>45</v>
      </c>
      <c r="P354" s="4">
        <f t="shared" si="60"/>
        <v>0</v>
      </c>
      <c r="R354" s="3">
        <v>93</v>
      </c>
      <c r="AI354" s="23"/>
      <c r="AN354" s="23"/>
    </row>
    <row r="355" spans="1:50" ht="34" x14ac:dyDescent="0.2">
      <c r="A355" s="24" t="s">
        <v>161</v>
      </c>
      <c r="B355" s="24" t="s">
        <v>163</v>
      </c>
      <c r="H355" s="2" t="s">
        <v>33</v>
      </c>
      <c r="I355" s="243" t="s">
        <v>1010</v>
      </c>
      <c r="J355" s="3">
        <v>95</v>
      </c>
      <c r="K355" s="3">
        <v>0.56999999999999995</v>
      </c>
      <c r="L355" s="3">
        <v>71</v>
      </c>
      <c r="M355" s="3">
        <v>0.6</v>
      </c>
      <c r="N355" s="3">
        <v>13</v>
      </c>
      <c r="P355" s="4">
        <f t="shared" si="60"/>
        <v>0</v>
      </c>
      <c r="R355" s="3">
        <v>25</v>
      </c>
      <c r="AI355" s="23"/>
      <c r="AN355" s="23"/>
    </row>
    <row r="356" spans="1:50" ht="34" x14ac:dyDescent="0.2">
      <c r="A356" s="24" t="s">
        <v>161</v>
      </c>
      <c r="B356" s="24" t="s">
        <v>163</v>
      </c>
      <c r="H356" s="2" t="s">
        <v>33</v>
      </c>
      <c r="I356" s="243" t="s">
        <v>1010</v>
      </c>
      <c r="J356" s="3">
        <v>95</v>
      </c>
      <c r="L356" s="3">
        <v>102</v>
      </c>
      <c r="M356" s="3">
        <v>2</v>
      </c>
      <c r="N356" s="3">
        <v>27</v>
      </c>
      <c r="P356" s="4">
        <f t="shared" si="60"/>
        <v>0</v>
      </c>
      <c r="R356" s="3">
        <v>53</v>
      </c>
      <c r="AI356" s="23"/>
      <c r="AN356" s="23"/>
    </row>
    <row r="357" spans="1:50" ht="34" x14ac:dyDescent="0.2">
      <c r="A357" s="24" t="s">
        <v>161</v>
      </c>
      <c r="B357" s="34" t="s">
        <v>162</v>
      </c>
      <c r="H357" s="2" t="s">
        <v>33</v>
      </c>
      <c r="I357" s="243" t="s">
        <v>1010</v>
      </c>
      <c r="J357" s="3">
        <v>92.2</v>
      </c>
      <c r="K357" s="3">
        <v>1</v>
      </c>
      <c r="L357" s="3">
        <v>210</v>
      </c>
      <c r="M357" s="3">
        <v>1.5</v>
      </c>
      <c r="P357" s="4">
        <f t="shared" si="60"/>
        <v>0</v>
      </c>
      <c r="R357" s="3">
        <v>130</v>
      </c>
      <c r="AI357" s="23"/>
      <c r="AN357" s="23"/>
    </row>
    <row r="358" spans="1:50" ht="34" x14ac:dyDescent="0.2">
      <c r="A358" s="24" t="s">
        <v>161</v>
      </c>
      <c r="B358" s="24" t="s">
        <v>163</v>
      </c>
      <c r="H358" s="2" t="s">
        <v>33</v>
      </c>
      <c r="I358" s="243" t="s">
        <v>1010</v>
      </c>
      <c r="J358" s="3">
        <v>93.8</v>
      </c>
      <c r="K358" s="3">
        <v>0.67</v>
      </c>
      <c r="L358" s="3">
        <v>118</v>
      </c>
      <c r="M358" s="3">
        <v>0.8</v>
      </c>
      <c r="N358" s="3">
        <v>19</v>
      </c>
      <c r="P358" s="4">
        <f t="shared" si="60"/>
        <v>0</v>
      </c>
      <c r="R358" s="3">
        <v>57</v>
      </c>
      <c r="AI358" s="23"/>
      <c r="AN358" s="23"/>
    </row>
    <row r="359" spans="1:50" s="71" customFormat="1" x14ac:dyDescent="0.2">
      <c r="A359" s="70" t="s">
        <v>161</v>
      </c>
      <c r="B359" s="70" t="s">
        <v>162</v>
      </c>
      <c r="C359" s="71" t="s">
        <v>165</v>
      </c>
      <c r="D359" s="71" t="s">
        <v>56</v>
      </c>
      <c r="E359" s="71" t="s">
        <v>46</v>
      </c>
      <c r="F359" s="71" t="s">
        <v>782</v>
      </c>
      <c r="H359" s="71" t="s">
        <v>33</v>
      </c>
      <c r="I359" s="87"/>
      <c r="J359" s="72">
        <f t="shared" ref="J359" si="61">AVERAGEIF(J323:J358, "&lt;&gt;0")</f>
        <v>93.237500000000011</v>
      </c>
      <c r="K359" s="72">
        <f t="shared" ref="K359:S359" si="62">AVERAGEIF(K323:K358, "&lt;&gt;0")</f>
        <v>0.69828571428571451</v>
      </c>
      <c r="L359" s="72">
        <f t="shared" si="62"/>
        <v>136.32777777777778</v>
      </c>
      <c r="M359" s="72">
        <f t="shared" si="62"/>
        <v>1.2313888888888889</v>
      </c>
      <c r="N359" s="72">
        <f t="shared" si="62"/>
        <v>23.857142857142858</v>
      </c>
      <c r="O359" s="72">
        <f t="shared" si="62"/>
        <v>0.22967741935483874</v>
      </c>
      <c r="P359" s="72">
        <f>AVERAGE(P323:P358)</f>
        <v>0</v>
      </c>
      <c r="Q359" s="72">
        <f t="shared" si="62"/>
        <v>73.857142857142861</v>
      </c>
      <c r="R359" s="72">
        <f t="shared" si="62"/>
        <v>55.25714285714286</v>
      </c>
      <c r="S359" s="72">
        <f t="shared" si="62"/>
        <v>0.84576923076923083</v>
      </c>
      <c r="T359" s="72"/>
      <c r="U359" s="72"/>
      <c r="V359" s="72"/>
      <c r="W359" s="72"/>
      <c r="X359" s="72"/>
      <c r="Y359" s="72"/>
      <c r="Z359" s="72"/>
      <c r="AA359" s="72"/>
      <c r="AB359" s="72"/>
      <c r="AC359" s="73"/>
      <c r="AD359" s="73"/>
      <c r="AE359" s="73"/>
      <c r="AF359" s="73"/>
      <c r="AG359" s="73"/>
      <c r="AH359" s="73"/>
      <c r="AI359" s="73"/>
      <c r="AJ359" s="73"/>
      <c r="AK359" s="73"/>
      <c r="AL359" s="73"/>
      <c r="AM359" s="73"/>
      <c r="AN359" s="73"/>
      <c r="AO359" s="73"/>
      <c r="AP359" s="73"/>
      <c r="AQ359" s="73"/>
      <c r="AR359" s="73"/>
      <c r="AS359" s="73"/>
      <c r="AT359" s="73"/>
      <c r="AU359" s="73"/>
      <c r="AV359" s="73"/>
      <c r="AW359" s="73"/>
      <c r="AX359" s="73"/>
    </row>
    <row r="360" spans="1:50" ht="17" x14ac:dyDescent="0.2">
      <c r="A360" s="34" t="s">
        <v>164</v>
      </c>
      <c r="B360" s="34" t="s">
        <v>162</v>
      </c>
      <c r="C360" s="32"/>
      <c r="H360" s="2" t="s">
        <v>166</v>
      </c>
      <c r="I360" s="243" t="s">
        <v>1007</v>
      </c>
      <c r="J360" s="3">
        <v>92.5</v>
      </c>
      <c r="K360" s="3">
        <v>2.7</v>
      </c>
      <c r="L360" s="3">
        <v>108</v>
      </c>
      <c r="M360" s="36">
        <v>2.1</v>
      </c>
      <c r="N360" s="3">
        <v>22</v>
      </c>
      <c r="O360" s="3">
        <v>0.77</v>
      </c>
      <c r="P360" s="4">
        <f t="shared" ref="P360:P361" si="63">AN360</f>
        <v>0</v>
      </c>
      <c r="Q360" s="3">
        <v>83</v>
      </c>
      <c r="R360" s="3">
        <v>20.2</v>
      </c>
      <c r="W360" s="36"/>
      <c r="AI360" s="23"/>
      <c r="AN360" s="23"/>
    </row>
    <row r="361" spans="1:50" s="41" customFormat="1" ht="34" x14ac:dyDescent="0.2">
      <c r="A361" s="40" t="s">
        <v>161</v>
      </c>
      <c r="B361" s="40" t="s">
        <v>162</v>
      </c>
      <c r="C361" s="41" t="s">
        <v>0</v>
      </c>
      <c r="D361" s="2"/>
      <c r="E361" s="2"/>
      <c r="H361" s="41" t="s">
        <v>166</v>
      </c>
      <c r="I361" s="248" t="s">
        <v>1010</v>
      </c>
      <c r="J361" s="43">
        <v>92</v>
      </c>
      <c r="K361" s="43">
        <v>1</v>
      </c>
      <c r="L361" s="43">
        <v>125</v>
      </c>
      <c r="M361" s="43">
        <v>1.5</v>
      </c>
      <c r="N361" s="43">
        <v>45</v>
      </c>
      <c r="O361" s="43"/>
      <c r="P361" s="4">
        <f t="shared" si="63"/>
        <v>0</v>
      </c>
      <c r="Q361" s="43"/>
      <c r="R361" s="43">
        <v>70</v>
      </c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4"/>
      <c r="AD361" s="44"/>
      <c r="AE361" s="44"/>
      <c r="AF361" s="44"/>
      <c r="AG361" s="44"/>
      <c r="AH361" s="44"/>
      <c r="AI361" s="23"/>
      <c r="AJ361" s="44"/>
      <c r="AK361" s="44"/>
      <c r="AL361" s="44"/>
      <c r="AM361" s="44"/>
      <c r="AN361" s="23"/>
      <c r="AO361" s="44"/>
      <c r="AP361" s="44"/>
      <c r="AQ361" s="44"/>
      <c r="AR361" s="44"/>
      <c r="AS361" s="44"/>
      <c r="AT361" s="44"/>
      <c r="AU361" s="44"/>
      <c r="AV361" s="44"/>
      <c r="AW361" s="44"/>
      <c r="AX361" s="44"/>
    </row>
    <row r="362" spans="1:50" s="71" customFormat="1" x14ac:dyDescent="0.2">
      <c r="A362" s="70" t="s">
        <v>161</v>
      </c>
      <c r="B362" s="70" t="s">
        <v>162</v>
      </c>
      <c r="C362" s="71" t="s">
        <v>167</v>
      </c>
      <c r="D362" s="71" t="s">
        <v>56</v>
      </c>
      <c r="E362" s="71" t="s">
        <v>46</v>
      </c>
      <c r="F362" s="71" t="s">
        <v>782</v>
      </c>
      <c r="H362" s="71" t="s">
        <v>166</v>
      </c>
      <c r="I362" s="87"/>
      <c r="J362" s="72">
        <f t="shared" ref="J362" si="64">AVERAGEIF(J360:J361, "&lt;&gt;0")</f>
        <v>92.25</v>
      </c>
      <c r="K362" s="72">
        <f t="shared" ref="K362:R362" si="65">AVERAGEIF(K360:K361, "&lt;&gt;0")</f>
        <v>1.85</v>
      </c>
      <c r="L362" s="72">
        <f t="shared" si="65"/>
        <v>116.5</v>
      </c>
      <c r="M362" s="72">
        <f t="shared" si="65"/>
        <v>1.8</v>
      </c>
      <c r="N362" s="72">
        <f t="shared" si="65"/>
        <v>33.5</v>
      </c>
      <c r="O362" s="72">
        <f t="shared" si="65"/>
        <v>0.77</v>
      </c>
      <c r="P362" s="72">
        <f>AVERAGE(P360:P361)</f>
        <v>0</v>
      </c>
      <c r="Q362" s="72">
        <f t="shared" si="65"/>
        <v>83</v>
      </c>
      <c r="R362" s="72">
        <f t="shared" si="65"/>
        <v>45.1</v>
      </c>
      <c r="S362" s="72"/>
      <c r="T362" s="72"/>
      <c r="U362" s="72"/>
      <c r="V362" s="72"/>
      <c r="W362" s="72"/>
      <c r="X362" s="72"/>
      <c r="Y362" s="72"/>
      <c r="Z362" s="72"/>
      <c r="AA362" s="72"/>
      <c r="AB362" s="72"/>
      <c r="AC362" s="73"/>
      <c r="AD362" s="73"/>
      <c r="AE362" s="73"/>
      <c r="AF362" s="73"/>
      <c r="AG362" s="73"/>
      <c r="AH362" s="73"/>
      <c r="AI362" s="73"/>
      <c r="AJ362" s="73"/>
      <c r="AK362" s="73"/>
      <c r="AL362" s="73"/>
      <c r="AM362" s="73"/>
      <c r="AN362" s="73"/>
      <c r="AO362" s="73"/>
      <c r="AP362" s="73"/>
      <c r="AQ362" s="73"/>
      <c r="AR362" s="73"/>
      <c r="AS362" s="73"/>
      <c r="AT362" s="73"/>
      <c r="AU362" s="73"/>
      <c r="AV362" s="73"/>
      <c r="AW362" s="73"/>
      <c r="AX362" s="73"/>
    </row>
    <row r="363" spans="1:50" ht="34" x14ac:dyDescent="0.2">
      <c r="A363" s="24" t="s">
        <v>161</v>
      </c>
      <c r="B363" s="24" t="s">
        <v>168</v>
      </c>
      <c r="H363" s="2" t="s">
        <v>33</v>
      </c>
      <c r="I363" s="243" t="s">
        <v>1009</v>
      </c>
      <c r="K363" s="3">
        <v>1.43</v>
      </c>
      <c r="L363" s="3">
        <v>173</v>
      </c>
      <c r="M363" s="3">
        <v>1.77</v>
      </c>
      <c r="O363" s="3">
        <v>1.1200000000000001</v>
      </c>
      <c r="P363" s="4">
        <f t="shared" ref="P363:P365" si="66">AN363</f>
        <v>0</v>
      </c>
      <c r="Q363" s="3">
        <v>66</v>
      </c>
      <c r="R363" s="3">
        <v>151</v>
      </c>
      <c r="S363" s="3">
        <v>1.5</v>
      </c>
      <c r="AN363" s="23"/>
    </row>
    <row r="364" spans="1:50" ht="34" x14ac:dyDescent="0.2">
      <c r="A364" s="34" t="s">
        <v>161</v>
      </c>
      <c r="B364" s="34" t="s">
        <v>168</v>
      </c>
      <c r="C364" s="33"/>
      <c r="H364" s="2" t="s">
        <v>33</v>
      </c>
      <c r="I364" s="245" t="s">
        <v>1009</v>
      </c>
      <c r="J364" s="36"/>
      <c r="K364" s="36">
        <v>1.48</v>
      </c>
      <c r="L364" s="36">
        <v>153</v>
      </c>
      <c r="M364" s="36">
        <v>1.39</v>
      </c>
      <c r="N364" s="36"/>
      <c r="O364" s="3">
        <v>0.72</v>
      </c>
      <c r="P364" s="4">
        <f t="shared" si="66"/>
        <v>0</v>
      </c>
      <c r="Q364" s="36">
        <v>107</v>
      </c>
      <c r="R364" s="36">
        <v>183</v>
      </c>
      <c r="S364" s="3">
        <v>1.76</v>
      </c>
      <c r="T364" s="36"/>
      <c r="U364" s="36"/>
      <c r="V364" s="36"/>
      <c r="W364" s="36"/>
      <c r="X364" s="36"/>
      <c r="Y364" s="36"/>
      <c r="Z364" s="36"/>
      <c r="AA364" s="36"/>
      <c r="AB364" s="36"/>
      <c r="AN364" s="23"/>
    </row>
    <row r="365" spans="1:50" ht="34" x14ac:dyDescent="0.2">
      <c r="A365" s="24" t="s">
        <v>161</v>
      </c>
      <c r="B365" s="24" t="s">
        <v>168</v>
      </c>
      <c r="H365" s="2" t="s">
        <v>33</v>
      </c>
      <c r="I365" s="243" t="s">
        <v>1009</v>
      </c>
      <c r="K365" s="3">
        <v>1.22</v>
      </c>
      <c r="L365" s="3">
        <v>145</v>
      </c>
      <c r="M365" s="3">
        <v>0.84</v>
      </c>
      <c r="P365" s="4">
        <f t="shared" si="66"/>
        <v>0</v>
      </c>
      <c r="R365" s="3">
        <v>137</v>
      </c>
      <c r="S365" s="3">
        <v>0.51</v>
      </c>
      <c r="AN365" s="23"/>
    </row>
    <row r="366" spans="1:50" s="71" customFormat="1" x14ac:dyDescent="0.2">
      <c r="A366" s="70" t="s">
        <v>161</v>
      </c>
      <c r="B366" s="70" t="s">
        <v>168</v>
      </c>
      <c r="C366" s="71" t="s">
        <v>169</v>
      </c>
      <c r="D366" s="71" t="s">
        <v>25</v>
      </c>
      <c r="E366" s="71" t="s">
        <v>46</v>
      </c>
      <c r="F366" s="71" t="s">
        <v>782</v>
      </c>
      <c r="H366" s="71" t="s">
        <v>33</v>
      </c>
      <c r="I366" s="87"/>
      <c r="J366" s="72" t="s">
        <v>0</v>
      </c>
      <c r="K366" s="72">
        <f>AVERAGEIF(K363:K365, "&lt;&gt;0")</f>
        <v>1.3766666666666667</v>
      </c>
      <c r="L366" s="72">
        <f>AVERAGEIF(L363:L365, "&lt;&gt;0")</f>
        <v>157</v>
      </c>
      <c r="M366" s="72">
        <f>AVERAGEIF(M363:M365, "&lt;&gt;0")</f>
        <v>1.3333333333333333</v>
      </c>
      <c r="N366" s="72"/>
      <c r="O366" s="72">
        <f t="shared" ref="O366:S366" si="67">AVERAGEIF(O363:O365, "&lt;&gt;0")</f>
        <v>0.92</v>
      </c>
      <c r="P366" s="72">
        <f>AVERAGE(P363:P365)</f>
        <v>0</v>
      </c>
      <c r="Q366" s="72">
        <f t="shared" si="67"/>
        <v>86.5</v>
      </c>
      <c r="R366" s="72">
        <f t="shared" si="67"/>
        <v>157</v>
      </c>
      <c r="S366" s="72">
        <f t="shared" si="67"/>
        <v>1.2566666666666666</v>
      </c>
      <c r="T366" s="72"/>
      <c r="U366" s="72"/>
      <c r="V366" s="72"/>
      <c r="W366" s="72"/>
      <c r="X366" s="72"/>
      <c r="Y366" s="72"/>
      <c r="Z366" s="72"/>
      <c r="AA366" s="72"/>
      <c r="AB366" s="72"/>
      <c r="AC366" s="73"/>
      <c r="AD366" s="73"/>
      <c r="AE366" s="73"/>
      <c r="AF366" s="73"/>
      <c r="AG366" s="73"/>
      <c r="AH366" s="73"/>
      <c r="AI366" s="73"/>
      <c r="AJ366" s="73"/>
      <c r="AK366" s="73"/>
      <c r="AL366" s="73"/>
      <c r="AM366" s="73"/>
      <c r="AN366" s="73"/>
      <c r="AO366" s="73"/>
      <c r="AP366" s="73"/>
      <c r="AQ366" s="73"/>
      <c r="AR366" s="73"/>
      <c r="AS366" s="73"/>
      <c r="AT366" s="73"/>
      <c r="AU366" s="73"/>
      <c r="AV366" s="73"/>
      <c r="AW366" s="73"/>
      <c r="AX366" s="73"/>
    </row>
    <row r="367" spans="1:50" ht="17" x14ac:dyDescent="0.2">
      <c r="A367" s="24" t="s">
        <v>161</v>
      </c>
      <c r="B367" s="24" t="s">
        <v>170</v>
      </c>
      <c r="C367" s="32" t="s">
        <v>0</v>
      </c>
      <c r="H367" s="2" t="s">
        <v>33</v>
      </c>
      <c r="I367" s="243" t="s">
        <v>1007</v>
      </c>
      <c r="J367" s="3">
        <v>90.7</v>
      </c>
      <c r="K367" s="3">
        <v>3.2</v>
      </c>
      <c r="L367" s="3">
        <v>115</v>
      </c>
      <c r="M367" s="3">
        <v>1.64</v>
      </c>
      <c r="N367" s="3">
        <v>32</v>
      </c>
      <c r="O367" s="3">
        <v>0.25</v>
      </c>
      <c r="P367" s="4">
        <f t="shared" ref="P367:P377" si="68">AN367</f>
        <v>0</v>
      </c>
      <c r="Q367" s="3">
        <v>12</v>
      </c>
      <c r="R367" s="3">
        <v>70</v>
      </c>
      <c r="S367" s="3">
        <v>2</v>
      </c>
      <c r="AI367" s="23"/>
      <c r="AN367" s="23"/>
    </row>
    <row r="368" spans="1:50" ht="34" x14ac:dyDescent="0.2">
      <c r="A368" s="24" t="s">
        <v>161</v>
      </c>
      <c r="B368" s="24" t="s">
        <v>170</v>
      </c>
      <c r="H368" s="2" t="s">
        <v>33</v>
      </c>
      <c r="I368" s="243" t="s">
        <v>1009</v>
      </c>
      <c r="K368" s="3">
        <v>0.66</v>
      </c>
      <c r="L368" s="3">
        <v>111</v>
      </c>
      <c r="M368" s="3">
        <v>0.6</v>
      </c>
      <c r="N368" s="36"/>
      <c r="O368" s="3">
        <v>0.31</v>
      </c>
      <c r="P368" s="4">
        <f t="shared" si="68"/>
        <v>0</v>
      </c>
      <c r="Q368" s="3">
        <v>34</v>
      </c>
      <c r="R368" s="3">
        <v>74</v>
      </c>
      <c r="S368" s="3">
        <v>1.87</v>
      </c>
      <c r="X368" s="36"/>
      <c r="AN368" s="23"/>
    </row>
    <row r="369" spans="1:50" ht="34" x14ac:dyDescent="0.2">
      <c r="A369" s="24" t="s">
        <v>161</v>
      </c>
      <c r="B369" s="24" t="s">
        <v>170</v>
      </c>
      <c r="H369" s="2" t="s">
        <v>33</v>
      </c>
      <c r="I369" s="243" t="s">
        <v>1009</v>
      </c>
      <c r="K369" s="3">
        <v>0.83</v>
      </c>
      <c r="L369" s="3">
        <v>165</v>
      </c>
      <c r="M369" s="3">
        <v>0.83</v>
      </c>
      <c r="N369" s="36"/>
      <c r="O369" s="3">
        <v>0.18</v>
      </c>
      <c r="P369" s="4">
        <f t="shared" si="68"/>
        <v>0</v>
      </c>
      <c r="Q369" s="3">
        <v>47</v>
      </c>
      <c r="R369" s="3">
        <v>70</v>
      </c>
      <c r="S369" s="3">
        <v>1.84</v>
      </c>
      <c r="X369" s="36"/>
      <c r="AN369" s="23"/>
    </row>
    <row r="370" spans="1:50" ht="34" x14ac:dyDescent="0.2">
      <c r="A370" s="31" t="s">
        <v>161</v>
      </c>
      <c r="B370" s="31" t="s">
        <v>170</v>
      </c>
      <c r="H370" s="2" t="s">
        <v>33</v>
      </c>
      <c r="I370" s="243" t="s">
        <v>1009</v>
      </c>
      <c r="K370" s="3">
        <v>0.73</v>
      </c>
      <c r="L370" s="3">
        <v>163</v>
      </c>
      <c r="M370" s="3">
        <v>2.5099999999999998</v>
      </c>
      <c r="O370" s="3">
        <v>0.28000000000000003</v>
      </c>
      <c r="P370" s="4">
        <f t="shared" si="68"/>
        <v>0</v>
      </c>
      <c r="R370" s="3">
        <v>94</v>
      </c>
      <c r="S370" s="3">
        <v>1.55</v>
      </c>
      <c r="AN370" s="23"/>
    </row>
    <row r="371" spans="1:50" ht="34" x14ac:dyDescent="0.2">
      <c r="A371" s="34" t="s">
        <v>161</v>
      </c>
      <c r="B371" s="34" t="s">
        <v>170</v>
      </c>
      <c r="C371" s="33"/>
      <c r="H371" s="2" t="s">
        <v>33</v>
      </c>
      <c r="I371" s="245" t="s">
        <v>1009</v>
      </c>
      <c r="J371" s="36"/>
      <c r="K371" s="36">
        <v>0.89</v>
      </c>
      <c r="L371" s="36">
        <v>198</v>
      </c>
      <c r="M371" s="3">
        <v>2.5</v>
      </c>
      <c r="O371" s="3">
        <v>0.31</v>
      </c>
      <c r="P371" s="4">
        <f t="shared" si="68"/>
        <v>0</v>
      </c>
      <c r="R371" s="36">
        <v>84</v>
      </c>
      <c r="S371" s="3">
        <v>0.75</v>
      </c>
      <c r="T371" s="36"/>
      <c r="U371" s="36"/>
      <c r="V371" s="36"/>
      <c r="Z371" s="36"/>
      <c r="AA371" s="36"/>
      <c r="AB371" s="36"/>
      <c r="AN371" s="23"/>
    </row>
    <row r="372" spans="1:50" ht="34" x14ac:dyDescent="0.2">
      <c r="A372" s="31" t="s">
        <v>161</v>
      </c>
      <c r="B372" s="31" t="s">
        <v>170</v>
      </c>
      <c r="H372" s="2" t="s">
        <v>33</v>
      </c>
      <c r="I372" s="243" t="s">
        <v>1009</v>
      </c>
      <c r="K372" s="3">
        <v>0.67</v>
      </c>
      <c r="L372" s="3">
        <v>144</v>
      </c>
      <c r="M372" s="3">
        <v>1.53</v>
      </c>
      <c r="O372" s="3">
        <v>0.17</v>
      </c>
      <c r="P372" s="4">
        <f t="shared" si="68"/>
        <v>0</v>
      </c>
      <c r="R372" s="3">
        <v>57</v>
      </c>
      <c r="S372" s="3">
        <v>1</v>
      </c>
      <c r="AN372" s="23"/>
    </row>
    <row r="373" spans="1:50" ht="34" x14ac:dyDescent="0.2">
      <c r="A373" s="31" t="s">
        <v>161</v>
      </c>
      <c r="B373" s="31" t="s">
        <v>170</v>
      </c>
      <c r="H373" s="2" t="s">
        <v>33</v>
      </c>
      <c r="I373" s="243" t="s">
        <v>1009</v>
      </c>
      <c r="K373" s="3">
        <v>0.7</v>
      </c>
      <c r="L373" s="3">
        <v>214</v>
      </c>
      <c r="M373" s="3">
        <v>1.3</v>
      </c>
      <c r="O373" s="3">
        <v>0.33</v>
      </c>
      <c r="P373" s="4">
        <f t="shared" si="68"/>
        <v>0</v>
      </c>
      <c r="R373" s="3">
        <v>77</v>
      </c>
      <c r="S373" s="3">
        <v>0.94</v>
      </c>
      <c r="AN373" s="23"/>
    </row>
    <row r="374" spans="1:50" ht="34" x14ac:dyDescent="0.2">
      <c r="A374" s="24" t="s">
        <v>161</v>
      </c>
      <c r="B374" s="24" t="s">
        <v>170</v>
      </c>
      <c r="H374" s="2" t="s">
        <v>33</v>
      </c>
      <c r="I374" s="243" t="s">
        <v>1009</v>
      </c>
      <c r="K374" s="3">
        <v>0.85</v>
      </c>
      <c r="L374" s="3">
        <v>223</v>
      </c>
      <c r="M374" s="3">
        <v>1.1100000000000001</v>
      </c>
      <c r="O374" s="3">
        <v>0.28000000000000003</v>
      </c>
      <c r="P374" s="4">
        <f t="shared" si="68"/>
        <v>0</v>
      </c>
      <c r="R374" s="3">
        <v>60</v>
      </c>
      <c r="S374" s="3">
        <v>0.91</v>
      </c>
      <c r="AN374" s="23"/>
    </row>
    <row r="375" spans="1:50" ht="34" x14ac:dyDescent="0.2">
      <c r="A375" s="31" t="s">
        <v>161</v>
      </c>
      <c r="B375" s="31" t="s">
        <v>170</v>
      </c>
      <c r="H375" s="2" t="s">
        <v>33</v>
      </c>
      <c r="I375" s="243" t="s">
        <v>1009</v>
      </c>
      <c r="K375" s="3">
        <v>0.54</v>
      </c>
      <c r="L375" s="3">
        <v>158.5</v>
      </c>
      <c r="M375" s="3">
        <v>0.97</v>
      </c>
      <c r="O375" s="3">
        <v>0.16</v>
      </c>
      <c r="P375" s="4">
        <f t="shared" si="68"/>
        <v>0</v>
      </c>
      <c r="R375" s="3">
        <v>83</v>
      </c>
      <c r="S375" s="3">
        <v>1.19</v>
      </c>
      <c r="AN375" s="23"/>
    </row>
    <row r="376" spans="1:50" ht="34" x14ac:dyDescent="0.2">
      <c r="A376" s="31" t="s">
        <v>161</v>
      </c>
      <c r="B376" s="31" t="s">
        <v>170</v>
      </c>
      <c r="H376" s="2" t="s">
        <v>33</v>
      </c>
      <c r="I376" s="243" t="s">
        <v>1009</v>
      </c>
      <c r="K376" s="3">
        <v>0.57999999999999996</v>
      </c>
      <c r="L376" s="3">
        <v>97</v>
      </c>
      <c r="M376" s="3">
        <v>0.47</v>
      </c>
      <c r="O376" s="3">
        <v>0.15</v>
      </c>
      <c r="P376" s="4">
        <f t="shared" si="68"/>
        <v>0</v>
      </c>
      <c r="R376" s="3">
        <v>41</v>
      </c>
      <c r="S376" s="3">
        <v>0.68</v>
      </c>
      <c r="AN376" s="23"/>
    </row>
    <row r="377" spans="1:50" ht="34" x14ac:dyDescent="0.2">
      <c r="A377" s="31" t="s">
        <v>161</v>
      </c>
      <c r="B377" s="31" t="s">
        <v>170</v>
      </c>
      <c r="H377" s="2" t="s">
        <v>33</v>
      </c>
      <c r="I377" s="243" t="s">
        <v>1009</v>
      </c>
      <c r="K377" s="3">
        <v>0.47</v>
      </c>
      <c r="L377" s="3">
        <v>94</v>
      </c>
      <c r="M377" s="3">
        <v>0.35</v>
      </c>
      <c r="O377" s="3">
        <v>0.13</v>
      </c>
      <c r="P377" s="4">
        <f t="shared" si="68"/>
        <v>0</v>
      </c>
      <c r="R377" s="3">
        <v>23</v>
      </c>
      <c r="S377" s="3">
        <v>0.16</v>
      </c>
      <c r="AN377" s="23"/>
    </row>
    <row r="378" spans="1:50" ht="34" x14ac:dyDescent="0.2">
      <c r="A378" s="24" t="s">
        <v>161</v>
      </c>
      <c r="B378" s="24" t="s">
        <v>170</v>
      </c>
      <c r="H378" s="2" t="s">
        <v>33</v>
      </c>
      <c r="I378" s="243" t="s">
        <v>1009</v>
      </c>
      <c r="K378" s="3">
        <v>0.54</v>
      </c>
      <c r="L378" s="3">
        <v>113</v>
      </c>
      <c r="M378" s="3">
        <v>0.34</v>
      </c>
      <c r="O378" s="3">
        <v>0.22</v>
      </c>
      <c r="P378" s="4" t="s">
        <v>0</v>
      </c>
      <c r="R378" s="3">
        <v>27</v>
      </c>
      <c r="S378" s="3">
        <v>0.08</v>
      </c>
    </row>
    <row r="379" spans="1:50" ht="34" x14ac:dyDescent="0.2">
      <c r="A379" s="24" t="s">
        <v>161</v>
      </c>
      <c r="B379" s="24" t="s">
        <v>170</v>
      </c>
      <c r="H379" s="2" t="s">
        <v>33</v>
      </c>
      <c r="I379" s="243" t="s">
        <v>1010</v>
      </c>
      <c r="J379" s="3">
        <v>91.6</v>
      </c>
      <c r="K379" s="3">
        <v>0.99</v>
      </c>
      <c r="L379" s="3">
        <v>181</v>
      </c>
      <c r="M379" s="3">
        <v>2</v>
      </c>
      <c r="N379" s="3">
        <v>29</v>
      </c>
      <c r="P379" s="4">
        <f t="shared" ref="P379" si="69">AN379</f>
        <v>0</v>
      </c>
      <c r="R379" s="3">
        <v>93</v>
      </c>
      <c r="AI379" s="23"/>
      <c r="AN379" s="23"/>
    </row>
    <row r="380" spans="1:50" s="71" customFormat="1" x14ac:dyDescent="0.2">
      <c r="A380" s="70" t="s">
        <v>161</v>
      </c>
      <c r="B380" s="70" t="s">
        <v>170</v>
      </c>
      <c r="C380" s="71" t="s">
        <v>171</v>
      </c>
      <c r="D380" s="71" t="s">
        <v>56</v>
      </c>
      <c r="E380" s="71" t="s">
        <v>46</v>
      </c>
      <c r="F380" s="71" t="s">
        <v>782</v>
      </c>
      <c r="H380" s="71" t="s">
        <v>33</v>
      </c>
      <c r="I380" s="87"/>
      <c r="J380" s="72">
        <f t="shared" ref="J380" si="70">AVERAGEIF(J367:J379, "&lt;&gt;0")</f>
        <v>91.15</v>
      </c>
      <c r="K380" s="72">
        <f t="shared" ref="K380:S380" si="71">AVERAGEIF(K367:K379, "&lt;&gt;0")</f>
        <v>0.89615384615384619</v>
      </c>
      <c r="L380" s="72">
        <f t="shared" si="71"/>
        <v>152.03846153846155</v>
      </c>
      <c r="M380" s="72">
        <f t="shared" si="71"/>
        <v>1.2423076923076921</v>
      </c>
      <c r="N380" s="72">
        <f t="shared" si="71"/>
        <v>30.5</v>
      </c>
      <c r="O380" s="72">
        <f t="shared" si="71"/>
        <v>0.23083333333333336</v>
      </c>
      <c r="P380" s="72">
        <f>AVERAGE(P367:P379)</f>
        <v>0</v>
      </c>
      <c r="Q380" s="72">
        <f t="shared" si="71"/>
        <v>31</v>
      </c>
      <c r="R380" s="72">
        <f t="shared" si="71"/>
        <v>65.615384615384613</v>
      </c>
      <c r="S380" s="72">
        <f t="shared" si="71"/>
        <v>1.0808333333333333</v>
      </c>
      <c r="T380" s="72"/>
      <c r="U380" s="72"/>
      <c r="V380" s="72"/>
      <c r="W380" s="72"/>
      <c r="X380" s="72"/>
      <c r="Y380" s="72"/>
      <c r="Z380" s="72"/>
      <c r="AA380" s="72"/>
      <c r="AB380" s="72"/>
      <c r="AC380" s="73"/>
      <c r="AD380" s="73"/>
      <c r="AE380" s="73"/>
      <c r="AF380" s="73"/>
      <c r="AG380" s="73"/>
      <c r="AH380" s="73"/>
      <c r="AI380" s="73"/>
      <c r="AJ380" s="73"/>
      <c r="AK380" s="73"/>
      <c r="AL380" s="73"/>
      <c r="AM380" s="73"/>
      <c r="AN380" s="73"/>
      <c r="AO380" s="73"/>
      <c r="AP380" s="73"/>
      <c r="AQ380" s="73"/>
      <c r="AR380" s="73"/>
      <c r="AS380" s="73"/>
      <c r="AT380" s="73"/>
      <c r="AU380" s="73"/>
      <c r="AV380" s="73"/>
      <c r="AW380" s="73"/>
      <c r="AX380" s="73"/>
    </row>
    <row r="381" spans="1:50" s="22" customFormat="1" ht="34" x14ac:dyDescent="0.2">
      <c r="A381" s="21" t="s">
        <v>161</v>
      </c>
      <c r="B381" s="21" t="s">
        <v>172</v>
      </c>
      <c r="C381" s="22" t="s">
        <v>0</v>
      </c>
      <c r="D381" s="2"/>
      <c r="E381" s="2"/>
      <c r="H381" s="22" t="s">
        <v>33</v>
      </c>
      <c r="I381" s="65" t="s">
        <v>1010</v>
      </c>
      <c r="J381" s="4">
        <v>87</v>
      </c>
      <c r="K381" s="4">
        <v>1.23</v>
      </c>
      <c r="L381" s="4">
        <v>205</v>
      </c>
      <c r="M381" s="4">
        <v>3</v>
      </c>
      <c r="N381" s="4">
        <v>88</v>
      </c>
      <c r="O381" s="4"/>
      <c r="P381" s="4">
        <f t="shared" ref="P381" si="72">AN381</f>
        <v>0</v>
      </c>
      <c r="Q381" s="4"/>
      <c r="R381" s="4">
        <v>130</v>
      </c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</row>
    <row r="382" spans="1:50" s="71" customFormat="1" ht="15" customHeight="1" x14ac:dyDescent="0.2">
      <c r="A382" s="70" t="s">
        <v>161</v>
      </c>
      <c r="B382" s="70" t="s">
        <v>172</v>
      </c>
      <c r="C382" s="71" t="s">
        <v>174</v>
      </c>
      <c r="D382" s="71" t="s">
        <v>173</v>
      </c>
      <c r="E382" s="71" t="s">
        <v>46</v>
      </c>
      <c r="F382" s="71" t="s">
        <v>782</v>
      </c>
      <c r="H382" s="71" t="s">
        <v>33</v>
      </c>
      <c r="I382" s="87"/>
      <c r="J382" s="72">
        <f t="shared" ref="J382" si="73">AVERAGEIF(J381, "&lt;&gt;0")</f>
        <v>87</v>
      </c>
      <c r="K382" s="72">
        <f>AVERAGEIF(K381, "&lt;&gt;0")</f>
        <v>1.23</v>
      </c>
      <c r="L382" s="72">
        <f>AVERAGEIF(L381, "&lt;&gt;0")</f>
        <v>205</v>
      </c>
      <c r="M382" s="72">
        <f>AVERAGEIF(M381, "&lt;&gt;0")</f>
        <v>3</v>
      </c>
      <c r="N382" s="72">
        <f>AVERAGEIF(N381, "&lt;&gt;0")</f>
        <v>88</v>
      </c>
      <c r="O382" s="72"/>
      <c r="P382" s="72">
        <f>P381</f>
        <v>0</v>
      </c>
      <c r="Q382" s="72" t="s">
        <v>0</v>
      </c>
      <c r="R382" s="72">
        <f>AVERAGEIF(R381, "&lt;&gt;0")</f>
        <v>130</v>
      </c>
      <c r="S382" s="72"/>
      <c r="T382" s="72"/>
      <c r="U382" s="72"/>
      <c r="V382" s="72"/>
      <c r="W382" s="72"/>
      <c r="X382" s="72"/>
      <c r="Y382" s="72"/>
      <c r="Z382" s="72"/>
      <c r="AA382" s="72"/>
      <c r="AB382" s="72"/>
      <c r="AC382" s="73"/>
      <c r="AD382" s="73"/>
      <c r="AE382" s="73"/>
      <c r="AF382" s="73"/>
      <c r="AG382" s="73"/>
      <c r="AH382" s="73"/>
      <c r="AI382" s="73"/>
      <c r="AJ382" s="73"/>
      <c r="AK382" s="73"/>
      <c r="AL382" s="73"/>
      <c r="AM382" s="73"/>
      <c r="AN382" s="73"/>
      <c r="AO382" s="73"/>
      <c r="AP382" s="73"/>
      <c r="AQ382" s="73"/>
      <c r="AR382" s="73"/>
      <c r="AS382" s="73"/>
      <c r="AT382" s="73"/>
      <c r="AU382" s="73"/>
      <c r="AV382" s="73"/>
      <c r="AW382" s="73"/>
      <c r="AX382" s="73"/>
    </row>
    <row r="383" spans="1:50" s="22" customFormat="1" ht="17" x14ac:dyDescent="0.2">
      <c r="A383" s="21" t="s">
        <v>164</v>
      </c>
      <c r="B383" s="21" t="s">
        <v>45</v>
      </c>
      <c r="C383" s="22" t="s">
        <v>0</v>
      </c>
      <c r="D383" s="2"/>
      <c r="E383" s="2"/>
      <c r="H383" s="22" t="s">
        <v>33</v>
      </c>
      <c r="I383" s="65" t="s">
        <v>1006</v>
      </c>
      <c r="J383" s="4">
        <v>87.5</v>
      </c>
      <c r="K383" s="4">
        <v>1.3</v>
      </c>
      <c r="L383" s="4">
        <v>179</v>
      </c>
      <c r="M383" s="4">
        <v>2.2000000000000002</v>
      </c>
      <c r="N383" s="4"/>
      <c r="O383" s="4"/>
      <c r="P383" s="4" t="s">
        <v>0</v>
      </c>
      <c r="Q383" s="4"/>
      <c r="R383" s="4">
        <v>51</v>
      </c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</row>
    <row r="384" spans="1:50" s="22" customFormat="1" ht="17" x14ac:dyDescent="0.2">
      <c r="A384" s="21" t="s">
        <v>161</v>
      </c>
      <c r="B384" s="21" t="s">
        <v>45</v>
      </c>
      <c r="C384" s="27" t="s">
        <v>0</v>
      </c>
      <c r="D384" s="2"/>
      <c r="E384" s="2"/>
      <c r="H384" s="22" t="s">
        <v>33</v>
      </c>
      <c r="I384" s="65" t="s">
        <v>1007</v>
      </c>
      <c r="J384" s="4">
        <v>87</v>
      </c>
      <c r="K384" s="4">
        <v>1.7</v>
      </c>
      <c r="L384" s="4">
        <v>205</v>
      </c>
      <c r="M384" s="4">
        <v>3</v>
      </c>
      <c r="N384" s="4">
        <v>88</v>
      </c>
      <c r="O384" s="4">
        <v>0.4</v>
      </c>
      <c r="P384" s="4">
        <f t="shared" ref="P384:P390" si="74">AN384</f>
        <v>0</v>
      </c>
      <c r="Q384" s="4">
        <v>28</v>
      </c>
      <c r="R384" s="4">
        <v>130</v>
      </c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</row>
    <row r="385" spans="1:50" s="22" customFormat="1" ht="17" x14ac:dyDescent="0.2">
      <c r="A385" s="47" t="s">
        <v>161</v>
      </c>
      <c r="B385" s="47" t="s">
        <v>45</v>
      </c>
      <c r="C385" s="27" t="s">
        <v>0</v>
      </c>
      <c r="D385" s="2"/>
      <c r="E385" s="2"/>
      <c r="H385" s="22" t="s">
        <v>33</v>
      </c>
      <c r="I385" s="65" t="s">
        <v>1007</v>
      </c>
      <c r="J385" s="4">
        <v>84</v>
      </c>
      <c r="K385" s="4">
        <v>3.6</v>
      </c>
      <c r="L385" s="4">
        <v>150</v>
      </c>
      <c r="M385" s="48">
        <v>1.5</v>
      </c>
      <c r="N385" s="4">
        <v>47</v>
      </c>
      <c r="O385" s="4">
        <v>0.6</v>
      </c>
      <c r="P385" s="4">
        <f t="shared" si="74"/>
        <v>0</v>
      </c>
      <c r="Q385" s="4">
        <v>141</v>
      </c>
      <c r="R385" s="4">
        <v>120</v>
      </c>
      <c r="S385" s="4">
        <v>1.5</v>
      </c>
      <c r="T385" s="4"/>
      <c r="U385" s="4"/>
      <c r="V385" s="4"/>
      <c r="W385" s="48"/>
      <c r="X385" s="4"/>
      <c r="Y385" s="4"/>
      <c r="Z385" s="4"/>
      <c r="AA385" s="4"/>
      <c r="AB385" s="4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</row>
    <row r="386" spans="1:50" s="22" customFormat="1" ht="17" x14ac:dyDescent="0.2">
      <c r="A386" s="21" t="s">
        <v>164</v>
      </c>
      <c r="B386" s="21" t="s">
        <v>45</v>
      </c>
      <c r="C386" s="27" t="s">
        <v>0</v>
      </c>
      <c r="D386" s="2"/>
      <c r="E386" s="2"/>
      <c r="H386" s="22" t="s">
        <v>33</v>
      </c>
      <c r="I386" s="65" t="s">
        <v>1007</v>
      </c>
      <c r="J386" s="4">
        <v>89.6</v>
      </c>
      <c r="K386" s="4">
        <v>4</v>
      </c>
      <c r="L386" s="4">
        <v>232</v>
      </c>
      <c r="M386" s="4">
        <v>0.47</v>
      </c>
      <c r="N386" s="4">
        <v>27</v>
      </c>
      <c r="O386" s="4">
        <v>0.21</v>
      </c>
      <c r="P386" s="4">
        <f t="shared" si="74"/>
        <v>0</v>
      </c>
      <c r="Q386" s="4">
        <v>129</v>
      </c>
      <c r="R386" s="4">
        <v>35.299999999999997</v>
      </c>
      <c r="S386" s="4">
        <v>2.2599999999999998</v>
      </c>
      <c r="T386" s="4"/>
      <c r="U386" s="4"/>
      <c r="V386" s="4"/>
      <c r="W386" s="4"/>
      <c r="X386" s="4"/>
      <c r="Y386" s="4"/>
      <c r="Z386" s="4"/>
      <c r="AA386" s="4"/>
      <c r="AB386" s="4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</row>
    <row r="387" spans="1:50" s="22" customFormat="1" ht="34" x14ac:dyDescent="0.2">
      <c r="A387" s="25" t="s">
        <v>161</v>
      </c>
      <c r="B387" s="25" t="s">
        <v>45</v>
      </c>
      <c r="D387" s="2"/>
      <c r="E387" s="2"/>
      <c r="H387" s="22" t="s">
        <v>33</v>
      </c>
      <c r="I387" s="65" t="s">
        <v>1009</v>
      </c>
      <c r="J387" s="4"/>
      <c r="K387" s="4">
        <v>0.93</v>
      </c>
      <c r="L387" s="4">
        <v>290</v>
      </c>
      <c r="M387" s="4">
        <v>2.2000000000000002</v>
      </c>
      <c r="N387" s="4"/>
      <c r="O387" s="4">
        <v>0.26</v>
      </c>
      <c r="P387" s="4">
        <f t="shared" si="74"/>
        <v>0</v>
      </c>
      <c r="Q387" s="4"/>
      <c r="R387" s="4">
        <v>117</v>
      </c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23"/>
      <c r="AD387" s="23"/>
      <c r="AE387" s="23"/>
      <c r="AF387" s="23"/>
      <c r="AG387" s="5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</row>
    <row r="388" spans="1:50" s="22" customFormat="1" ht="34" x14ac:dyDescent="0.2">
      <c r="A388" s="25" t="s">
        <v>164</v>
      </c>
      <c r="B388" s="25" t="s">
        <v>45</v>
      </c>
      <c r="D388" s="2"/>
      <c r="E388" s="2"/>
      <c r="H388" s="22" t="s">
        <v>33</v>
      </c>
      <c r="I388" s="65" t="s">
        <v>1009</v>
      </c>
      <c r="J388" s="4"/>
      <c r="K388" s="4">
        <v>0.95</v>
      </c>
      <c r="L388" s="4">
        <v>192</v>
      </c>
      <c r="M388" s="4">
        <v>0.48</v>
      </c>
      <c r="N388" s="4"/>
      <c r="O388" s="4">
        <v>0.3</v>
      </c>
      <c r="P388" s="4">
        <f t="shared" si="74"/>
        <v>0</v>
      </c>
      <c r="Q388" s="4"/>
      <c r="R388" s="4">
        <v>64</v>
      </c>
      <c r="S388" s="4">
        <v>1.86</v>
      </c>
      <c r="T388" s="4"/>
      <c r="U388" s="4"/>
      <c r="V388" s="4"/>
      <c r="W388" s="4"/>
      <c r="X388" s="4"/>
      <c r="Y388" s="4"/>
      <c r="Z388" s="4"/>
      <c r="AA388" s="4"/>
      <c r="AB388" s="4"/>
      <c r="AC388" s="23"/>
      <c r="AD388" s="23"/>
      <c r="AE388" s="23"/>
      <c r="AF388" s="23"/>
      <c r="AG388" s="5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</row>
    <row r="389" spans="1:50" s="22" customFormat="1" ht="34" x14ac:dyDescent="0.2">
      <c r="A389" s="21" t="s">
        <v>161</v>
      </c>
      <c r="B389" s="25" t="s">
        <v>45</v>
      </c>
      <c r="D389" s="2"/>
      <c r="E389" s="2"/>
      <c r="H389" s="22" t="s">
        <v>33</v>
      </c>
      <c r="I389" s="65" t="s">
        <v>1009</v>
      </c>
      <c r="J389" s="4"/>
      <c r="K389" s="4">
        <v>1.01</v>
      </c>
      <c r="L389" s="4">
        <v>293</v>
      </c>
      <c r="M389" s="4">
        <v>2.67</v>
      </c>
      <c r="N389" s="4"/>
      <c r="O389" s="4">
        <v>0.27</v>
      </c>
      <c r="P389" s="4">
        <f t="shared" si="74"/>
        <v>0</v>
      </c>
      <c r="Q389" s="4"/>
      <c r="R389" s="4">
        <v>125</v>
      </c>
      <c r="S389" s="4">
        <v>1.68</v>
      </c>
      <c r="T389" s="4"/>
      <c r="U389" s="4"/>
      <c r="V389" s="4"/>
      <c r="W389" s="4"/>
      <c r="X389" s="4"/>
      <c r="Y389" s="4"/>
      <c r="Z389" s="4"/>
      <c r="AA389" s="4"/>
      <c r="AB389" s="4"/>
      <c r="AC389" s="23"/>
      <c r="AD389" s="23"/>
      <c r="AE389" s="23"/>
      <c r="AF389" s="23"/>
      <c r="AG389" s="5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</row>
    <row r="390" spans="1:50" s="22" customFormat="1" ht="34" x14ac:dyDescent="0.2">
      <c r="A390" s="25" t="s">
        <v>161</v>
      </c>
      <c r="B390" s="25" t="s">
        <v>45</v>
      </c>
      <c r="D390" s="2"/>
      <c r="E390" s="2"/>
      <c r="H390" s="22" t="s">
        <v>33</v>
      </c>
      <c r="I390" s="65" t="s">
        <v>1009</v>
      </c>
      <c r="J390" s="4"/>
      <c r="K390" s="4">
        <v>0.87</v>
      </c>
      <c r="L390" s="4">
        <v>341</v>
      </c>
      <c r="M390" s="4">
        <v>0.96</v>
      </c>
      <c r="N390" s="4"/>
      <c r="O390" s="4">
        <v>0.3</v>
      </c>
      <c r="P390" s="4">
        <f t="shared" si="74"/>
        <v>0</v>
      </c>
      <c r="Q390" s="4"/>
      <c r="R390" s="4">
        <v>84</v>
      </c>
      <c r="S390" s="4">
        <v>1.1000000000000001</v>
      </c>
      <c r="T390" s="4"/>
      <c r="U390" s="4"/>
      <c r="V390" s="4"/>
      <c r="W390" s="4"/>
      <c r="X390" s="4"/>
      <c r="Y390" s="4"/>
      <c r="Z390" s="4"/>
      <c r="AA390" s="4"/>
      <c r="AB390" s="4"/>
      <c r="AC390" s="23"/>
      <c r="AD390" s="23"/>
      <c r="AE390" s="23"/>
      <c r="AF390" s="23"/>
      <c r="AG390" s="5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</row>
    <row r="391" spans="1:50" s="22" customFormat="1" ht="34" x14ac:dyDescent="0.2">
      <c r="A391" s="25" t="s">
        <v>161</v>
      </c>
      <c r="B391" s="25" t="s">
        <v>45</v>
      </c>
      <c r="D391" s="2"/>
      <c r="E391" s="2"/>
      <c r="H391" s="22" t="s">
        <v>33</v>
      </c>
      <c r="I391" s="65" t="s">
        <v>1009</v>
      </c>
      <c r="J391" s="4"/>
      <c r="K391" s="4">
        <v>0.74</v>
      </c>
      <c r="L391" s="4">
        <v>303</v>
      </c>
      <c r="M391" s="4">
        <v>0.83</v>
      </c>
      <c r="N391" s="4"/>
      <c r="O391" s="4">
        <v>0.23</v>
      </c>
      <c r="P391" s="4" t="s">
        <v>0</v>
      </c>
      <c r="Q391" s="4"/>
      <c r="R391" s="4">
        <v>101</v>
      </c>
      <c r="S391" s="4">
        <v>0.66</v>
      </c>
      <c r="T391" s="4"/>
      <c r="U391" s="4"/>
      <c r="V391" s="4"/>
      <c r="W391" s="4"/>
      <c r="X391" s="4"/>
      <c r="Y391" s="4"/>
      <c r="Z391" s="4"/>
      <c r="AA391" s="4"/>
      <c r="AB391" s="4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</row>
    <row r="392" spans="1:50" s="22" customFormat="1" ht="34" x14ac:dyDescent="0.2">
      <c r="A392" s="21" t="s">
        <v>161</v>
      </c>
      <c r="B392" s="21" t="s">
        <v>45</v>
      </c>
      <c r="D392" s="2"/>
      <c r="E392" s="2"/>
      <c r="H392" s="22" t="s">
        <v>33</v>
      </c>
      <c r="I392" s="65" t="s">
        <v>1010</v>
      </c>
      <c r="J392" s="4">
        <v>89.7</v>
      </c>
      <c r="K392" s="4">
        <v>0.95</v>
      </c>
      <c r="L392" s="4">
        <v>202</v>
      </c>
      <c r="M392" s="4">
        <v>1.2</v>
      </c>
      <c r="N392" s="4">
        <v>45</v>
      </c>
      <c r="O392" s="4"/>
      <c r="P392" s="4">
        <f t="shared" ref="P392" si="75">AN392</f>
        <v>0</v>
      </c>
      <c r="Q392" s="4"/>
      <c r="R392" s="4">
        <v>86</v>
      </c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</row>
    <row r="393" spans="1:50" s="71" customFormat="1" x14ac:dyDescent="0.2">
      <c r="A393" s="70" t="s">
        <v>161</v>
      </c>
      <c r="B393" s="70" t="s">
        <v>45</v>
      </c>
      <c r="C393" s="71" t="s">
        <v>175</v>
      </c>
      <c r="D393" s="71" t="s">
        <v>25</v>
      </c>
      <c r="E393" s="71" t="s">
        <v>46</v>
      </c>
      <c r="F393" s="71" t="s">
        <v>782</v>
      </c>
      <c r="H393" s="71" t="s">
        <v>33</v>
      </c>
      <c r="I393" s="87"/>
      <c r="J393" s="72">
        <f t="shared" ref="J393" si="76">AVERAGEIF(J383:J392, "&lt;&gt;0")</f>
        <v>87.56</v>
      </c>
      <c r="K393" s="72">
        <f t="shared" ref="K393:S393" si="77">AVERAGEIF(K383:K392, "&lt;&gt;0")</f>
        <v>1.6049999999999998</v>
      </c>
      <c r="L393" s="72">
        <f t="shared" si="77"/>
        <v>238.7</v>
      </c>
      <c r="M393" s="72">
        <f t="shared" si="77"/>
        <v>1.5509999999999999</v>
      </c>
      <c r="N393" s="72">
        <f t="shared" si="77"/>
        <v>51.75</v>
      </c>
      <c r="O393" s="72">
        <f t="shared" si="77"/>
        <v>0.32124999999999998</v>
      </c>
      <c r="P393" s="72">
        <f>AVERAGE(P383:P392)</f>
        <v>0</v>
      </c>
      <c r="Q393" s="72">
        <f t="shared" si="77"/>
        <v>99.333333333333329</v>
      </c>
      <c r="R393" s="72">
        <f t="shared" si="77"/>
        <v>91.33</v>
      </c>
      <c r="S393" s="72">
        <f t="shared" si="77"/>
        <v>1.51</v>
      </c>
      <c r="T393" s="72"/>
      <c r="U393" s="72"/>
      <c r="V393" s="72"/>
      <c r="W393" s="72"/>
      <c r="X393" s="72"/>
      <c r="Y393" s="72"/>
      <c r="Z393" s="72"/>
      <c r="AA393" s="72"/>
      <c r="AB393" s="72"/>
      <c r="AC393" s="73"/>
      <c r="AD393" s="73"/>
      <c r="AE393" s="73"/>
      <c r="AF393" s="73"/>
      <c r="AG393" s="73"/>
      <c r="AH393" s="73"/>
      <c r="AI393" s="73"/>
      <c r="AJ393" s="73"/>
      <c r="AK393" s="73"/>
      <c r="AL393" s="73"/>
      <c r="AM393" s="73"/>
      <c r="AN393" s="73"/>
      <c r="AO393" s="73"/>
      <c r="AP393" s="73"/>
      <c r="AQ393" s="73"/>
      <c r="AR393" s="73"/>
      <c r="AS393" s="73"/>
      <c r="AT393" s="73"/>
      <c r="AU393" s="73"/>
      <c r="AV393" s="73"/>
      <c r="AW393" s="73"/>
      <c r="AX393" s="73"/>
    </row>
    <row r="394" spans="1:50" ht="17" x14ac:dyDescent="0.2">
      <c r="A394" s="24" t="s">
        <v>164</v>
      </c>
      <c r="B394" s="24" t="s">
        <v>45</v>
      </c>
      <c r="C394" s="32" t="s">
        <v>0</v>
      </c>
      <c r="H394" s="2" t="s">
        <v>166</v>
      </c>
      <c r="I394" s="243" t="s">
        <v>1007</v>
      </c>
      <c r="J394" s="3">
        <v>90.1</v>
      </c>
      <c r="K394" s="3">
        <v>2.2999999999999998</v>
      </c>
      <c r="L394" s="3">
        <v>48</v>
      </c>
      <c r="M394" s="3">
        <v>0.88</v>
      </c>
      <c r="N394" s="3">
        <v>25</v>
      </c>
      <c r="O394" s="3">
        <v>0.4</v>
      </c>
      <c r="P394" s="4">
        <f t="shared" ref="P394:P398" si="78">AN394</f>
        <v>0</v>
      </c>
      <c r="Q394" s="3">
        <v>71</v>
      </c>
      <c r="R394" s="3">
        <v>93.2</v>
      </c>
      <c r="AI394" s="23"/>
      <c r="AN394" s="23"/>
    </row>
    <row r="395" spans="1:50" ht="34" x14ac:dyDescent="0.2">
      <c r="A395" s="24" t="s">
        <v>161</v>
      </c>
      <c r="B395" s="24" t="s">
        <v>45</v>
      </c>
      <c r="H395" s="2" t="s">
        <v>166</v>
      </c>
      <c r="I395" s="243" t="s">
        <v>1009</v>
      </c>
      <c r="K395" s="3">
        <v>1.07</v>
      </c>
      <c r="L395" s="3">
        <v>37</v>
      </c>
      <c r="M395" s="3">
        <v>1.21</v>
      </c>
      <c r="O395" s="3">
        <v>0.68</v>
      </c>
      <c r="P395" s="4">
        <f t="shared" si="78"/>
        <v>0</v>
      </c>
      <c r="R395" s="3">
        <v>107</v>
      </c>
      <c r="S395" s="3">
        <v>0.56000000000000005</v>
      </c>
      <c r="AN395" s="23"/>
    </row>
    <row r="396" spans="1:50" ht="34" x14ac:dyDescent="0.2">
      <c r="A396" s="31" t="s">
        <v>161</v>
      </c>
      <c r="B396" s="24" t="s">
        <v>45</v>
      </c>
      <c r="H396" s="2" t="s">
        <v>166</v>
      </c>
      <c r="I396" s="243" t="s">
        <v>1009</v>
      </c>
      <c r="K396" s="3">
        <v>0.97</v>
      </c>
      <c r="L396" s="3">
        <v>39</v>
      </c>
      <c r="M396" s="3">
        <v>0.98</v>
      </c>
      <c r="O396" s="3">
        <v>0.64</v>
      </c>
      <c r="P396" s="4">
        <f t="shared" si="78"/>
        <v>0</v>
      </c>
      <c r="R396" s="3">
        <v>91</v>
      </c>
      <c r="S396" s="3">
        <v>0.39</v>
      </c>
      <c r="AN396" s="23"/>
    </row>
    <row r="397" spans="1:50" ht="34" x14ac:dyDescent="0.2">
      <c r="A397" s="31" t="s">
        <v>164</v>
      </c>
      <c r="B397" s="24" t="s">
        <v>45</v>
      </c>
      <c r="C397" s="2" t="s">
        <v>0</v>
      </c>
      <c r="H397" s="2" t="s">
        <v>166</v>
      </c>
      <c r="I397" s="243" t="s">
        <v>1009</v>
      </c>
      <c r="K397" s="3">
        <v>1.05</v>
      </c>
      <c r="L397" s="3">
        <v>24</v>
      </c>
      <c r="M397" s="3">
        <v>1.86</v>
      </c>
      <c r="O397" s="3">
        <v>0.64</v>
      </c>
      <c r="P397" s="4">
        <f t="shared" si="78"/>
        <v>0</v>
      </c>
      <c r="R397" s="3">
        <v>97</v>
      </c>
      <c r="S397" s="3">
        <v>1.1399999999999999</v>
      </c>
      <c r="AN397" s="23"/>
    </row>
    <row r="398" spans="1:50" ht="34" x14ac:dyDescent="0.2">
      <c r="A398" s="31" t="s">
        <v>161</v>
      </c>
      <c r="B398" s="24" t="s">
        <v>45</v>
      </c>
      <c r="H398" s="2" t="s">
        <v>166</v>
      </c>
      <c r="I398" s="243" t="s">
        <v>1009</v>
      </c>
      <c r="K398" s="3">
        <v>0.99</v>
      </c>
      <c r="L398" s="3">
        <v>62.1</v>
      </c>
      <c r="M398" s="3">
        <v>0.93</v>
      </c>
      <c r="O398" s="3">
        <v>0.68</v>
      </c>
      <c r="P398" s="4">
        <f t="shared" si="78"/>
        <v>0</v>
      </c>
      <c r="R398" s="3">
        <v>89</v>
      </c>
      <c r="S398" s="3">
        <v>0.51</v>
      </c>
      <c r="AN398" s="23"/>
    </row>
    <row r="399" spans="1:50" ht="34" x14ac:dyDescent="0.2">
      <c r="A399" s="31" t="s">
        <v>161</v>
      </c>
      <c r="B399" s="24" t="s">
        <v>45</v>
      </c>
      <c r="H399" s="2" t="s">
        <v>166</v>
      </c>
      <c r="I399" s="243" t="s">
        <v>1009</v>
      </c>
      <c r="K399" s="3">
        <v>1.0900000000000001</v>
      </c>
      <c r="L399" s="3">
        <v>70</v>
      </c>
      <c r="M399" s="3">
        <v>0.27</v>
      </c>
      <c r="O399" s="3">
        <v>0.31</v>
      </c>
      <c r="P399" s="4" t="s">
        <v>0</v>
      </c>
      <c r="R399" s="3">
        <v>73</v>
      </c>
      <c r="S399" s="3">
        <v>1.8</v>
      </c>
    </row>
    <row r="400" spans="1:50" ht="34" x14ac:dyDescent="0.2">
      <c r="A400" s="34" t="s">
        <v>161</v>
      </c>
      <c r="B400" s="24" t="s">
        <v>45</v>
      </c>
      <c r="C400" s="33"/>
      <c r="H400" s="2" t="s">
        <v>166</v>
      </c>
      <c r="I400" s="245" t="s">
        <v>1010</v>
      </c>
      <c r="J400" s="36">
        <v>89.2</v>
      </c>
      <c r="K400" s="36">
        <v>1.4</v>
      </c>
      <c r="L400" s="36">
        <v>101</v>
      </c>
      <c r="M400" s="36">
        <v>1.2</v>
      </c>
      <c r="N400" s="3">
        <v>23</v>
      </c>
      <c r="P400" s="4">
        <f t="shared" ref="P400" si="79">AN400</f>
        <v>0</v>
      </c>
      <c r="R400" s="36">
        <v>109</v>
      </c>
      <c r="T400" s="36"/>
      <c r="U400" s="36"/>
      <c r="V400" s="36"/>
      <c r="W400" s="36"/>
      <c r="Z400" s="36"/>
      <c r="AA400" s="36"/>
      <c r="AB400" s="36"/>
      <c r="AI400" s="23"/>
      <c r="AN400" s="23"/>
    </row>
    <row r="401" spans="1:50" s="71" customFormat="1" x14ac:dyDescent="0.2">
      <c r="A401" s="77" t="s">
        <v>161</v>
      </c>
      <c r="B401" s="70" t="s">
        <v>45</v>
      </c>
      <c r="C401" s="71" t="s">
        <v>176</v>
      </c>
      <c r="D401" s="71" t="s">
        <v>56</v>
      </c>
      <c r="E401" s="71" t="s">
        <v>46</v>
      </c>
      <c r="F401" s="71" t="s">
        <v>782</v>
      </c>
      <c r="H401" s="71" t="s">
        <v>166</v>
      </c>
      <c r="I401" s="87"/>
      <c r="J401" s="72">
        <f t="shared" ref="J401" si="80">AVERAGEIF(J394:J400, "&lt;&gt;0")</f>
        <v>89.65</v>
      </c>
      <c r="K401" s="72">
        <f t="shared" ref="K401:S401" si="81">AVERAGEIF(K394:K400, "&lt;&gt;0")</f>
        <v>1.2671428571428571</v>
      </c>
      <c r="L401" s="72">
        <f t="shared" si="81"/>
        <v>54.442857142857143</v>
      </c>
      <c r="M401" s="72">
        <f t="shared" si="81"/>
        <v>1.0471428571428569</v>
      </c>
      <c r="N401" s="72">
        <f t="shared" si="81"/>
        <v>24</v>
      </c>
      <c r="O401" s="72">
        <f t="shared" si="81"/>
        <v>0.55833333333333346</v>
      </c>
      <c r="P401" s="72">
        <f>AVERAGE(P394:P400)</f>
        <v>0</v>
      </c>
      <c r="Q401" s="72">
        <f t="shared" si="81"/>
        <v>71</v>
      </c>
      <c r="R401" s="72">
        <f t="shared" si="81"/>
        <v>94.171428571428578</v>
      </c>
      <c r="S401" s="72">
        <f t="shared" si="81"/>
        <v>0.87999999999999989</v>
      </c>
      <c r="T401" s="72"/>
      <c r="U401" s="72"/>
      <c r="V401" s="72"/>
      <c r="W401" s="72"/>
      <c r="X401" s="72"/>
      <c r="Y401" s="72"/>
      <c r="Z401" s="72"/>
      <c r="AA401" s="72"/>
      <c r="AB401" s="72"/>
      <c r="AC401" s="73"/>
      <c r="AD401" s="73"/>
      <c r="AE401" s="73"/>
      <c r="AF401" s="73"/>
      <c r="AG401" s="73"/>
      <c r="AH401" s="73"/>
      <c r="AI401" s="73"/>
      <c r="AJ401" s="73"/>
      <c r="AK401" s="73"/>
      <c r="AL401" s="73"/>
      <c r="AM401" s="73"/>
      <c r="AN401" s="73"/>
      <c r="AO401" s="73"/>
      <c r="AP401" s="73"/>
      <c r="AQ401" s="73"/>
      <c r="AR401" s="73"/>
      <c r="AS401" s="73"/>
      <c r="AT401" s="73"/>
      <c r="AU401" s="73"/>
      <c r="AV401" s="73"/>
      <c r="AW401" s="73"/>
      <c r="AX401" s="73"/>
    </row>
    <row r="402" spans="1:50" s="22" customFormat="1" ht="34" x14ac:dyDescent="0.2">
      <c r="A402" s="47" t="s">
        <v>161</v>
      </c>
      <c r="B402" s="24" t="s">
        <v>45</v>
      </c>
      <c r="C402" s="28" t="s">
        <v>0</v>
      </c>
      <c r="D402" s="2"/>
      <c r="E402" s="2"/>
      <c r="F402" s="28"/>
      <c r="G402" s="28"/>
      <c r="H402" s="28" t="s">
        <v>33</v>
      </c>
      <c r="I402" s="242" t="s">
        <v>1010</v>
      </c>
      <c r="J402" s="48">
        <v>84.8</v>
      </c>
      <c r="K402" s="48">
        <v>1.6</v>
      </c>
      <c r="L402" s="48">
        <v>61</v>
      </c>
      <c r="M402" s="4">
        <v>1.5</v>
      </c>
      <c r="N402" s="4">
        <v>26</v>
      </c>
      <c r="O402" s="4"/>
      <c r="P402" s="4">
        <f t="shared" ref="P402:P403" si="82">AN402</f>
        <v>0</v>
      </c>
      <c r="Q402" s="4"/>
      <c r="R402" s="48">
        <v>98</v>
      </c>
      <c r="S402" s="4"/>
      <c r="T402" s="48"/>
      <c r="U402" s="48"/>
      <c r="V402" s="48"/>
      <c r="W402" s="4"/>
      <c r="X402" s="4"/>
      <c r="Y402" s="4"/>
      <c r="Z402" s="48"/>
      <c r="AA402" s="48"/>
      <c r="AB402" s="48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</row>
    <row r="403" spans="1:50" ht="17" x14ac:dyDescent="0.2">
      <c r="A403" s="24" t="s">
        <v>164</v>
      </c>
      <c r="B403" s="24" t="s">
        <v>45</v>
      </c>
      <c r="C403" s="32" t="s">
        <v>0</v>
      </c>
      <c r="F403" s="28"/>
      <c r="G403" s="28"/>
      <c r="H403" s="28" t="s">
        <v>33</v>
      </c>
      <c r="I403" s="243" t="s">
        <v>1007</v>
      </c>
      <c r="J403" s="3">
        <v>86</v>
      </c>
      <c r="K403" s="3">
        <v>3.8</v>
      </c>
      <c r="L403" s="3">
        <v>42</v>
      </c>
      <c r="M403" s="3">
        <v>1.4</v>
      </c>
      <c r="N403" s="3">
        <v>23</v>
      </c>
      <c r="O403" s="3">
        <v>0.42</v>
      </c>
      <c r="P403" s="4">
        <f t="shared" si="82"/>
        <v>0</v>
      </c>
      <c r="Q403" s="3">
        <v>61</v>
      </c>
      <c r="R403" s="3">
        <v>85</v>
      </c>
      <c r="S403" s="3">
        <v>0.88</v>
      </c>
      <c r="AN403" s="23"/>
    </row>
    <row r="404" spans="1:50" s="71" customFormat="1" ht="15" customHeight="1" x14ac:dyDescent="0.2">
      <c r="A404" s="82" t="s">
        <v>161</v>
      </c>
      <c r="B404" s="82" t="s">
        <v>177</v>
      </c>
      <c r="C404" s="79" t="s">
        <v>178</v>
      </c>
      <c r="D404" s="71" t="s">
        <v>56</v>
      </c>
      <c r="E404" s="79" t="s">
        <v>46</v>
      </c>
      <c r="F404" s="71" t="s">
        <v>782</v>
      </c>
      <c r="G404" s="79"/>
      <c r="H404" s="79" t="s">
        <v>33</v>
      </c>
      <c r="I404" s="87"/>
      <c r="J404" s="72">
        <f t="shared" ref="J404" si="83">AVERAGEIF(J402:J403, "&lt;&gt;0")</f>
        <v>85.4</v>
      </c>
      <c r="K404" s="72">
        <f>AVERAGEIF(K402:K403, "&lt;&gt;0")</f>
        <v>2.7</v>
      </c>
      <c r="L404" s="72">
        <f>AVERAGEIF(L402:L403, "&lt;&gt;0")</f>
        <v>51.5</v>
      </c>
      <c r="M404" s="72">
        <f>AVERAGEIF(M402:M403, "&lt;&gt;0")</f>
        <v>1.45</v>
      </c>
      <c r="N404" s="72">
        <f>AVERAGEIF(N402:N403, "&lt;&gt;0")</f>
        <v>24.5</v>
      </c>
      <c r="O404" s="72">
        <f>AVERAGEIF(O402:O403, "&lt;&gt;0")</f>
        <v>0.42</v>
      </c>
      <c r="P404" s="72">
        <f>AVERAGE(P402:P403)</f>
        <v>0</v>
      </c>
      <c r="Q404" s="72">
        <f>AVERAGEIF(Q402:Q403, "&lt;&gt;0")</f>
        <v>61</v>
      </c>
      <c r="R404" s="72">
        <f>AVERAGEIF(R402:R403, "&lt;&gt;0")</f>
        <v>91.5</v>
      </c>
      <c r="S404" s="72">
        <f>AVERAGEIF(S402:S403, "&lt;&gt;0")</f>
        <v>0.88</v>
      </c>
      <c r="T404" s="72"/>
      <c r="U404" s="72"/>
      <c r="V404" s="72"/>
      <c r="W404" s="72"/>
      <c r="X404" s="72"/>
      <c r="Y404" s="72"/>
      <c r="Z404" s="72"/>
      <c r="AA404" s="72"/>
      <c r="AB404" s="72"/>
      <c r="AC404" s="73"/>
      <c r="AD404" s="73"/>
      <c r="AE404" s="73"/>
      <c r="AF404" s="73"/>
      <c r="AG404" s="73"/>
      <c r="AH404" s="73"/>
      <c r="AI404" s="73"/>
      <c r="AJ404" s="73"/>
      <c r="AK404" s="73"/>
      <c r="AL404" s="73"/>
      <c r="AM404" s="73"/>
      <c r="AN404" s="73"/>
      <c r="AO404" s="73"/>
      <c r="AP404" s="73"/>
      <c r="AQ404" s="73"/>
      <c r="AR404" s="73"/>
      <c r="AS404" s="73"/>
      <c r="AT404" s="73"/>
      <c r="AU404" s="73"/>
      <c r="AV404" s="73"/>
      <c r="AW404" s="73"/>
      <c r="AX404" s="73"/>
    </row>
    <row r="405" spans="1:50" ht="34" x14ac:dyDescent="0.2">
      <c r="A405" s="31" t="s">
        <v>161</v>
      </c>
      <c r="B405" s="24" t="s">
        <v>45</v>
      </c>
      <c r="H405" s="2" t="s">
        <v>33</v>
      </c>
      <c r="I405" s="243" t="s">
        <v>1009</v>
      </c>
      <c r="K405" s="3">
        <v>0.06</v>
      </c>
      <c r="L405" s="3">
        <v>67</v>
      </c>
      <c r="M405" s="3">
        <v>2.37</v>
      </c>
      <c r="N405" s="36"/>
      <c r="O405" s="3">
        <v>0.96</v>
      </c>
      <c r="P405" s="4" t="s">
        <v>0</v>
      </c>
      <c r="R405" s="3">
        <v>41</v>
      </c>
      <c r="S405" s="3">
        <v>0.01</v>
      </c>
      <c r="X405" s="36"/>
    </row>
    <row r="406" spans="1:50" ht="34" x14ac:dyDescent="0.2">
      <c r="A406" s="24" t="s">
        <v>161</v>
      </c>
      <c r="B406" s="24" t="s">
        <v>45</v>
      </c>
      <c r="H406" s="2" t="s">
        <v>33</v>
      </c>
      <c r="I406" s="243" t="s">
        <v>1009</v>
      </c>
      <c r="K406" s="3">
        <v>0.62</v>
      </c>
      <c r="L406" s="3">
        <v>50</v>
      </c>
      <c r="M406" s="3">
        <v>1.1200000000000001</v>
      </c>
      <c r="N406" s="36"/>
      <c r="O406" s="3">
        <v>0.19</v>
      </c>
      <c r="P406" s="4" t="s">
        <v>0</v>
      </c>
      <c r="R406" s="3">
        <v>48</v>
      </c>
      <c r="S406" s="3">
        <v>0.03</v>
      </c>
      <c r="X406" s="36"/>
    </row>
    <row r="407" spans="1:50" ht="34" x14ac:dyDescent="0.2">
      <c r="A407" s="24" t="s">
        <v>161</v>
      </c>
      <c r="B407" s="24" t="s">
        <v>45</v>
      </c>
      <c r="H407" s="2" t="s">
        <v>33</v>
      </c>
      <c r="I407" s="243" t="s">
        <v>1010</v>
      </c>
      <c r="J407" s="3">
        <v>90.5</v>
      </c>
      <c r="K407" s="3">
        <v>0.6</v>
      </c>
      <c r="L407" s="3">
        <v>54</v>
      </c>
      <c r="M407" s="3">
        <v>0.8</v>
      </c>
      <c r="N407" s="3">
        <v>20</v>
      </c>
      <c r="P407" s="4">
        <f t="shared" ref="P407:P409" si="84">AN407</f>
        <v>0</v>
      </c>
      <c r="R407" s="3">
        <v>47</v>
      </c>
      <c r="AI407" s="23"/>
      <c r="AN407" s="23"/>
    </row>
    <row r="408" spans="1:50" ht="34" x14ac:dyDescent="0.2">
      <c r="A408" s="24" t="s">
        <v>161</v>
      </c>
      <c r="B408" s="24" t="s">
        <v>45</v>
      </c>
      <c r="H408" s="2" t="s">
        <v>33</v>
      </c>
      <c r="I408" s="243" t="s">
        <v>1010</v>
      </c>
      <c r="J408" s="3">
        <v>91.7</v>
      </c>
      <c r="K408" s="3">
        <v>1</v>
      </c>
      <c r="L408" s="3">
        <v>43</v>
      </c>
      <c r="M408" s="3">
        <v>0.7</v>
      </c>
      <c r="N408" s="3">
        <v>17</v>
      </c>
      <c r="P408" s="4">
        <f t="shared" si="84"/>
        <v>0</v>
      </c>
      <c r="R408" s="3">
        <v>58</v>
      </c>
      <c r="AI408" s="23"/>
      <c r="AN408" s="23"/>
    </row>
    <row r="409" spans="1:50" ht="34" x14ac:dyDescent="0.2">
      <c r="A409" s="24" t="s">
        <v>161</v>
      </c>
      <c r="B409" s="24" t="s">
        <v>45</v>
      </c>
      <c r="H409" s="2" t="s">
        <v>33</v>
      </c>
      <c r="I409" s="243" t="s">
        <v>1010</v>
      </c>
      <c r="J409" s="3">
        <v>92.5</v>
      </c>
      <c r="K409" s="3">
        <v>0.09</v>
      </c>
      <c r="L409" s="3">
        <v>49</v>
      </c>
      <c r="M409" s="3">
        <v>0.5</v>
      </c>
      <c r="N409" s="3">
        <v>16</v>
      </c>
      <c r="P409" s="4">
        <f t="shared" si="84"/>
        <v>0</v>
      </c>
      <c r="R409" s="3">
        <v>50</v>
      </c>
      <c r="AI409" s="23"/>
      <c r="AN409" s="23"/>
    </row>
    <row r="410" spans="1:50" ht="34" x14ac:dyDescent="0.2">
      <c r="A410" s="31" t="s">
        <v>161</v>
      </c>
      <c r="B410" s="24" t="s">
        <v>45</v>
      </c>
      <c r="H410" s="2" t="s">
        <v>33</v>
      </c>
      <c r="I410" s="243" t="s">
        <v>1009</v>
      </c>
      <c r="K410" s="3">
        <v>0.62</v>
      </c>
      <c r="L410" s="3">
        <v>61.7</v>
      </c>
      <c r="M410" s="3">
        <v>0.4</v>
      </c>
      <c r="O410" s="3">
        <v>0.1</v>
      </c>
      <c r="P410" s="4" t="s">
        <v>0</v>
      </c>
      <c r="R410" s="3">
        <v>43</v>
      </c>
      <c r="S410" s="3">
        <v>0.02</v>
      </c>
    </row>
    <row r="411" spans="1:50" ht="34" x14ac:dyDescent="0.2">
      <c r="A411" s="24" t="s">
        <v>161</v>
      </c>
      <c r="B411" s="24" t="s">
        <v>45</v>
      </c>
      <c r="H411" s="2" t="s">
        <v>33</v>
      </c>
      <c r="I411" s="243" t="s">
        <v>1009</v>
      </c>
      <c r="K411" s="3">
        <v>0.69</v>
      </c>
      <c r="L411" s="3">
        <v>49</v>
      </c>
      <c r="M411" s="3">
        <v>0.31</v>
      </c>
      <c r="O411" s="3">
        <v>0.21</v>
      </c>
      <c r="P411" s="4" t="s">
        <v>0</v>
      </c>
      <c r="R411" s="3">
        <v>61</v>
      </c>
      <c r="S411" s="3">
        <v>1.0900000000000001</v>
      </c>
    </row>
    <row r="412" spans="1:50" ht="17" x14ac:dyDescent="0.2">
      <c r="A412" s="24" t="s">
        <v>164</v>
      </c>
      <c r="B412" s="24" t="s">
        <v>45</v>
      </c>
      <c r="H412" s="2" t="s">
        <v>33</v>
      </c>
      <c r="I412" s="243" t="s">
        <v>1007</v>
      </c>
      <c r="J412" s="3">
        <v>90.3</v>
      </c>
      <c r="K412" s="3">
        <v>2.1</v>
      </c>
      <c r="L412" s="3">
        <v>45</v>
      </c>
      <c r="M412" s="3">
        <v>0.8</v>
      </c>
      <c r="N412" s="3">
        <v>16</v>
      </c>
      <c r="O412" s="3">
        <v>0.22</v>
      </c>
      <c r="P412" s="4">
        <f t="shared" ref="P412:P415" si="85">AN412</f>
        <v>0</v>
      </c>
      <c r="Q412" s="3">
        <v>18</v>
      </c>
      <c r="R412" s="3">
        <v>57</v>
      </c>
      <c r="S412" s="3">
        <v>0.11</v>
      </c>
      <c r="AI412" s="23"/>
      <c r="AN412" s="23"/>
    </row>
    <row r="413" spans="1:50" ht="17" x14ac:dyDescent="0.2">
      <c r="A413" s="24" t="s">
        <v>164</v>
      </c>
      <c r="B413" s="24" t="s">
        <v>45</v>
      </c>
      <c r="H413" s="2" t="s">
        <v>33</v>
      </c>
      <c r="I413" s="243" t="s">
        <v>1007</v>
      </c>
      <c r="J413" s="3">
        <v>92.8</v>
      </c>
      <c r="K413" s="3">
        <v>2.5</v>
      </c>
      <c r="L413" s="3">
        <v>40</v>
      </c>
      <c r="M413" s="3">
        <v>0.47</v>
      </c>
      <c r="N413" s="3">
        <v>12</v>
      </c>
      <c r="O413" s="3">
        <v>0.18</v>
      </c>
      <c r="P413" s="4">
        <f t="shared" si="85"/>
        <v>0</v>
      </c>
      <c r="Q413" s="3">
        <v>43</v>
      </c>
      <c r="R413" s="3">
        <v>36.6</v>
      </c>
      <c r="S413" s="3">
        <v>0.15</v>
      </c>
      <c r="AI413" s="23"/>
      <c r="AN413" s="23"/>
    </row>
    <row r="414" spans="1:50" ht="17" x14ac:dyDescent="0.2">
      <c r="A414" s="24" t="s">
        <v>164</v>
      </c>
      <c r="B414" s="24" t="s">
        <v>45</v>
      </c>
      <c r="H414" s="2" t="s">
        <v>33</v>
      </c>
      <c r="I414" s="243" t="s">
        <v>1007</v>
      </c>
      <c r="J414" s="3">
        <v>92.5</v>
      </c>
      <c r="K414" s="3">
        <v>2.2999999999999998</v>
      </c>
      <c r="L414" s="3">
        <v>47</v>
      </c>
      <c r="M414" s="3">
        <v>0.56000000000000005</v>
      </c>
      <c r="N414" s="3">
        <v>15</v>
      </c>
      <c r="O414" s="3">
        <v>0.18</v>
      </c>
      <c r="P414" s="4">
        <f t="shared" si="85"/>
        <v>0</v>
      </c>
      <c r="Q414" s="3">
        <v>57</v>
      </c>
      <c r="R414" s="3">
        <v>42</v>
      </c>
      <c r="AI414" s="23"/>
      <c r="AN414" s="23"/>
    </row>
    <row r="415" spans="1:50" ht="17" x14ac:dyDescent="0.2">
      <c r="A415" s="24" t="s">
        <v>164</v>
      </c>
      <c r="B415" s="24" t="s">
        <v>45</v>
      </c>
      <c r="H415" s="2" t="s">
        <v>33</v>
      </c>
      <c r="I415" s="243" t="s">
        <v>1007</v>
      </c>
      <c r="J415" s="3">
        <v>91</v>
      </c>
      <c r="K415" s="3">
        <v>3.1</v>
      </c>
      <c r="L415" s="3">
        <v>35</v>
      </c>
      <c r="M415" s="3">
        <v>0.4</v>
      </c>
      <c r="N415" s="36">
        <v>28</v>
      </c>
      <c r="O415" s="3">
        <v>0.27</v>
      </c>
      <c r="P415" s="4">
        <f t="shared" si="85"/>
        <v>0</v>
      </c>
      <c r="Q415" s="3">
        <v>80</v>
      </c>
      <c r="R415" s="3">
        <v>31</v>
      </c>
      <c r="S415" s="3">
        <v>0.12</v>
      </c>
      <c r="X415" s="36"/>
      <c r="AI415" s="23"/>
      <c r="AN415" s="23"/>
    </row>
    <row r="416" spans="1:50" ht="17" x14ac:dyDescent="0.2">
      <c r="A416" s="24" t="s">
        <v>164</v>
      </c>
      <c r="B416" s="24" t="s">
        <v>45</v>
      </c>
      <c r="H416" s="2" t="s">
        <v>33</v>
      </c>
      <c r="I416" s="243" t="s">
        <v>1006</v>
      </c>
      <c r="J416" s="3">
        <v>92.4</v>
      </c>
      <c r="K416" s="3">
        <v>0.8</v>
      </c>
      <c r="L416" s="3">
        <v>49</v>
      </c>
      <c r="M416" s="3">
        <v>0.4</v>
      </c>
      <c r="P416" s="4" t="s">
        <v>0</v>
      </c>
      <c r="R416" s="3">
        <v>47</v>
      </c>
    </row>
    <row r="417" spans="1:50" ht="34" x14ac:dyDescent="0.2">
      <c r="A417" s="31" t="s">
        <v>161</v>
      </c>
      <c r="B417" s="24" t="s">
        <v>45</v>
      </c>
      <c r="H417" s="2" t="s">
        <v>33</v>
      </c>
      <c r="I417" s="243" t="s">
        <v>1009</v>
      </c>
      <c r="K417" s="3">
        <v>0.53</v>
      </c>
      <c r="L417" s="3">
        <v>38</v>
      </c>
      <c r="O417" s="3">
        <v>0.09</v>
      </c>
      <c r="P417" s="4">
        <f t="shared" ref="P417" si="86">AN417</f>
        <v>0</v>
      </c>
      <c r="R417" s="3">
        <v>45</v>
      </c>
      <c r="S417" s="3">
        <v>0.09</v>
      </c>
      <c r="AN417" s="23"/>
    </row>
    <row r="418" spans="1:50" s="71" customFormat="1" x14ac:dyDescent="0.2">
      <c r="A418" s="77" t="s">
        <v>161</v>
      </c>
      <c r="B418" s="70" t="s">
        <v>45</v>
      </c>
      <c r="C418" s="71" t="s">
        <v>179</v>
      </c>
      <c r="D418" s="71" t="s">
        <v>56</v>
      </c>
      <c r="E418" s="71" t="s">
        <v>46</v>
      </c>
      <c r="F418" s="71" t="s">
        <v>782</v>
      </c>
      <c r="H418" s="71" t="s">
        <v>33</v>
      </c>
      <c r="I418" s="87"/>
      <c r="J418" s="72">
        <f t="shared" ref="J418" si="87">AVERAGEIF(J405:J417, "&lt;&gt;0")</f>
        <v>91.712499999999991</v>
      </c>
      <c r="K418" s="72">
        <f t="shared" ref="K418:S418" si="88">AVERAGEIF(K405:K417, "&lt;&gt;0")</f>
        <v>1.1546153846153844</v>
      </c>
      <c r="L418" s="72">
        <f t="shared" si="88"/>
        <v>48.284615384615385</v>
      </c>
      <c r="M418" s="72">
        <f t="shared" si="88"/>
        <v>0.73583333333333334</v>
      </c>
      <c r="N418" s="72">
        <f t="shared" si="88"/>
        <v>17.714285714285715</v>
      </c>
      <c r="O418" s="72">
        <f t="shared" si="88"/>
        <v>0.26666666666666666</v>
      </c>
      <c r="P418" s="72">
        <f>AVERAGE(P405:P417)</f>
        <v>0</v>
      </c>
      <c r="Q418" s="72">
        <f t="shared" si="88"/>
        <v>49.5</v>
      </c>
      <c r="R418" s="72">
        <f t="shared" si="88"/>
        <v>46.661538461538463</v>
      </c>
      <c r="S418" s="72">
        <f t="shared" si="88"/>
        <v>0.20250000000000004</v>
      </c>
      <c r="T418" s="72"/>
      <c r="U418" s="72"/>
      <c r="V418" s="72"/>
      <c r="W418" s="72"/>
      <c r="X418" s="72"/>
      <c r="Y418" s="72"/>
      <c r="Z418" s="72"/>
      <c r="AA418" s="72"/>
      <c r="AB418" s="72"/>
      <c r="AC418" s="73"/>
      <c r="AD418" s="73"/>
      <c r="AE418" s="73"/>
      <c r="AF418" s="73"/>
      <c r="AG418" s="73"/>
      <c r="AH418" s="73"/>
      <c r="AI418" s="73"/>
      <c r="AJ418" s="73"/>
      <c r="AK418" s="73"/>
      <c r="AL418" s="73"/>
      <c r="AM418" s="73"/>
      <c r="AN418" s="73"/>
      <c r="AO418" s="73"/>
      <c r="AP418" s="73"/>
      <c r="AQ418" s="73"/>
      <c r="AR418" s="73"/>
      <c r="AS418" s="73"/>
      <c r="AT418" s="73"/>
      <c r="AU418" s="73"/>
      <c r="AV418" s="73"/>
      <c r="AW418" s="73"/>
      <c r="AX418" s="73"/>
    </row>
    <row r="419" spans="1:50" ht="34" x14ac:dyDescent="0.2">
      <c r="A419" s="31" t="s">
        <v>161</v>
      </c>
      <c r="B419" s="24" t="s">
        <v>45</v>
      </c>
      <c r="H419" s="2" t="s">
        <v>166</v>
      </c>
      <c r="I419" s="243" t="s">
        <v>1009</v>
      </c>
      <c r="K419" s="3">
        <v>1.29</v>
      </c>
      <c r="L419" s="3">
        <v>31.9</v>
      </c>
      <c r="M419" s="3">
        <v>1.9</v>
      </c>
      <c r="O419" s="3">
        <v>0.5</v>
      </c>
      <c r="P419" s="4">
        <f t="shared" ref="P419:P424" si="89">AN419</f>
        <v>0</v>
      </c>
      <c r="R419" s="3">
        <v>107</v>
      </c>
      <c r="AN419" s="23"/>
    </row>
    <row r="420" spans="1:50" ht="34" x14ac:dyDescent="0.2">
      <c r="A420" s="31" t="s">
        <v>161</v>
      </c>
      <c r="B420" s="24" t="s">
        <v>45</v>
      </c>
      <c r="H420" s="2" t="s">
        <v>166</v>
      </c>
      <c r="I420" s="243" t="s">
        <v>1009</v>
      </c>
      <c r="K420" s="3">
        <v>0.67</v>
      </c>
      <c r="L420" s="3">
        <v>26.1</v>
      </c>
      <c r="M420" s="3">
        <v>1.01</v>
      </c>
      <c r="O420" s="3">
        <v>0.19</v>
      </c>
      <c r="P420" s="4">
        <f t="shared" si="89"/>
        <v>0</v>
      </c>
      <c r="R420" s="3">
        <v>61</v>
      </c>
      <c r="S420" s="3">
        <v>0.18</v>
      </c>
      <c r="AN420" s="23"/>
    </row>
    <row r="421" spans="1:50" ht="34" x14ac:dyDescent="0.2">
      <c r="A421" s="24" t="s">
        <v>161</v>
      </c>
      <c r="B421" s="24" t="s">
        <v>45</v>
      </c>
      <c r="H421" s="2" t="s">
        <v>166</v>
      </c>
      <c r="I421" s="243" t="s">
        <v>1010</v>
      </c>
      <c r="J421" s="3">
        <v>91.1</v>
      </c>
      <c r="K421" s="3">
        <v>0.88</v>
      </c>
      <c r="L421" s="3">
        <v>25</v>
      </c>
      <c r="M421" s="3">
        <v>1</v>
      </c>
      <c r="N421" s="3">
        <v>20</v>
      </c>
      <c r="P421" s="4">
        <f t="shared" si="89"/>
        <v>0</v>
      </c>
      <c r="R421" s="3">
        <v>75</v>
      </c>
      <c r="AI421" s="23"/>
      <c r="AN421" s="23"/>
    </row>
    <row r="422" spans="1:50" ht="34" x14ac:dyDescent="0.2">
      <c r="A422" s="24" t="s">
        <v>161</v>
      </c>
      <c r="B422" s="24" t="s">
        <v>45</v>
      </c>
      <c r="H422" s="2" t="s">
        <v>166</v>
      </c>
      <c r="I422" s="243" t="s">
        <v>1009</v>
      </c>
      <c r="K422" s="3">
        <v>1.1499999999999999</v>
      </c>
      <c r="L422" s="3">
        <v>24</v>
      </c>
      <c r="M422" s="3">
        <v>0.73</v>
      </c>
      <c r="O422" s="3">
        <v>0.37</v>
      </c>
      <c r="P422" s="4">
        <f t="shared" si="89"/>
        <v>0</v>
      </c>
      <c r="R422" s="3">
        <v>121</v>
      </c>
      <c r="S422" s="3">
        <v>6.9999999999999999E-4</v>
      </c>
      <c r="AN422" s="23"/>
    </row>
    <row r="423" spans="1:50" ht="34" x14ac:dyDescent="0.2">
      <c r="A423" s="31" t="s">
        <v>161</v>
      </c>
      <c r="B423" s="24" t="s">
        <v>45</v>
      </c>
      <c r="H423" s="2" t="s">
        <v>166</v>
      </c>
      <c r="I423" s="243" t="s">
        <v>1009</v>
      </c>
      <c r="K423" s="3">
        <v>0.87</v>
      </c>
      <c r="L423" s="3">
        <v>30</v>
      </c>
      <c r="M423" s="3">
        <v>0.65</v>
      </c>
      <c r="O423" s="3">
        <v>0.28999999999999998</v>
      </c>
      <c r="P423" s="4">
        <f t="shared" si="89"/>
        <v>0</v>
      </c>
      <c r="R423" s="3">
        <v>98</v>
      </c>
      <c r="S423" s="3">
        <v>0.37</v>
      </c>
      <c r="AN423" s="23"/>
    </row>
    <row r="424" spans="1:50" ht="17" x14ac:dyDescent="0.2">
      <c r="A424" s="34" t="s">
        <v>164</v>
      </c>
      <c r="B424" s="34" t="s">
        <v>45</v>
      </c>
      <c r="H424" s="2" t="s">
        <v>166</v>
      </c>
      <c r="I424" s="245" t="s">
        <v>1007</v>
      </c>
      <c r="J424" s="36">
        <v>89.8</v>
      </c>
      <c r="K424" s="36">
        <v>3.2</v>
      </c>
      <c r="L424" s="36">
        <v>33</v>
      </c>
      <c r="M424" s="3">
        <v>0.73</v>
      </c>
      <c r="N424" s="3">
        <v>20</v>
      </c>
      <c r="O424" s="3">
        <v>0.64</v>
      </c>
      <c r="P424" s="4">
        <f t="shared" si="89"/>
        <v>0</v>
      </c>
      <c r="Q424" s="3">
        <v>57</v>
      </c>
      <c r="R424" s="36">
        <v>88.1</v>
      </c>
      <c r="S424" s="3">
        <v>0.04</v>
      </c>
      <c r="T424" s="36"/>
      <c r="U424" s="36"/>
      <c r="V424" s="36"/>
      <c r="Z424" s="36"/>
      <c r="AA424" s="36"/>
      <c r="AB424" s="36"/>
      <c r="AI424" s="23"/>
      <c r="AN424" s="23"/>
    </row>
    <row r="425" spans="1:50" ht="17" x14ac:dyDescent="0.2">
      <c r="A425" s="24" t="s">
        <v>164</v>
      </c>
      <c r="B425" s="24" t="s">
        <v>45</v>
      </c>
      <c r="H425" s="2" t="s">
        <v>166</v>
      </c>
      <c r="I425" s="243" t="s">
        <v>1007</v>
      </c>
      <c r="J425" s="3">
        <v>92.1</v>
      </c>
      <c r="K425" s="3">
        <v>2</v>
      </c>
      <c r="L425" s="3">
        <v>22</v>
      </c>
      <c r="M425" s="3">
        <v>0.42</v>
      </c>
      <c r="N425" s="36">
        <v>15</v>
      </c>
      <c r="O425" s="3">
        <v>0.27</v>
      </c>
      <c r="P425" s="4" t="s">
        <v>0</v>
      </c>
      <c r="Q425" s="3">
        <v>57</v>
      </c>
      <c r="R425" s="3">
        <v>48.2</v>
      </c>
      <c r="S425" s="3">
        <v>0.08</v>
      </c>
      <c r="X425" s="36"/>
    </row>
    <row r="426" spans="1:50" ht="34" x14ac:dyDescent="0.2">
      <c r="A426" s="31" t="s">
        <v>161</v>
      </c>
      <c r="B426" s="24" t="s">
        <v>45</v>
      </c>
      <c r="H426" s="2" t="s">
        <v>166</v>
      </c>
      <c r="I426" s="243" t="s">
        <v>1009</v>
      </c>
      <c r="K426" s="3">
        <v>0.78</v>
      </c>
      <c r="L426" s="3">
        <v>16</v>
      </c>
      <c r="M426" s="3">
        <v>0.36</v>
      </c>
      <c r="O426" s="3">
        <v>0.32</v>
      </c>
      <c r="P426" s="4" t="s">
        <v>0</v>
      </c>
      <c r="R426" s="3">
        <v>87</v>
      </c>
      <c r="S426" s="3">
        <v>0.31</v>
      </c>
    </row>
    <row r="427" spans="1:50" s="71" customFormat="1" ht="15" customHeight="1" x14ac:dyDescent="0.2">
      <c r="A427" s="70" t="s">
        <v>161</v>
      </c>
      <c r="B427" s="70" t="s">
        <v>45</v>
      </c>
      <c r="C427" s="71" t="s">
        <v>180</v>
      </c>
      <c r="D427" s="71" t="s">
        <v>56</v>
      </c>
      <c r="E427" s="71" t="s">
        <v>46</v>
      </c>
      <c r="F427" s="71" t="s">
        <v>782</v>
      </c>
      <c r="H427" s="71" t="s">
        <v>166</v>
      </c>
      <c r="I427" s="87"/>
      <c r="J427" s="72">
        <f t="shared" ref="J427" si="90">AVERAGEIF(J419:J426, "&lt;&gt;0")</f>
        <v>91</v>
      </c>
      <c r="K427" s="72">
        <f t="shared" ref="K427:S427" si="91">AVERAGEIF(K419:K426, "&lt;&gt;0")</f>
        <v>1.3549999999999998</v>
      </c>
      <c r="L427" s="72">
        <f t="shared" si="91"/>
        <v>26</v>
      </c>
      <c r="M427" s="72">
        <f t="shared" si="91"/>
        <v>0.8500000000000002</v>
      </c>
      <c r="N427" s="72">
        <f t="shared" si="91"/>
        <v>18.333333333333332</v>
      </c>
      <c r="O427" s="72">
        <f t="shared" si="91"/>
        <v>0.36857142857142861</v>
      </c>
      <c r="P427" s="72">
        <f>AVERAGE(P419:P426)</f>
        <v>0</v>
      </c>
      <c r="Q427" s="72">
        <f t="shared" si="91"/>
        <v>57</v>
      </c>
      <c r="R427" s="72">
        <f t="shared" si="91"/>
        <v>85.662500000000009</v>
      </c>
      <c r="S427" s="72">
        <f t="shared" si="91"/>
        <v>0.16344999999999998</v>
      </c>
      <c r="T427" s="72"/>
      <c r="U427" s="72"/>
      <c r="V427" s="72"/>
      <c r="W427" s="72"/>
      <c r="X427" s="72"/>
      <c r="Y427" s="72"/>
      <c r="Z427" s="72"/>
      <c r="AA427" s="72"/>
      <c r="AB427" s="72"/>
      <c r="AC427" s="73"/>
      <c r="AD427" s="73"/>
      <c r="AE427" s="73"/>
      <c r="AF427" s="73"/>
      <c r="AG427" s="73"/>
      <c r="AH427" s="73"/>
      <c r="AI427" s="73"/>
      <c r="AJ427" s="73"/>
      <c r="AK427" s="73"/>
      <c r="AL427" s="73"/>
      <c r="AM427" s="73"/>
      <c r="AN427" s="73"/>
      <c r="AO427" s="73"/>
      <c r="AP427" s="73"/>
      <c r="AQ427" s="73"/>
      <c r="AR427" s="73"/>
      <c r="AS427" s="73"/>
      <c r="AT427" s="73"/>
      <c r="AU427" s="73"/>
      <c r="AV427" s="73"/>
      <c r="AW427" s="73"/>
      <c r="AX427" s="73"/>
    </row>
    <row r="428" spans="1:50" s="41" customFormat="1" ht="34" x14ac:dyDescent="0.2">
      <c r="A428" s="40" t="s">
        <v>161</v>
      </c>
      <c r="B428" s="40" t="s">
        <v>45</v>
      </c>
      <c r="C428" s="41" t="s">
        <v>181</v>
      </c>
      <c r="D428" s="2"/>
      <c r="E428" s="2"/>
      <c r="H428" s="41" t="s">
        <v>166</v>
      </c>
      <c r="I428" s="248" t="s">
        <v>1009</v>
      </c>
      <c r="J428" s="43">
        <v>88</v>
      </c>
      <c r="K428" s="43"/>
      <c r="L428" s="43">
        <v>62</v>
      </c>
      <c r="M428" s="43">
        <v>2.2000000000000002</v>
      </c>
      <c r="N428" s="43"/>
      <c r="O428" s="43"/>
      <c r="P428" s="4">
        <f t="shared" ref="P428:P429" si="92">AN428</f>
        <v>0</v>
      </c>
      <c r="Q428" s="43"/>
      <c r="R428" s="43">
        <v>115</v>
      </c>
      <c r="S428" s="43"/>
      <c r="T428" s="43"/>
      <c r="U428" s="43"/>
      <c r="V428" s="43"/>
      <c r="W428" s="43"/>
      <c r="X428" s="43"/>
      <c r="Y428" s="43"/>
      <c r="Z428" s="43"/>
      <c r="AA428" s="43"/>
      <c r="AB428" s="43"/>
      <c r="AC428" s="44"/>
      <c r="AD428" s="44"/>
      <c r="AE428" s="44"/>
      <c r="AF428" s="44"/>
      <c r="AG428" s="5"/>
      <c r="AH428" s="44"/>
      <c r="AI428" s="23"/>
      <c r="AJ428" s="44"/>
      <c r="AK428" s="44"/>
      <c r="AL428" s="44"/>
      <c r="AM428" s="44"/>
      <c r="AN428" s="23"/>
      <c r="AO428" s="44"/>
      <c r="AP428" s="44"/>
      <c r="AQ428" s="44"/>
      <c r="AR428" s="44"/>
      <c r="AS428" s="44"/>
      <c r="AT428" s="44"/>
      <c r="AU428" s="44"/>
      <c r="AV428" s="44"/>
      <c r="AW428" s="44"/>
      <c r="AX428" s="44"/>
    </row>
    <row r="429" spans="1:50" ht="17" x14ac:dyDescent="0.2">
      <c r="A429" s="24" t="s">
        <v>164</v>
      </c>
      <c r="B429" s="24" t="s">
        <v>45</v>
      </c>
      <c r="C429" s="32" t="s">
        <v>0</v>
      </c>
      <c r="F429" s="41"/>
      <c r="G429" s="41"/>
      <c r="H429" s="41" t="s">
        <v>166</v>
      </c>
      <c r="I429" s="243" t="s">
        <v>1007</v>
      </c>
      <c r="J429" s="3">
        <v>92.5</v>
      </c>
      <c r="K429" s="3">
        <v>2.6</v>
      </c>
      <c r="L429" s="3">
        <v>105</v>
      </c>
      <c r="M429" s="3">
        <v>0.6</v>
      </c>
      <c r="N429" s="3">
        <v>19</v>
      </c>
      <c r="O429" s="3">
        <v>0.41</v>
      </c>
      <c r="P429" s="4">
        <f t="shared" si="92"/>
        <v>0</v>
      </c>
      <c r="Q429" s="3">
        <v>104</v>
      </c>
      <c r="R429" s="3">
        <v>29.6</v>
      </c>
      <c r="S429" s="3">
        <v>0.5</v>
      </c>
      <c r="AI429" s="23"/>
      <c r="AN429" s="23"/>
    </row>
    <row r="430" spans="1:50" s="71" customFormat="1" ht="15" customHeight="1" x14ac:dyDescent="0.2">
      <c r="A430" s="70" t="s">
        <v>164</v>
      </c>
      <c r="B430" s="70" t="s">
        <v>45</v>
      </c>
      <c r="C430" s="71" t="s">
        <v>182</v>
      </c>
      <c r="D430" s="71" t="s">
        <v>25</v>
      </c>
      <c r="E430" s="71" t="s">
        <v>46</v>
      </c>
      <c r="F430" s="71" t="s">
        <v>782</v>
      </c>
      <c r="H430" s="71" t="s">
        <v>166</v>
      </c>
      <c r="I430" s="87"/>
      <c r="J430" s="72">
        <f t="shared" ref="J430" si="93">AVERAGEIF(J428:J429, "&lt;&gt;0")</f>
        <v>90.25</v>
      </c>
      <c r="K430" s="72">
        <f t="shared" ref="K430:S430" si="94">AVERAGEIF(K428:K429, "&lt;&gt;0")</f>
        <v>2.6</v>
      </c>
      <c r="L430" s="72">
        <f t="shared" si="94"/>
        <v>83.5</v>
      </c>
      <c r="M430" s="72">
        <f t="shared" si="94"/>
        <v>1.4000000000000001</v>
      </c>
      <c r="N430" s="72">
        <f t="shared" si="94"/>
        <v>19</v>
      </c>
      <c r="O430" s="72">
        <f t="shared" si="94"/>
        <v>0.41</v>
      </c>
      <c r="P430" s="72">
        <f>AVERAGE(P428:P429)</f>
        <v>0</v>
      </c>
      <c r="Q430" s="72">
        <f t="shared" si="94"/>
        <v>104</v>
      </c>
      <c r="R430" s="72">
        <f t="shared" si="94"/>
        <v>72.3</v>
      </c>
      <c r="S430" s="72">
        <f t="shared" si="94"/>
        <v>0.5</v>
      </c>
      <c r="T430" s="72"/>
      <c r="U430" s="72"/>
      <c r="V430" s="72"/>
      <c r="W430" s="72"/>
      <c r="X430" s="72"/>
      <c r="Y430" s="72"/>
      <c r="Z430" s="72"/>
      <c r="AA430" s="72"/>
      <c r="AB430" s="72"/>
      <c r="AC430" s="73"/>
      <c r="AD430" s="73"/>
      <c r="AE430" s="73"/>
      <c r="AF430" s="73"/>
      <c r="AG430" s="73"/>
      <c r="AH430" s="73"/>
      <c r="AI430" s="73"/>
      <c r="AJ430" s="73"/>
      <c r="AK430" s="73"/>
      <c r="AL430" s="73"/>
      <c r="AM430" s="73"/>
      <c r="AN430" s="73"/>
      <c r="AO430" s="73"/>
      <c r="AP430" s="73"/>
      <c r="AQ430" s="73"/>
      <c r="AR430" s="73"/>
      <c r="AS430" s="73"/>
      <c r="AT430" s="73"/>
      <c r="AU430" s="73"/>
      <c r="AV430" s="73"/>
      <c r="AW430" s="73"/>
      <c r="AX430" s="73"/>
    </row>
    <row r="431" spans="1:50" s="22" customFormat="1" ht="34" x14ac:dyDescent="0.2">
      <c r="A431" s="21" t="s">
        <v>161</v>
      </c>
      <c r="B431" s="21" t="s">
        <v>45</v>
      </c>
      <c r="C431" s="22" t="s">
        <v>0</v>
      </c>
      <c r="D431" s="2"/>
      <c r="E431" s="2"/>
      <c r="H431" s="22" t="s">
        <v>183</v>
      </c>
      <c r="I431" s="65" t="s">
        <v>1010</v>
      </c>
      <c r="J431" s="4">
        <v>91</v>
      </c>
      <c r="K431" s="4">
        <v>1.1000000000000001</v>
      </c>
      <c r="L431" s="4">
        <v>42</v>
      </c>
      <c r="M431" s="4">
        <v>0.5</v>
      </c>
      <c r="N431" s="4">
        <v>27</v>
      </c>
      <c r="O431" s="4"/>
      <c r="P431" s="4">
        <f t="shared" ref="P431" si="95">AN431</f>
        <v>0</v>
      </c>
      <c r="Q431" s="4"/>
      <c r="R431" s="4">
        <v>64</v>
      </c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</row>
    <row r="432" spans="1:50" s="71" customFormat="1" ht="15" customHeight="1" x14ac:dyDescent="0.2">
      <c r="A432" s="70" t="s">
        <v>161</v>
      </c>
      <c r="B432" s="70" t="s">
        <v>45</v>
      </c>
      <c r="C432" s="71" t="s">
        <v>184</v>
      </c>
      <c r="D432" s="71" t="s">
        <v>56</v>
      </c>
      <c r="E432" s="71" t="s">
        <v>46</v>
      </c>
      <c r="F432" s="71" t="s">
        <v>782</v>
      </c>
      <c r="H432" s="71" t="s">
        <v>183</v>
      </c>
      <c r="I432" s="87"/>
      <c r="J432" s="72">
        <f t="shared" ref="J432" si="96">AVERAGEIF(J431, "&lt;&gt;0")</f>
        <v>91</v>
      </c>
      <c r="K432" s="72">
        <f>AVERAGEIF(K431, "&lt;&gt;0")</f>
        <v>1.1000000000000001</v>
      </c>
      <c r="L432" s="72">
        <f>AVERAGEIF(L431, "&lt;&gt;0")</f>
        <v>42</v>
      </c>
      <c r="M432" s="72">
        <f>AVERAGEIF(M431, "&lt;&gt;0")</f>
        <v>0.5</v>
      </c>
      <c r="N432" s="72">
        <f>AVERAGEIF(N431, "&lt;&gt;0")</f>
        <v>27</v>
      </c>
      <c r="O432" s="72"/>
      <c r="P432" s="72">
        <f>P431</f>
        <v>0</v>
      </c>
      <c r="Q432" s="72"/>
      <c r="R432" s="72">
        <f>AVERAGEIF(R431, "&lt;&gt;0")</f>
        <v>64</v>
      </c>
      <c r="S432" s="72"/>
      <c r="T432" s="72"/>
      <c r="U432" s="72"/>
      <c r="V432" s="72"/>
      <c r="W432" s="72"/>
      <c r="X432" s="72"/>
      <c r="Y432" s="72"/>
      <c r="Z432" s="72"/>
      <c r="AA432" s="72"/>
      <c r="AB432" s="72"/>
      <c r="AC432" s="73"/>
      <c r="AD432" s="73"/>
      <c r="AE432" s="73"/>
      <c r="AF432" s="73"/>
      <c r="AG432" s="73"/>
      <c r="AH432" s="73"/>
      <c r="AI432" s="73"/>
      <c r="AJ432" s="73"/>
      <c r="AK432" s="73"/>
      <c r="AL432" s="73"/>
      <c r="AM432" s="73"/>
      <c r="AN432" s="73"/>
      <c r="AO432" s="73"/>
      <c r="AP432" s="73"/>
      <c r="AQ432" s="73"/>
      <c r="AR432" s="73"/>
      <c r="AS432" s="73"/>
      <c r="AT432" s="73"/>
      <c r="AU432" s="73"/>
      <c r="AV432" s="73"/>
      <c r="AW432" s="73"/>
      <c r="AX432" s="73"/>
    </row>
    <row r="433" spans="1:50" ht="51" x14ac:dyDescent="0.2">
      <c r="A433" s="24" t="s">
        <v>185</v>
      </c>
      <c r="B433" s="24" t="s">
        <v>186</v>
      </c>
      <c r="H433" s="2" t="s">
        <v>187</v>
      </c>
      <c r="I433" s="243" t="s">
        <v>1014</v>
      </c>
      <c r="J433" s="3">
        <v>77.599999999999994</v>
      </c>
      <c r="K433" s="3">
        <v>2.4</v>
      </c>
      <c r="L433" s="3">
        <v>282</v>
      </c>
      <c r="M433" s="3">
        <v>6.8</v>
      </c>
      <c r="P433" s="4" t="s">
        <v>0</v>
      </c>
      <c r="R433" s="3">
        <v>24</v>
      </c>
    </row>
    <row r="434" spans="1:50" s="22" customFormat="1" ht="17" x14ac:dyDescent="0.2">
      <c r="A434" s="25" t="s">
        <v>185</v>
      </c>
      <c r="B434" s="25" t="s">
        <v>188</v>
      </c>
      <c r="C434" s="26" t="s">
        <v>0</v>
      </c>
      <c r="D434" s="2"/>
      <c r="E434" s="2"/>
      <c r="F434" s="26"/>
      <c r="G434" s="26"/>
      <c r="H434" s="26" t="s">
        <v>166</v>
      </c>
      <c r="I434" s="65" t="s">
        <v>1006</v>
      </c>
      <c r="J434" s="4">
        <v>78</v>
      </c>
      <c r="K434" s="4">
        <v>2.3967999999999998</v>
      </c>
      <c r="L434" s="4">
        <v>281.99360000000001</v>
      </c>
      <c r="M434" s="4">
        <v>6.8095999999999988</v>
      </c>
      <c r="N434" s="4"/>
      <c r="O434" s="4"/>
      <c r="P434" s="4">
        <f t="shared" ref="P434" si="97">AN434</f>
        <v>0</v>
      </c>
      <c r="Q434" s="4"/>
      <c r="R434" s="4">
        <v>23.990399999999998</v>
      </c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</row>
    <row r="435" spans="1:50" s="71" customFormat="1" ht="15" customHeight="1" x14ac:dyDescent="0.2">
      <c r="A435" s="77" t="s">
        <v>185</v>
      </c>
      <c r="B435" s="77" t="s">
        <v>188</v>
      </c>
      <c r="C435" s="78" t="s">
        <v>189</v>
      </c>
      <c r="D435" s="71" t="s">
        <v>31</v>
      </c>
      <c r="E435" s="78" t="s">
        <v>32</v>
      </c>
      <c r="F435" s="78" t="s">
        <v>781</v>
      </c>
      <c r="G435" s="78"/>
      <c r="H435" s="78" t="s">
        <v>166</v>
      </c>
      <c r="I435" s="87"/>
      <c r="J435" s="72">
        <f>AVERAGEIF(J433:J434, "&lt;&gt;0")</f>
        <v>77.8</v>
      </c>
      <c r="K435" s="72">
        <f>AVERAGEIF(K433:K434, "&lt;&gt;0")</f>
        <v>2.3983999999999996</v>
      </c>
      <c r="L435" s="72">
        <f>AVERAGEIF(L433:L434, "&lt;&gt;0")</f>
        <v>281.99680000000001</v>
      </c>
      <c r="M435" s="72">
        <f>AVERAGEIF(M433:M434, "&lt;&gt;0")</f>
        <v>6.8047999999999993</v>
      </c>
      <c r="N435" s="72"/>
      <c r="O435" s="72"/>
      <c r="P435" s="72">
        <f>AVERAGE(P433:P434)</f>
        <v>0</v>
      </c>
      <c r="Q435" s="72"/>
      <c r="R435" s="72">
        <f>AVERAGEIF(R433:R434, "&lt;&gt;0")</f>
        <v>23.995199999999997</v>
      </c>
      <c r="S435" s="72"/>
      <c r="T435" s="72"/>
      <c r="U435" s="72"/>
      <c r="V435" s="72"/>
      <c r="W435" s="72"/>
      <c r="X435" s="72"/>
      <c r="Y435" s="72"/>
      <c r="Z435" s="72"/>
      <c r="AA435" s="72"/>
      <c r="AB435" s="72"/>
      <c r="AC435" s="73"/>
      <c r="AD435" s="73"/>
      <c r="AE435" s="73"/>
      <c r="AF435" s="73"/>
      <c r="AG435" s="73"/>
      <c r="AH435" s="73"/>
      <c r="AI435" s="73"/>
      <c r="AJ435" s="73"/>
      <c r="AK435" s="73"/>
      <c r="AL435" s="73"/>
      <c r="AM435" s="73"/>
      <c r="AN435" s="73"/>
      <c r="AO435" s="73"/>
      <c r="AP435" s="73"/>
      <c r="AQ435" s="73"/>
      <c r="AR435" s="73"/>
      <c r="AS435" s="73"/>
      <c r="AT435" s="73"/>
      <c r="AU435" s="73"/>
      <c r="AV435" s="73"/>
      <c r="AW435" s="73"/>
      <c r="AX435" s="73"/>
    </row>
    <row r="436" spans="1:50" ht="17" x14ac:dyDescent="0.2">
      <c r="A436" s="24" t="s">
        <v>190</v>
      </c>
      <c r="B436" s="24" t="s">
        <v>191</v>
      </c>
      <c r="C436" s="32" t="s">
        <v>0</v>
      </c>
      <c r="H436" s="2" t="s">
        <v>37</v>
      </c>
      <c r="I436" s="243" t="s">
        <v>1007</v>
      </c>
      <c r="J436" s="3">
        <v>65.900000000000006</v>
      </c>
      <c r="K436" s="3">
        <v>5.0999999999999996</v>
      </c>
      <c r="L436" s="3">
        <v>42</v>
      </c>
      <c r="M436" s="3">
        <v>1.6</v>
      </c>
      <c r="N436" s="3">
        <v>68</v>
      </c>
      <c r="O436" s="3">
        <v>1.04</v>
      </c>
      <c r="P436" s="4">
        <f t="shared" ref="P436:P439" si="98">AN436</f>
        <v>0</v>
      </c>
      <c r="Q436" s="3">
        <v>173</v>
      </c>
      <c r="R436" s="3">
        <v>39</v>
      </c>
      <c r="S436" s="3">
        <v>0.39</v>
      </c>
      <c r="AI436" s="23"/>
      <c r="AN436" s="23"/>
    </row>
    <row r="437" spans="1:50" ht="17" x14ac:dyDescent="0.2">
      <c r="A437" s="31" t="s">
        <v>190</v>
      </c>
      <c r="B437" s="31" t="s">
        <v>191</v>
      </c>
      <c r="C437" s="1"/>
      <c r="H437" s="2" t="s">
        <v>37</v>
      </c>
      <c r="I437" s="243" t="s">
        <v>1006</v>
      </c>
      <c r="J437" s="3">
        <v>70</v>
      </c>
      <c r="K437" s="3">
        <v>3.2940000000000005</v>
      </c>
      <c r="L437" s="3">
        <v>41.9985</v>
      </c>
      <c r="M437" s="3">
        <v>1.5860000000000003</v>
      </c>
      <c r="P437" s="4">
        <f t="shared" si="98"/>
        <v>0</v>
      </c>
      <c r="R437" s="3">
        <v>39.00950000000001</v>
      </c>
      <c r="AE437" s="23"/>
      <c r="AN437" s="23"/>
    </row>
    <row r="438" spans="1:50" ht="17" x14ac:dyDescent="0.2">
      <c r="A438" s="31" t="s">
        <v>190</v>
      </c>
      <c r="B438" s="31" t="s">
        <v>191</v>
      </c>
      <c r="C438" s="1"/>
      <c r="H438" s="2" t="s">
        <v>37</v>
      </c>
      <c r="I438" s="243" t="s">
        <v>1006</v>
      </c>
      <c r="J438" s="3">
        <v>69</v>
      </c>
      <c r="K438" s="3" t="s">
        <v>55</v>
      </c>
      <c r="L438" s="3">
        <v>28.985200000000006</v>
      </c>
      <c r="M438" s="3">
        <v>1.3062000000000002</v>
      </c>
      <c r="P438" s="4">
        <f t="shared" si="98"/>
        <v>0</v>
      </c>
      <c r="R438" s="3">
        <v>25.999600000000004</v>
      </c>
      <c r="AE438" s="23"/>
      <c r="AN438" s="23"/>
    </row>
    <row r="439" spans="1:50" ht="34" x14ac:dyDescent="0.2">
      <c r="A439" s="24" t="s">
        <v>192</v>
      </c>
      <c r="B439" s="24" t="s">
        <v>191</v>
      </c>
      <c r="H439" s="2" t="s">
        <v>37</v>
      </c>
      <c r="I439" s="243" t="s">
        <v>1009</v>
      </c>
      <c r="K439" s="3">
        <v>2.9</v>
      </c>
      <c r="L439" s="3">
        <v>31</v>
      </c>
      <c r="M439" s="3">
        <v>1.1299999999999999</v>
      </c>
      <c r="O439" s="3">
        <v>2.21</v>
      </c>
      <c r="P439" s="4">
        <f t="shared" si="98"/>
        <v>0</v>
      </c>
      <c r="R439" s="3">
        <v>16</v>
      </c>
      <c r="AN439" s="23"/>
    </row>
    <row r="440" spans="1:50" s="71" customFormat="1" ht="15" customHeight="1" x14ac:dyDescent="0.2">
      <c r="A440" s="70" t="s">
        <v>192</v>
      </c>
      <c r="B440" s="70" t="s">
        <v>191</v>
      </c>
      <c r="C440" s="71" t="s">
        <v>193</v>
      </c>
      <c r="D440" s="71" t="s">
        <v>25</v>
      </c>
      <c r="E440" s="71" t="s">
        <v>32</v>
      </c>
      <c r="F440" s="71" t="s">
        <v>783</v>
      </c>
      <c r="H440" s="71" t="s">
        <v>37</v>
      </c>
      <c r="I440" s="87"/>
      <c r="J440" s="72">
        <f t="shared" ref="J440" si="99">AVERAGEIF(J436:J439, "&lt;&gt;0")</f>
        <v>68.3</v>
      </c>
      <c r="K440" s="72">
        <f t="shared" ref="K440:S440" si="100">AVERAGEIF(K436:K439, "&lt;&gt;0")</f>
        <v>3.7646666666666668</v>
      </c>
      <c r="L440" s="72">
        <f t="shared" si="100"/>
        <v>35.995925</v>
      </c>
      <c r="M440" s="72">
        <f t="shared" si="100"/>
        <v>1.4055500000000001</v>
      </c>
      <c r="N440" s="72">
        <f t="shared" si="100"/>
        <v>68</v>
      </c>
      <c r="O440" s="72">
        <f t="shared" si="100"/>
        <v>1.625</v>
      </c>
      <c r="P440" s="72">
        <f>AVERAGE(P436:P439)</f>
        <v>0</v>
      </c>
      <c r="Q440" s="72">
        <f t="shared" si="100"/>
        <v>173</v>
      </c>
      <c r="R440" s="72">
        <f t="shared" si="100"/>
        <v>30.002275000000001</v>
      </c>
      <c r="S440" s="72">
        <f t="shared" si="100"/>
        <v>0.39</v>
      </c>
      <c r="T440" s="72"/>
      <c r="U440" s="72"/>
      <c r="V440" s="72"/>
      <c r="W440" s="72"/>
      <c r="X440" s="72"/>
      <c r="Y440" s="72"/>
      <c r="Z440" s="72"/>
      <c r="AA440" s="72"/>
      <c r="AB440" s="72"/>
      <c r="AC440" s="73"/>
      <c r="AD440" s="73"/>
      <c r="AE440" s="73"/>
      <c r="AF440" s="73"/>
      <c r="AG440" s="73"/>
      <c r="AH440" s="73"/>
      <c r="AI440" s="73"/>
      <c r="AJ440" s="73"/>
      <c r="AK440" s="73"/>
      <c r="AL440" s="73"/>
      <c r="AM440" s="73"/>
      <c r="AN440" s="73"/>
      <c r="AO440" s="73"/>
      <c r="AP440" s="73"/>
      <c r="AQ440" s="73"/>
      <c r="AR440" s="73"/>
      <c r="AS440" s="73"/>
      <c r="AT440" s="73"/>
      <c r="AU440" s="73"/>
      <c r="AV440" s="73"/>
      <c r="AW440" s="73"/>
      <c r="AX440" s="73"/>
    </row>
    <row r="441" spans="1:50" s="22" customFormat="1" ht="34" x14ac:dyDescent="0.2">
      <c r="A441" s="21" t="s">
        <v>190</v>
      </c>
      <c r="B441" s="21" t="s">
        <v>191</v>
      </c>
      <c r="C441" s="22" t="s">
        <v>0</v>
      </c>
      <c r="D441" s="2"/>
      <c r="E441" s="2"/>
      <c r="H441" s="22" t="s">
        <v>194</v>
      </c>
      <c r="I441" s="65" t="s">
        <v>1019</v>
      </c>
      <c r="J441" s="4">
        <v>85.2</v>
      </c>
      <c r="K441" s="4"/>
      <c r="L441" s="4"/>
      <c r="M441" s="4"/>
      <c r="N441" s="4"/>
      <c r="O441" s="4"/>
      <c r="P441" s="4" t="s">
        <v>0</v>
      </c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</row>
    <row r="442" spans="1:50" s="71" customFormat="1" ht="15" customHeight="1" x14ac:dyDescent="0.2">
      <c r="A442" s="70" t="s">
        <v>190</v>
      </c>
      <c r="B442" s="70" t="s">
        <v>191</v>
      </c>
      <c r="C442" s="71" t="s">
        <v>193</v>
      </c>
      <c r="D442" s="71" t="s">
        <v>25</v>
      </c>
      <c r="E442" s="71" t="s">
        <v>32</v>
      </c>
      <c r="F442" s="71" t="s">
        <v>783</v>
      </c>
      <c r="H442" s="71" t="s">
        <v>194</v>
      </c>
      <c r="I442" s="87"/>
      <c r="J442" s="72">
        <f>AVERAGEIF(J441, "&lt;&gt;0")</f>
        <v>85.2</v>
      </c>
      <c r="K442" s="72"/>
      <c r="L442" s="72"/>
      <c r="M442" s="72"/>
      <c r="N442" s="72"/>
      <c r="O442" s="72"/>
      <c r="P442" s="72"/>
      <c r="Q442" s="72"/>
      <c r="R442" s="72"/>
      <c r="S442" s="72"/>
      <c r="T442" s="72"/>
      <c r="U442" s="72"/>
      <c r="V442" s="72"/>
      <c r="W442" s="72"/>
      <c r="X442" s="72"/>
      <c r="Y442" s="72"/>
      <c r="Z442" s="72"/>
      <c r="AA442" s="72"/>
      <c r="AB442" s="72"/>
      <c r="AC442" s="73"/>
      <c r="AD442" s="73"/>
      <c r="AE442" s="73"/>
      <c r="AF442" s="73"/>
      <c r="AG442" s="73"/>
      <c r="AH442" s="73"/>
      <c r="AI442" s="73"/>
      <c r="AJ442" s="73"/>
      <c r="AK442" s="73"/>
      <c r="AL442" s="73"/>
      <c r="AM442" s="73"/>
      <c r="AN442" s="73"/>
      <c r="AO442" s="73"/>
      <c r="AP442" s="73"/>
      <c r="AQ442" s="73"/>
      <c r="AR442" s="73"/>
      <c r="AS442" s="73"/>
      <c r="AT442" s="73"/>
      <c r="AU442" s="73"/>
      <c r="AV442" s="73"/>
      <c r="AW442" s="73"/>
      <c r="AX442" s="73"/>
    </row>
    <row r="443" spans="1:50" s="22" customFormat="1" ht="34" x14ac:dyDescent="0.2">
      <c r="A443" s="21" t="s">
        <v>195</v>
      </c>
      <c r="B443" s="21" t="s">
        <v>196</v>
      </c>
      <c r="C443" s="22" t="s">
        <v>0</v>
      </c>
      <c r="D443" s="2"/>
      <c r="E443" s="2"/>
      <c r="H443" s="22" t="s">
        <v>33</v>
      </c>
      <c r="I443" s="65" t="s">
        <v>1009</v>
      </c>
      <c r="J443" s="4"/>
      <c r="K443" s="4">
        <v>0.77</v>
      </c>
      <c r="L443" s="4">
        <v>79</v>
      </c>
      <c r="M443" s="4">
        <v>1.04</v>
      </c>
      <c r="N443" s="4"/>
      <c r="O443" s="4">
        <v>2.41</v>
      </c>
      <c r="P443" s="4">
        <f t="shared" ref="P443" si="101">AN443</f>
        <v>0</v>
      </c>
      <c r="Q443" s="4"/>
      <c r="R443" s="4">
        <v>8</v>
      </c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23"/>
      <c r="AD443" s="23"/>
      <c r="AE443" s="23"/>
      <c r="AF443" s="23"/>
      <c r="AG443" s="5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</row>
    <row r="444" spans="1:50" s="76" customFormat="1" ht="15" customHeight="1" x14ac:dyDescent="0.2">
      <c r="A444" s="70" t="s">
        <v>195</v>
      </c>
      <c r="B444" s="70" t="s">
        <v>196</v>
      </c>
      <c r="C444" s="71" t="s">
        <v>197</v>
      </c>
      <c r="D444" s="71" t="s">
        <v>31</v>
      </c>
      <c r="E444" s="71" t="s">
        <v>32</v>
      </c>
      <c r="F444" s="71" t="s">
        <v>884</v>
      </c>
      <c r="G444" s="71"/>
      <c r="H444" s="71" t="s">
        <v>33</v>
      </c>
      <c r="I444" s="244"/>
      <c r="J444" s="74"/>
      <c r="K444" s="72">
        <f>AVERAGEIF(K443, "&lt;&gt;0")</f>
        <v>0.77</v>
      </c>
      <c r="L444" s="72">
        <f>AVERAGEIF(L443, "&lt;&gt;0")</f>
        <v>79</v>
      </c>
      <c r="M444" s="72">
        <f>AVERAGEIF(M443, "&lt;&gt;0")</f>
        <v>1.04</v>
      </c>
      <c r="N444" s="74"/>
      <c r="O444" s="72">
        <f>AVERAGEIF(O443, "&lt;&gt;0")</f>
        <v>2.41</v>
      </c>
      <c r="P444" s="72">
        <f>P443</f>
        <v>0</v>
      </c>
      <c r="Q444" s="74"/>
      <c r="R444" s="72">
        <f>AVERAGEIF(R443, "&lt;&gt;0")</f>
        <v>8</v>
      </c>
      <c r="S444" s="74"/>
      <c r="T444" s="72"/>
      <c r="U444" s="72"/>
      <c r="V444" s="74"/>
      <c r="W444" s="74"/>
      <c r="X444" s="74"/>
      <c r="Y444" s="74"/>
      <c r="Z444" s="74"/>
      <c r="AA444" s="74"/>
      <c r="AB444" s="74"/>
      <c r="AC444" s="75"/>
      <c r="AD444" s="75"/>
      <c r="AE444" s="75"/>
      <c r="AF444" s="75"/>
      <c r="AG444" s="75"/>
      <c r="AH444" s="75"/>
      <c r="AI444" s="75"/>
      <c r="AJ444" s="75"/>
      <c r="AK444" s="75"/>
      <c r="AL444" s="75"/>
      <c r="AM444" s="75"/>
      <c r="AN444" s="75"/>
      <c r="AO444" s="75"/>
      <c r="AP444" s="75"/>
      <c r="AQ444" s="75"/>
      <c r="AR444" s="75"/>
      <c r="AS444" s="75"/>
      <c r="AT444" s="75"/>
      <c r="AU444" s="75"/>
      <c r="AV444" s="75"/>
      <c r="AW444" s="75"/>
      <c r="AX444" s="75"/>
    </row>
    <row r="445" spans="1:50" s="22" customFormat="1" ht="51" x14ac:dyDescent="0.2">
      <c r="A445" s="25" t="s">
        <v>910</v>
      </c>
      <c r="B445" s="25" t="s">
        <v>911</v>
      </c>
      <c r="D445" s="2"/>
      <c r="E445" s="2"/>
      <c r="H445" s="22" t="s">
        <v>284</v>
      </c>
      <c r="I445" s="65" t="s">
        <v>909</v>
      </c>
      <c r="J445" s="4">
        <v>41.3</v>
      </c>
      <c r="K445" s="4">
        <v>4.3</v>
      </c>
      <c r="L445" s="4">
        <v>200</v>
      </c>
      <c r="M445" s="4">
        <v>1.3</v>
      </c>
      <c r="N445" s="4">
        <v>106</v>
      </c>
      <c r="O445" s="4">
        <v>4.0000000000000001E-3</v>
      </c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</row>
    <row r="446" spans="1:50" s="71" customFormat="1" x14ac:dyDescent="0.2">
      <c r="A446" s="77" t="s">
        <v>910</v>
      </c>
      <c r="B446" s="77" t="s">
        <v>911</v>
      </c>
      <c r="C446" s="71" t="s">
        <v>912</v>
      </c>
      <c r="D446" s="71" t="s">
        <v>31</v>
      </c>
      <c r="E446" s="71" t="s">
        <v>32</v>
      </c>
      <c r="F446" s="71" t="s">
        <v>781</v>
      </c>
      <c r="H446" s="71" t="s">
        <v>284</v>
      </c>
      <c r="I446" s="87"/>
      <c r="J446" s="72">
        <f t="shared" ref="J446:O446" si="102">J445</f>
        <v>41.3</v>
      </c>
      <c r="K446" s="72">
        <f t="shared" si="102"/>
        <v>4.3</v>
      </c>
      <c r="L446" s="72">
        <f t="shared" si="102"/>
        <v>200</v>
      </c>
      <c r="M446" s="72">
        <f t="shared" si="102"/>
        <v>1.3</v>
      </c>
      <c r="N446" s="72">
        <f t="shared" si="102"/>
        <v>106</v>
      </c>
      <c r="O446" s="72">
        <f t="shared" si="102"/>
        <v>4.0000000000000001E-3</v>
      </c>
      <c r="P446" s="72"/>
      <c r="Q446" s="72"/>
      <c r="R446" s="72"/>
      <c r="S446" s="72"/>
      <c r="T446" s="72"/>
      <c r="U446" s="72"/>
      <c r="V446" s="72"/>
      <c r="W446" s="72"/>
      <c r="X446" s="72"/>
      <c r="Y446" s="72"/>
      <c r="Z446" s="72"/>
      <c r="AA446" s="72"/>
      <c r="AB446" s="72"/>
      <c r="AC446" s="73"/>
      <c r="AD446" s="73"/>
      <c r="AE446" s="73"/>
      <c r="AF446" s="73"/>
      <c r="AG446" s="73"/>
      <c r="AH446" s="73"/>
      <c r="AI446" s="73"/>
      <c r="AJ446" s="73"/>
      <c r="AK446" s="73"/>
      <c r="AL446" s="73"/>
      <c r="AM446" s="73"/>
      <c r="AN446" s="73"/>
      <c r="AO446" s="73"/>
      <c r="AP446" s="73"/>
      <c r="AQ446" s="73"/>
      <c r="AR446" s="73"/>
      <c r="AS446" s="73"/>
      <c r="AT446" s="73"/>
      <c r="AU446" s="73"/>
      <c r="AV446" s="73"/>
      <c r="AW446" s="73"/>
      <c r="AX446" s="73"/>
    </row>
    <row r="447" spans="1:50" ht="17" x14ac:dyDescent="0.2">
      <c r="A447" s="31" t="s">
        <v>198</v>
      </c>
      <c r="B447" s="31" t="s">
        <v>199</v>
      </c>
      <c r="C447" s="1"/>
      <c r="F447" s="1"/>
      <c r="G447" s="1"/>
      <c r="H447" s="1" t="s">
        <v>27</v>
      </c>
      <c r="I447" s="243" t="s">
        <v>1006</v>
      </c>
      <c r="J447" s="3">
        <v>89</v>
      </c>
      <c r="K447" s="3">
        <v>5.4833999999999996</v>
      </c>
      <c r="L447" s="3">
        <v>34.199999999999996</v>
      </c>
      <c r="M447" s="3" t="s">
        <v>55</v>
      </c>
      <c r="P447" s="4" t="s">
        <v>0</v>
      </c>
      <c r="R447" s="3" t="s">
        <v>55</v>
      </c>
    </row>
    <row r="448" spans="1:50" s="71" customFormat="1" x14ac:dyDescent="0.2">
      <c r="A448" s="70" t="s">
        <v>198</v>
      </c>
      <c r="B448" s="70" t="s">
        <v>199</v>
      </c>
      <c r="C448" s="71" t="s">
        <v>200</v>
      </c>
      <c r="D448" s="71" t="s">
        <v>56</v>
      </c>
      <c r="E448" s="71" t="s">
        <v>42</v>
      </c>
      <c r="F448" s="71" t="s">
        <v>784</v>
      </c>
      <c r="H448" s="78" t="s">
        <v>27</v>
      </c>
      <c r="I448" s="87"/>
      <c r="J448" s="72">
        <f>AVERAGEIF(J447:J447, "&lt;&gt;0")</f>
        <v>89</v>
      </c>
      <c r="K448" s="72">
        <f>AVERAGEIF(K447:K447, "&lt;&gt;0")</f>
        <v>5.4833999999999996</v>
      </c>
      <c r="L448" s="72">
        <f>AVERAGEIF(L447:L447, "&lt;&gt;0")</f>
        <v>34.199999999999996</v>
      </c>
      <c r="M448" s="72"/>
      <c r="N448" s="72"/>
      <c r="O448" s="72"/>
      <c r="P448" s="72"/>
      <c r="Q448" s="72"/>
      <c r="R448" s="72"/>
      <c r="S448" s="72"/>
      <c r="T448" s="72"/>
      <c r="U448" s="72"/>
      <c r="V448" s="72"/>
      <c r="W448" s="72"/>
      <c r="X448" s="72"/>
      <c r="Y448" s="72"/>
      <c r="Z448" s="72"/>
      <c r="AA448" s="72"/>
      <c r="AB448" s="72"/>
      <c r="AC448" s="73"/>
      <c r="AD448" s="73"/>
      <c r="AE448" s="73"/>
      <c r="AF448" s="73"/>
      <c r="AG448" s="73"/>
      <c r="AH448" s="73"/>
      <c r="AI448" s="73"/>
      <c r="AJ448" s="73"/>
      <c r="AK448" s="73"/>
      <c r="AL448" s="73"/>
      <c r="AM448" s="73"/>
      <c r="AN448" s="73"/>
      <c r="AO448" s="73"/>
      <c r="AP448" s="73"/>
      <c r="AQ448" s="73"/>
      <c r="AR448" s="73"/>
      <c r="AS448" s="73"/>
      <c r="AT448" s="73"/>
      <c r="AU448" s="73"/>
      <c r="AV448" s="73"/>
      <c r="AW448" s="73"/>
      <c r="AX448" s="73"/>
    </row>
    <row r="449" spans="1:50" ht="17" x14ac:dyDescent="0.2">
      <c r="A449" s="31" t="s">
        <v>198</v>
      </c>
      <c r="B449" s="31" t="s">
        <v>199</v>
      </c>
      <c r="C449" s="1"/>
      <c r="F449" s="1"/>
      <c r="G449" s="1"/>
      <c r="H449" s="1" t="s">
        <v>37</v>
      </c>
      <c r="I449" s="243" t="s">
        <v>1006</v>
      </c>
      <c r="J449" s="3">
        <v>89</v>
      </c>
      <c r="K449" s="3">
        <v>1.8012000000000001</v>
      </c>
      <c r="L449" s="3">
        <v>59.99819999999999</v>
      </c>
      <c r="M449" s="3">
        <v>1.9949999999999999</v>
      </c>
      <c r="P449" s="4">
        <f t="shared" ref="P449:P450" si="103">AN449</f>
        <v>0</v>
      </c>
      <c r="R449" s="3">
        <v>0</v>
      </c>
      <c r="AE449" s="23"/>
      <c r="AN449" s="23"/>
    </row>
    <row r="450" spans="1:50" ht="17" x14ac:dyDescent="0.2">
      <c r="A450" s="31" t="s">
        <v>198</v>
      </c>
      <c r="B450" s="31" t="s">
        <v>199</v>
      </c>
      <c r="C450" s="1"/>
      <c r="F450" s="1"/>
      <c r="G450" s="1"/>
      <c r="H450" s="1" t="s">
        <v>37</v>
      </c>
      <c r="I450" s="243" t="s">
        <v>1006</v>
      </c>
      <c r="J450" s="3">
        <v>89</v>
      </c>
      <c r="K450" s="3">
        <v>1.8012000000000001</v>
      </c>
      <c r="L450" s="3">
        <v>59.99819999999999</v>
      </c>
      <c r="M450" s="3">
        <v>1.9949999999999999</v>
      </c>
      <c r="P450" s="4">
        <f t="shared" si="103"/>
        <v>0</v>
      </c>
      <c r="R450" s="3" t="s">
        <v>55</v>
      </c>
      <c r="AE450" s="23"/>
      <c r="AN450" s="23"/>
    </row>
    <row r="451" spans="1:50" ht="17" x14ac:dyDescent="0.2">
      <c r="A451" s="31" t="s">
        <v>198</v>
      </c>
      <c r="B451" s="31" t="s">
        <v>199</v>
      </c>
      <c r="C451" s="1"/>
      <c r="F451" s="1"/>
      <c r="G451" s="1"/>
      <c r="H451" s="1" t="s">
        <v>37</v>
      </c>
      <c r="I451" s="243" t="s">
        <v>1006</v>
      </c>
      <c r="J451" s="3">
        <v>79</v>
      </c>
      <c r="K451" s="3">
        <v>3.2894999999999994</v>
      </c>
      <c r="L451" s="3">
        <v>33.002499999999998</v>
      </c>
      <c r="M451" s="3">
        <v>1.2039999999999997</v>
      </c>
      <c r="P451" s="4" t="s">
        <v>0</v>
      </c>
      <c r="R451" s="3">
        <v>31.991999999999997</v>
      </c>
    </row>
    <row r="452" spans="1:50" s="71" customFormat="1" ht="15" customHeight="1" x14ac:dyDescent="0.2">
      <c r="A452" s="77" t="s">
        <v>198</v>
      </c>
      <c r="B452" s="77" t="s">
        <v>199</v>
      </c>
      <c r="C452" s="78" t="s">
        <v>200</v>
      </c>
      <c r="D452" s="71" t="s">
        <v>56</v>
      </c>
      <c r="E452" s="78" t="s">
        <v>42</v>
      </c>
      <c r="F452" s="71" t="s">
        <v>784</v>
      </c>
      <c r="G452" s="78"/>
      <c r="H452" s="78" t="s">
        <v>37</v>
      </c>
      <c r="I452" s="87"/>
      <c r="J452" s="72">
        <f>AVERAGEIF(J449:J451, "&lt;&gt;0")</f>
        <v>85.666666666666671</v>
      </c>
      <c r="K452" s="72">
        <f>AVERAGEIF(K449:K451, "&lt;&gt;0")</f>
        <v>2.2972999999999999</v>
      </c>
      <c r="L452" s="72">
        <f>AVERAGEIF(L449:L451, "&lt;&gt;0")</f>
        <v>50.999633333333328</v>
      </c>
      <c r="M452" s="72">
        <f>AVERAGEIF(M449:M451, "&lt;&gt;0")</f>
        <v>1.7313333333333329</v>
      </c>
      <c r="N452" s="72"/>
      <c r="O452" s="72"/>
      <c r="P452" s="72">
        <f>AVERAGE(P449:P451)</f>
        <v>0</v>
      </c>
      <c r="Q452" s="72"/>
      <c r="R452" s="72">
        <f>AVERAGEIF(R449:R451, "&lt;&gt;0")</f>
        <v>31.991999999999997</v>
      </c>
      <c r="S452" s="72"/>
      <c r="T452" s="72"/>
      <c r="U452" s="72"/>
      <c r="V452" s="72"/>
      <c r="W452" s="72"/>
      <c r="X452" s="72"/>
      <c r="Y452" s="72"/>
      <c r="Z452" s="72"/>
      <c r="AA452" s="72"/>
      <c r="AB452" s="72"/>
      <c r="AC452" s="73"/>
      <c r="AD452" s="73"/>
      <c r="AE452" s="73"/>
      <c r="AF452" s="73"/>
      <c r="AG452" s="73"/>
      <c r="AH452" s="73"/>
      <c r="AI452" s="73"/>
      <c r="AJ452" s="73"/>
      <c r="AK452" s="73"/>
      <c r="AL452" s="73"/>
      <c r="AM452" s="73"/>
      <c r="AN452" s="73"/>
      <c r="AO452" s="73"/>
      <c r="AP452" s="73"/>
      <c r="AQ452" s="73"/>
      <c r="AR452" s="73"/>
      <c r="AS452" s="73"/>
      <c r="AT452" s="73"/>
      <c r="AU452" s="73"/>
      <c r="AV452" s="73"/>
      <c r="AW452" s="73"/>
      <c r="AX452" s="73"/>
    </row>
    <row r="453" spans="1:50" ht="17" x14ac:dyDescent="0.2">
      <c r="A453" s="31" t="s">
        <v>198</v>
      </c>
      <c r="B453" s="31" t="s">
        <v>201</v>
      </c>
      <c r="C453" s="1"/>
      <c r="F453" s="1"/>
      <c r="G453" s="1"/>
      <c r="H453" s="1" t="s">
        <v>37</v>
      </c>
      <c r="I453" s="243" t="s">
        <v>1006</v>
      </c>
      <c r="J453" s="3">
        <v>89</v>
      </c>
      <c r="K453" s="3">
        <v>1.5047999999999999</v>
      </c>
      <c r="L453" s="3" t="s">
        <v>55</v>
      </c>
      <c r="M453" s="3" t="s">
        <v>55</v>
      </c>
      <c r="P453" s="4">
        <f t="shared" ref="P453:P454" si="104">AN453</f>
        <v>0</v>
      </c>
      <c r="R453" s="3" t="s">
        <v>55</v>
      </c>
      <c r="AI453" s="23"/>
      <c r="AN453" s="23"/>
    </row>
    <row r="454" spans="1:50" ht="17" x14ac:dyDescent="0.2">
      <c r="A454" s="31" t="s">
        <v>198</v>
      </c>
      <c r="B454" s="31" t="s">
        <v>201</v>
      </c>
      <c r="C454" s="1"/>
      <c r="F454" s="1"/>
      <c r="G454" s="1"/>
      <c r="H454" s="1" t="s">
        <v>37</v>
      </c>
      <c r="I454" s="243" t="s">
        <v>1006</v>
      </c>
      <c r="J454" s="3">
        <v>89</v>
      </c>
      <c r="K454" s="3">
        <v>1.5011999999999999</v>
      </c>
      <c r="L454" s="3" t="s">
        <v>55</v>
      </c>
      <c r="M454" s="3" t="s">
        <v>55</v>
      </c>
      <c r="P454" s="4">
        <f t="shared" si="104"/>
        <v>0</v>
      </c>
      <c r="R454" s="3" t="s">
        <v>55</v>
      </c>
      <c r="AI454" s="23"/>
      <c r="AN454" s="23"/>
    </row>
    <row r="455" spans="1:50" s="71" customFormat="1" x14ac:dyDescent="0.2">
      <c r="A455" s="77" t="s">
        <v>198</v>
      </c>
      <c r="B455" s="77" t="s">
        <v>201</v>
      </c>
      <c r="C455" s="78" t="s">
        <v>202</v>
      </c>
      <c r="D455" s="71" t="s">
        <v>31</v>
      </c>
      <c r="E455" s="78" t="s">
        <v>42</v>
      </c>
      <c r="F455" s="71" t="s">
        <v>784</v>
      </c>
      <c r="G455" s="78"/>
      <c r="H455" s="78" t="s">
        <v>37</v>
      </c>
      <c r="I455" s="87"/>
      <c r="J455" s="72">
        <f>AVERAGEIF(J453:J454, "&lt;&gt;0")</f>
        <v>89</v>
      </c>
      <c r="K455" s="72">
        <f>AVERAGEIF(K453:K454, "&lt;&gt;0")</f>
        <v>1.5029999999999999</v>
      </c>
      <c r="L455" s="72"/>
      <c r="M455" s="72"/>
      <c r="N455" s="72"/>
      <c r="O455" s="72"/>
      <c r="P455" s="72">
        <f>AVERAGE(P453:P454)</f>
        <v>0</v>
      </c>
      <c r="Q455" s="72"/>
      <c r="R455" s="72"/>
      <c r="S455" s="72"/>
      <c r="T455" s="72"/>
      <c r="U455" s="72"/>
      <c r="V455" s="72"/>
      <c r="W455" s="72"/>
      <c r="X455" s="72"/>
      <c r="Y455" s="72"/>
      <c r="Z455" s="72"/>
      <c r="AA455" s="72"/>
      <c r="AB455" s="72"/>
      <c r="AC455" s="73"/>
      <c r="AD455" s="73"/>
      <c r="AE455" s="73"/>
      <c r="AF455" s="73"/>
      <c r="AG455" s="73"/>
      <c r="AH455" s="73"/>
      <c r="AI455" s="73"/>
      <c r="AJ455" s="73"/>
      <c r="AK455" s="73"/>
      <c r="AL455" s="73"/>
      <c r="AM455" s="73"/>
      <c r="AN455" s="73"/>
      <c r="AO455" s="73"/>
      <c r="AP455" s="73"/>
      <c r="AQ455" s="73"/>
      <c r="AR455" s="73"/>
      <c r="AS455" s="73"/>
      <c r="AT455" s="73"/>
      <c r="AU455" s="73"/>
      <c r="AV455" s="73"/>
      <c r="AW455" s="73"/>
      <c r="AX455" s="73"/>
    </row>
    <row r="456" spans="1:50" ht="34" x14ac:dyDescent="0.2">
      <c r="A456" s="24" t="s">
        <v>198</v>
      </c>
      <c r="B456" s="24" t="s">
        <v>201</v>
      </c>
      <c r="H456" s="2" t="s">
        <v>27</v>
      </c>
      <c r="I456" s="243" t="s">
        <v>1004</v>
      </c>
      <c r="J456" s="3">
        <v>88.6</v>
      </c>
      <c r="K456" s="3">
        <v>1.5</v>
      </c>
      <c r="M456" s="3">
        <v>20</v>
      </c>
      <c r="P456" s="4" t="s">
        <v>0</v>
      </c>
    </row>
    <row r="457" spans="1:50" ht="34" x14ac:dyDescent="0.2">
      <c r="A457" s="24" t="s">
        <v>198</v>
      </c>
      <c r="B457" s="24" t="s">
        <v>201</v>
      </c>
      <c r="H457" s="2" t="s">
        <v>27</v>
      </c>
      <c r="I457" s="243" t="s">
        <v>1021</v>
      </c>
      <c r="J457" s="3">
        <v>89</v>
      </c>
      <c r="K457" s="3">
        <v>1.8</v>
      </c>
      <c r="L457" s="3">
        <v>49</v>
      </c>
      <c r="M457" s="3">
        <v>4.5999999999999996</v>
      </c>
      <c r="N457" s="3">
        <v>29</v>
      </c>
      <c r="O457" s="3">
        <v>0.84</v>
      </c>
      <c r="P457" s="4">
        <f>AK457</f>
        <v>0</v>
      </c>
      <c r="R457" s="3">
        <v>15</v>
      </c>
      <c r="S457" s="3">
        <v>0.4</v>
      </c>
    </row>
    <row r="458" spans="1:50" ht="34" x14ac:dyDescent="0.2">
      <c r="A458" s="24" t="s">
        <v>198</v>
      </c>
      <c r="B458" s="24" t="s">
        <v>201</v>
      </c>
      <c r="H458" s="2" t="s">
        <v>27</v>
      </c>
      <c r="I458" s="243" t="s">
        <v>1010</v>
      </c>
      <c r="J458" s="3">
        <v>83.6</v>
      </c>
      <c r="K458" s="3">
        <v>2.6</v>
      </c>
      <c r="L458" s="3">
        <v>33</v>
      </c>
      <c r="M458" s="3">
        <v>1.2</v>
      </c>
      <c r="P458" s="4" t="s">
        <v>0</v>
      </c>
      <c r="R458" s="3">
        <v>32</v>
      </c>
    </row>
    <row r="459" spans="1:50" s="71" customFormat="1" x14ac:dyDescent="0.2">
      <c r="A459" s="77" t="s">
        <v>198</v>
      </c>
      <c r="B459" s="77" t="s">
        <v>201</v>
      </c>
      <c r="C459" s="78" t="s">
        <v>202</v>
      </c>
      <c r="D459" s="71" t="s">
        <v>31</v>
      </c>
      <c r="E459" s="78" t="s">
        <v>42</v>
      </c>
      <c r="F459" s="71" t="s">
        <v>784</v>
      </c>
      <c r="G459" s="78"/>
      <c r="H459" s="78" t="s">
        <v>27</v>
      </c>
      <c r="I459" s="87"/>
      <c r="J459" s="72">
        <f t="shared" ref="J459" si="105">AVERAGEIF(J456:J458, "&lt;&gt;0")</f>
        <v>87.066666666666663</v>
      </c>
      <c r="K459" s="72">
        <f t="shared" ref="K459:O459" si="106">AVERAGEIF(K456:K458, "&lt;&gt;0")</f>
        <v>1.9666666666666668</v>
      </c>
      <c r="L459" s="72">
        <f t="shared" si="106"/>
        <v>41</v>
      </c>
      <c r="M459" s="72">
        <f t="shared" si="106"/>
        <v>8.6</v>
      </c>
      <c r="N459" s="72">
        <f t="shared" si="106"/>
        <v>29</v>
      </c>
      <c r="O459" s="72">
        <f t="shared" si="106"/>
        <v>0.84</v>
      </c>
      <c r="P459" s="72">
        <f>AVERAGE(P456:P458)</f>
        <v>0</v>
      </c>
      <c r="Q459" s="72"/>
      <c r="R459" s="72">
        <f>AVERAGEIF(R456:R458, "&lt;&gt;0")</f>
        <v>23.5</v>
      </c>
      <c r="S459" s="72">
        <f>AVERAGEIF(S456:S458, "&lt;&gt;0")</f>
        <v>0.4</v>
      </c>
      <c r="T459" s="72"/>
      <c r="U459" s="72"/>
      <c r="V459" s="72"/>
      <c r="W459" s="72"/>
      <c r="X459" s="72"/>
      <c r="Y459" s="72"/>
      <c r="Z459" s="72"/>
      <c r="AA459" s="72"/>
      <c r="AB459" s="72"/>
      <c r="AC459" s="73"/>
      <c r="AD459" s="73"/>
      <c r="AE459" s="73"/>
      <c r="AF459" s="73"/>
      <c r="AG459" s="73"/>
      <c r="AH459" s="73"/>
      <c r="AI459" s="73"/>
      <c r="AJ459" s="73"/>
      <c r="AK459" s="73"/>
      <c r="AL459" s="73"/>
      <c r="AM459" s="73"/>
      <c r="AN459" s="73"/>
      <c r="AO459" s="73"/>
      <c r="AP459" s="73"/>
      <c r="AQ459" s="73"/>
      <c r="AR459" s="73"/>
      <c r="AS459" s="73"/>
      <c r="AT459" s="73"/>
      <c r="AU459" s="73"/>
      <c r="AV459" s="73"/>
      <c r="AW459" s="73"/>
      <c r="AX459" s="73"/>
    </row>
    <row r="460" spans="1:50" s="41" customFormat="1" ht="34" x14ac:dyDescent="0.2">
      <c r="A460" s="40" t="s">
        <v>204</v>
      </c>
      <c r="B460" s="40" t="s">
        <v>205</v>
      </c>
      <c r="D460" s="2"/>
      <c r="E460" s="2"/>
      <c r="H460" s="41" t="s">
        <v>33</v>
      </c>
      <c r="I460" s="248" t="s">
        <v>1009</v>
      </c>
      <c r="J460" s="43"/>
      <c r="K460" s="43">
        <v>1.0900000000000001</v>
      </c>
      <c r="L460" s="43">
        <v>188</v>
      </c>
      <c r="M460" s="43">
        <v>2.14</v>
      </c>
      <c r="N460" s="43"/>
      <c r="O460" s="43">
        <v>0.81</v>
      </c>
      <c r="P460" s="4">
        <f t="shared" ref="P460:P461" si="107">AN460</f>
        <v>0</v>
      </c>
      <c r="Q460" s="43">
        <v>53</v>
      </c>
      <c r="R460" s="43">
        <v>93</v>
      </c>
      <c r="S460" s="43">
        <v>0.4</v>
      </c>
      <c r="T460" s="43"/>
      <c r="U460" s="43"/>
      <c r="V460" s="43"/>
      <c r="W460" s="43"/>
      <c r="X460" s="43"/>
      <c r="Y460" s="43"/>
      <c r="Z460" s="43"/>
      <c r="AA460" s="43"/>
      <c r="AB460" s="43"/>
      <c r="AC460" s="44"/>
      <c r="AD460" s="44"/>
      <c r="AE460" s="44"/>
      <c r="AF460" s="44"/>
      <c r="AG460" s="5"/>
      <c r="AH460" s="44"/>
      <c r="AI460" s="44"/>
      <c r="AJ460" s="44"/>
      <c r="AK460" s="44"/>
      <c r="AL460" s="44"/>
      <c r="AM460" s="44"/>
      <c r="AN460" s="23"/>
      <c r="AO460" s="44"/>
      <c r="AP460" s="44"/>
      <c r="AQ460" s="44"/>
      <c r="AR460" s="44"/>
      <c r="AS460" s="44"/>
      <c r="AT460" s="44"/>
      <c r="AU460" s="44"/>
      <c r="AV460" s="44"/>
      <c r="AW460" s="44"/>
      <c r="AX460" s="44"/>
    </row>
    <row r="461" spans="1:50" ht="34" x14ac:dyDescent="0.2">
      <c r="A461" s="24" t="s">
        <v>204</v>
      </c>
      <c r="B461" s="24" t="s">
        <v>205</v>
      </c>
      <c r="F461" s="41"/>
      <c r="G461" s="41"/>
      <c r="H461" s="41" t="s">
        <v>33</v>
      </c>
      <c r="I461" s="243" t="s">
        <v>1009</v>
      </c>
      <c r="K461" s="3">
        <v>1.38</v>
      </c>
      <c r="L461" s="3">
        <v>244</v>
      </c>
      <c r="M461" s="3">
        <v>2.02</v>
      </c>
      <c r="O461" s="3">
        <v>0.15</v>
      </c>
      <c r="P461" s="4">
        <f t="shared" si="107"/>
        <v>0</v>
      </c>
      <c r="R461" s="3">
        <v>48</v>
      </c>
      <c r="AN461" s="23"/>
    </row>
    <row r="462" spans="1:50" s="71" customFormat="1" x14ac:dyDescent="0.2">
      <c r="A462" s="70" t="s">
        <v>204</v>
      </c>
      <c r="B462" s="70" t="s">
        <v>205</v>
      </c>
      <c r="C462" s="71" t="s">
        <v>206</v>
      </c>
      <c r="D462" s="71" t="s">
        <v>25</v>
      </c>
      <c r="E462" s="71" t="s">
        <v>46</v>
      </c>
      <c r="F462" s="71" t="s">
        <v>783</v>
      </c>
      <c r="H462" s="71" t="s">
        <v>33</v>
      </c>
      <c r="I462" s="87"/>
      <c r="J462" s="72"/>
      <c r="K462" s="72">
        <f>AVERAGEIF(K460:K461, "&lt;&gt;0")</f>
        <v>1.2349999999999999</v>
      </c>
      <c r="L462" s="72">
        <f>AVERAGEIF(L460:L461, "&lt;&gt;0")</f>
        <v>216</v>
      </c>
      <c r="M462" s="72">
        <f>AVERAGEIF(M460:M461, "&lt;&gt;0")</f>
        <v>2.08</v>
      </c>
      <c r="N462" s="72"/>
      <c r="O462" s="72">
        <f t="shared" ref="O462:S462" si="108">AVERAGEIF(O460:O461, "&lt;&gt;0")</f>
        <v>0.48000000000000004</v>
      </c>
      <c r="P462" s="72">
        <f>AVERAGE(P460:P461)</f>
        <v>0</v>
      </c>
      <c r="Q462" s="72">
        <f t="shared" si="108"/>
        <v>53</v>
      </c>
      <c r="R462" s="72">
        <f t="shared" si="108"/>
        <v>70.5</v>
      </c>
      <c r="S462" s="72">
        <f t="shared" si="108"/>
        <v>0.4</v>
      </c>
      <c r="T462" s="72"/>
      <c r="U462" s="72"/>
      <c r="V462" s="72"/>
      <c r="W462" s="72"/>
      <c r="X462" s="72"/>
      <c r="Y462" s="72"/>
      <c r="Z462" s="72"/>
      <c r="AA462" s="72"/>
      <c r="AB462" s="72"/>
      <c r="AC462" s="73"/>
      <c r="AD462" s="73"/>
      <c r="AE462" s="73"/>
      <c r="AF462" s="73"/>
      <c r="AG462" s="73"/>
      <c r="AH462" s="73"/>
      <c r="AI462" s="73"/>
      <c r="AJ462" s="73"/>
      <c r="AK462" s="73"/>
      <c r="AL462" s="73"/>
      <c r="AM462" s="73"/>
      <c r="AN462" s="73"/>
      <c r="AO462" s="73"/>
      <c r="AP462" s="73"/>
      <c r="AQ462" s="73"/>
      <c r="AR462" s="73"/>
      <c r="AS462" s="73"/>
      <c r="AT462" s="73"/>
      <c r="AU462" s="73"/>
      <c r="AV462" s="73"/>
      <c r="AW462" s="73"/>
      <c r="AX462" s="73"/>
    </row>
    <row r="463" spans="1:50" ht="17" x14ac:dyDescent="0.2">
      <c r="A463" s="24" t="s">
        <v>204</v>
      </c>
      <c r="B463" s="24" t="s">
        <v>205</v>
      </c>
      <c r="H463" s="2" t="s">
        <v>28</v>
      </c>
      <c r="I463" s="243" t="s">
        <v>1006</v>
      </c>
      <c r="J463" s="3">
        <v>93.4</v>
      </c>
      <c r="K463" s="3">
        <v>1.4</v>
      </c>
      <c r="L463" s="3">
        <v>9</v>
      </c>
      <c r="M463" s="3">
        <v>0.7</v>
      </c>
      <c r="P463" s="4">
        <f t="shared" ref="P463:P475" si="109">AN463</f>
        <v>0</v>
      </c>
      <c r="R463" s="3">
        <v>128</v>
      </c>
      <c r="AE463" s="23"/>
      <c r="AN463" s="23"/>
    </row>
    <row r="464" spans="1:50" ht="17" x14ac:dyDescent="0.2">
      <c r="A464" s="31" t="s">
        <v>204</v>
      </c>
      <c r="B464" s="31" t="s">
        <v>205</v>
      </c>
      <c r="C464" s="1"/>
      <c r="F464" s="1"/>
      <c r="G464" s="1"/>
      <c r="H464" s="1" t="s">
        <v>28</v>
      </c>
      <c r="I464" s="243" t="s">
        <v>1006</v>
      </c>
      <c r="J464" s="3">
        <v>74</v>
      </c>
      <c r="K464" s="3">
        <v>6.011400000000001</v>
      </c>
      <c r="L464" s="3">
        <v>57.998400000000004</v>
      </c>
      <c r="M464" s="3">
        <v>2.8895999999999997</v>
      </c>
      <c r="P464" s="4">
        <f t="shared" si="109"/>
        <v>0</v>
      </c>
      <c r="R464" s="3">
        <v>121.00200000000001</v>
      </c>
      <c r="AE464" s="23"/>
      <c r="AN464" s="23"/>
    </row>
    <row r="465" spans="1:40" ht="17" x14ac:dyDescent="0.2">
      <c r="A465" s="31" t="s">
        <v>204</v>
      </c>
      <c r="B465" s="31" t="s">
        <v>205</v>
      </c>
      <c r="C465" s="1"/>
      <c r="F465" s="1"/>
      <c r="G465" s="1"/>
      <c r="H465" s="1" t="s">
        <v>28</v>
      </c>
      <c r="I465" s="243" t="s">
        <v>1006</v>
      </c>
      <c r="J465" s="3">
        <v>87</v>
      </c>
      <c r="K465" s="3">
        <v>1.3986000000000001</v>
      </c>
      <c r="L465" s="3">
        <v>5.0022000000000002</v>
      </c>
      <c r="M465" s="3">
        <v>1.1970000000000001</v>
      </c>
      <c r="P465" s="4">
        <f t="shared" si="109"/>
        <v>0</v>
      </c>
      <c r="R465" s="3">
        <v>40.005000000000003</v>
      </c>
      <c r="AE465" s="23"/>
      <c r="AN465" s="23"/>
    </row>
    <row r="466" spans="1:40" ht="17" x14ac:dyDescent="0.2">
      <c r="A466" s="24" t="s">
        <v>208</v>
      </c>
      <c r="B466" s="24" t="s">
        <v>205</v>
      </c>
      <c r="C466" s="32" t="s">
        <v>0</v>
      </c>
      <c r="H466" s="2" t="s">
        <v>28</v>
      </c>
      <c r="I466" s="243" t="s">
        <v>1007</v>
      </c>
      <c r="J466" s="3">
        <v>93.9</v>
      </c>
      <c r="K466" s="3">
        <v>1.7</v>
      </c>
      <c r="L466" s="3">
        <v>10</v>
      </c>
      <c r="M466" s="3">
        <v>0.34</v>
      </c>
      <c r="N466" s="36">
        <v>10</v>
      </c>
      <c r="O466" s="3">
        <v>0.13</v>
      </c>
      <c r="P466" s="4">
        <f t="shared" si="109"/>
        <v>0</v>
      </c>
      <c r="Q466" s="3">
        <v>10</v>
      </c>
      <c r="R466" s="3">
        <v>80.400000000000006</v>
      </c>
      <c r="S466" s="3">
        <v>0.37</v>
      </c>
      <c r="X466" s="36"/>
      <c r="AI466" s="23"/>
      <c r="AN466" s="23"/>
    </row>
    <row r="467" spans="1:40" ht="85" x14ac:dyDescent="0.2">
      <c r="A467" s="24" t="s">
        <v>208</v>
      </c>
      <c r="B467" s="24" t="s">
        <v>205</v>
      </c>
      <c r="C467" s="32" t="s">
        <v>0</v>
      </c>
      <c r="H467" s="2" t="s">
        <v>28</v>
      </c>
      <c r="I467" s="243" t="s">
        <v>1026</v>
      </c>
      <c r="J467" s="3">
        <v>87.32</v>
      </c>
      <c r="K467" s="3">
        <v>1.43</v>
      </c>
      <c r="L467" s="3">
        <v>6</v>
      </c>
      <c r="M467" s="3">
        <v>1.3</v>
      </c>
      <c r="N467" s="36">
        <v>14</v>
      </c>
      <c r="O467" s="3">
        <v>0.18</v>
      </c>
      <c r="P467" s="4">
        <f>30.5/1000</f>
        <v>3.0499999999999999E-2</v>
      </c>
      <c r="Q467" s="3">
        <v>17</v>
      </c>
      <c r="R467" s="3">
        <v>128</v>
      </c>
      <c r="X467" s="36"/>
      <c r="AI467" s="23"/>
      <c r="AN467" s="23"/>
    </row>
    <row r="468" spans="1:40" ht="17" x14ac:dyDescent="0.2">
      <c r="A468" s="24" t="s">
        <v>208</v>
      </c>
      <c r="B468" s="24" t="s">
        <v>205</v>
      </c>
      <c r="C468" s="32" t="s">
        <v>0</v>
      </c>
      <c r="H468" s="2" t="s">
        <v>28</v>
      </c>
      <c r="I468" s="243" t="s">
        <v>1007</v>
      </c>
      <c r="J468" s="3">
        <v>92.2</v>
      </c>
      <c r="K468" s="3">
        <v>2.1</v>
      </c>
      <c r="L468" s="3">
        <v>7</v>
      </c>
      <c r="M468" s="3">
        <v>0.43</v>
      </c>
      <c r="N468" s="3">
        <v>12</v>
      </c>
      <c r="O468" s="3">
        <v>0.25</v>
      </c>
      <c r="P468" s="4">
        <f t="shared" si="109"/>
        <v>0</v>
      </c>
      <c r="Q468" s="3">
        <v>46</v>
      </c>
      <c r="R468" s="3">
        <v>127.7</v>
      </c>
      <c r="S468" s="3">
        <v>1.58</v>
      </c>
      <c r="AI468" s="23"/>
      <c r="AN468" s="23"/>
    </row>
    <row r="469" spans="1:40" ht="34" x14ac:dyDescent="0.2">
      <c r="A469" s="31" t="s">
        <v>207</v>
      </c>
      <c r="B469" s="31" t="s">
        <v>205</v>
      </c>
      <c r="H469" s="2" t="s">
        <v>28</v>
      </c>
      <c r="I469" s="243" t="s">
        <v>1009</v>
      </c>
      <c r="K469" s="3">
        <v>0.69</v>
      </c>
      <c r="L469" s="3">
        <v>11</v>
      </c>
      <c r="O469" s="3">
        <v>7.0000000000000007E-2</v>
      </c>
      <c r="P469" s="4">
        <f t="shared" si="109"/>
        <v>0</v>
      </c>
      <c r="R469" s="3">
        <v>46</v>
      </c>
      <c r="S469" s="3">
        <v>6.43</v>
      </c>
      <c r="AN469" s="23"/>
    </row>
    <row r="470" spans="1:40" ht="34" x14ac:dyDescent="0.2">
      <c r="A470" s="31" t="s">
        <v>204</v>
      </c>
      <c r="B470" s="31" t="s">
        <v>205</v>
      </c>
      <c r="H470" s="2" t="s">
        <v>28</v>
      </c>
      <c r="I470" s="243" t="s">
        <v>1009</v>
      </c>
      <c r="K470" s="3">
        <v>0.55000000000000004</v>
      </c>
      <c r="L470" s="3">
        <v>10</v>
      </c>
      <c r="M470" s="3">
        <v>2.3199999999999998</v>
      </c>
      <c r="O470" s="3">
        <v>0.62</v>
      </c>
      <c r="P470" s="4">
        <f t="shared" si="109"/>
        <v>0</v>
      </c>
      <c r="R470" s="3">
        <v>84</v>
      </c>
      <c r="S470" s="3">
        <v>0.72</v>
      </c>
      <c r="AN470" s="23"/>
    </row>
    <row r="471" spans="1:40" ht="34" x14ac:dyDescent="0.2">
      <c r="A471" s="46" t="s">
        <v>204</v>
      </c>
      <c r="B471" s="46" t="s">
        <v>205</v>
      </c>
      <c r="H471" s="2" t="s">
        <v>28</v>
      </c>
      <c r="I471" s="243" t="s">
        <v>1009</v>
      </c>
      <c r="K471" s="3">
        <v>0.59</v>
      </c>
      <c r="L471" s="3">
        <v>101</v>
      </c>
      <c r="M471" s="36">
        <v>1.86</v>
      </c>
      <c r="O471" s="3">
        <v>0.32</v>
      </c>
      <c r="P471" s="4">
        <f t="shared" si="109"/>
        <v>0</v>
      </c>
      <c r="R471" s="3">
        <v>153</v>
      </c>
      <c r="S471" s="3">
        <v>2.69</v>
      </c>
      <c r="W471" s="36"/>
      <c r="AN471" s="23"/>
    </row>
    <row r="472" spans="1:40" ht="34" x14ac:dyDescent="0.2">
      <c r="A472" s="24" t="s">
        <v>204</v>
      </c>
      <c r="B472" s="24" t="s">
        <v>205</v>
      </c>
      <c r="H472" s="2" t="s">
        <v>28</v>
      </c>
      <c r="I472" s="243" t="s">
        <v>1009</v>
      </c>
      <c r="K472" s="3">
        <v>0.66</v>
      </c>
      <c r="L472" s="3">
        <v>6</v>
      </c>
      <c r="M472" s="3">
        <v>1.6</v>
      </c>
      <c r="O472" s="3">
        <v>0.89</v>
      </c>
      <c r="P472" s="4">
        <f t="shared" si="109"/>
        <v>0</v>
      </c>
      <c r="R472" s="3">
        <v>131</v>
      </c>
      <c r="S472" s="3">
        <v>3.8</v>
      </c>
      <c r="AN472" s="23"/>
    </row>
    <row r="473" spans="1:40" ht="34" x14ac:dyDescent="0.2">
      <c r="A473" s="31" t="s">
        <v>204</v>
      </c>
      <c r="B473" s="31" t="s">
        <v>205</v>
      </c>
      <c r="H473" s="2" t="s">
        <v>28</v>
      </c>
      <c r="I473" s="243" t="s">
        <v>1009</v>
      </c>
      <c r="K473" s="3">
        <v>0.5</v>
      </c>
      <c r="L473" s="3">
        <v>9</v>
      </c>
      <c r="M473" s="3">
        <v>0.99</v>
      </c>
      <c r="O473" s="3">
        <v>0.1</v>
      </c>
      <c r="P473" s="4">
        <f t="shared" si="109"/>
        <v>0</v>
      </c>
      <c r="R473" s="3">
        <v>165</v>
      </c>
      <c r="S473" s="3">
        <v>1.1299999999999999</v>
      </c>
      <c r="AN473" s="23"/>
    </row>
    <row r="474" spans="1:40" ht="34" x14ac:dyDescent="0.2">
      <c r="A474" s="31" t="s">
        <v>204</v>
      </c>
      <c r="B474" s="31" t="s">
        <v>205</v>
      </c>
      <c r="H474" s="2" t="s">
        <v>28</v>
      </c>
      <c r="I474" s="243" t="s">
        <v>1009</v>
      </c>
      <c r="K474" s="3">
        <v>0.49</v>
      </c>
      <c r="L474" s="3">
        <v>14</v>
      </c>
      <c r="M474" s="3">
        <v>0.93</v>
      </c>
      <c r="O474" s="3">
        <v>0.13</v>
      </c>
      <c r="P474" s="4">
        <f t="shared" si="109"/>
        <v>0</v>
      </c>
      <c r="R474" s="3">
        <v>45</v>
      </c>
      <c r="AN474" s="23"/>
    </row>
    <row r="475" spans="1:40" ht="34" x14ac:dyDescent="0.2">
      <c r="A475" s="24" t="s">
        <v>204</v>
      </c>
      <c r="B475" s="24" t="s">
        <v>205</v>
      </c>
      <c r="H475" s="2" t="s">
        <v>28</v>
      </c>
      <c r="I475" s="243" t="s">
        <v>1009</v>
      </c>
      <c r="K475" s="3">
        <v>0.75</v>
      </c>
      <c r="L475" s="3">
        <v>7</v>
      </c>
      <c r="M475" s="3">
        <v>0.82</v>
      </c>
      <c r="O475" s="3">
        <v>0.19</v>
      </c>
      <c r="P475" s="4">
        <f t="shared" si="109"/>
        <v>0</v>
      </c>
      <c r="R475" s="3">
        <v>149</v>
      </c>
      <c r="S475" s="3">
        <v>4.4800000000000004</v>
      </c>
      <c r="AN475" s="23"/>
    </row>
    <row r="476" spans="1:40" ht="34" x14ac:dyDescent="0.2">
      <c r="A476" s="34" t="s">
        <v>204</v>
      </c>
      <c r="B476" s="34" t="s">
        <v>205</v>
      </c>
      <c r="H476" s="2" t="s">
        <v>28</v>
      </c>
      <c r="I476" s="243" t="s">
        <v>1009</v>
      </c>
      <c r="K476" s="3">
        <v>0.59</v>
      </c>
      <c r="L476" s="3">
        <v>11</v>
      </c>
      <c r="M476" s="36">
        <v>0.51</v>
      </c>
      <c r="O476" s="3">
        <v>0.15</v>
      </c>
      <c r="P476" s="4" t="s">
        <v>0</v>
      </c>
      <c r="R476" s="3">
        <v>72</v>
      </c>
      <c r="S476" s="3">
        <v>0.78</v>
      </c>
      <c r="W476" s="36"/>
    </row>
    <row r="477" spans="1:40" ht="34" x14ac:dyDescent="0.2">
      <c r="A477" s="31" t="s">
        <v>204</v>
      </c>
      <c r="B477" s="31" t="s">
        <v>205</v>
      </c>
      <c r="H477" s="2" t="s">
        <v>28</v>
      </c>
      <c r="I477" s="243" t="s">
        <v>1009</v>
      </c>
      <c r="K477" s="3">
        <v>0.56000000000000005</v>
      </c>
      <c r="L477" s="3">
        <v>11.4</v>
      </c>
      <c r="M477" s="3">
        <v>0.43</v>
      </c>
      <c r="O477" s="3">
        <v>7.0000000000000007E-2</v>
      </c>
      <c r="P477" s="4" t="s">
        <v>0</v>
      </c>
      <c r="R477" s="3">
        <v>81</v>
      </c>
      <c r="S477" s="3">
        <v>0.6</v>
      </c>
    </row>
    <row r="478" spans="1:40" ht="34" x14ac:dyDescent="0.2">
      <c r="A478" s="24" t="s">
        <v>204</v>
      </c>
      <c r="B478" s="24" t="s">
        <v>205</v>
      </c>
      <c r="H478" s="2" t="s">
        <v>28</v>
      </c>
      <c r="I478" s="243" t="s">
        <v>1009</v>
      </c>
      <c r="K478" s="3">
        <v>0.71</v>
      </c>
      <c r="L478" s="3">
        <v>7</v>
      </c>
      <c r="M478" s="3">
        <v>0.12</v>
      </c>
      <c r="O478" s="3">
        <v>0.08</v>
      </c>
      <c r="P478" s="4" t="s">
        <v>0</v>
      </c>
      <c r="R478" s="3">
        <v>101</v>
      </c>
      <c r="S478" s="3">
        <v>0.75</v>
      </c>
    </row>
    <row r="479" spans="1:40" ht="34" x14ac:dyDescent="0.2">
      <c r="A479" s="24" t="s">
        <v>204</v>
      </c>
      <c r="B479" s="24" t="s">
        <v>205</v>
      </c>
      <c r="H479" s="2" t="s">
        <v>28</v>
      </c>
      <c r="I479" s="243" t="s">
        <v>1010</v>
      </c>
      <c r="J479" s="3">
        <v>86</v>
      </c>
      <c r="K479" s="3">
        <v>2.2999999999999998</v>
      </c>
      <c r="L479" s="3">
        <v>9</v>
      </c>
      <c r="M479" s="3">
        <v>1.1000000000000001</v>
      </c>
      <c r="N479" s="3">
        <v>27</v>
      </c>
      <c r="P479" s="4">
        <f t="shared" ref="P479:P481" si="110">AN479</f>
        <v>0</v>
      </c>
      <c r="R479" s="3">
        <v>260</v>
      </c>
      <c r="AI479" s="23"/>
      <c r="AN479" s="23"/>
    </row>
    <row r="480" spans="1:40" ht="34" x14ac:dyDescent="0.2">
      <c r="A480" s="24" t="s">
        <v>204</v>
      </c>
      <c r="B480" s="24" t="s">
        <v>205</v>
      </c>
      <c r="H480" s="2" t="s">
        <v>28</v>
      </c>
      <c r="I480" s="243" t="s">
        <v>1010</v>
      </c>
      <c r="J480" s="3">
        <v>92.8</v>
      </c>
      <c r="K480" s="3">
        <v>1.3</v>
      </c>
      <c r="L480" s="3">
        <v>8</v>
      </c>
      <c r="M480" s="3">
        <v>0.8</v>
      </c>
      <c r="N480" s="3">
        <v>16</v>
      </c>
      <c r="P480" s="4">
        <f t="shared" si="110"/>
        <v>0</v>
      </c>
      <c r="R480" s="3">
        <v>144</v>
      </c>
      <c r="AI480" s="23"/>
      <c r="AN480" s="23"/>
    </row>
    <row r="481" spans="1:50" ht="34" x14ac:dyDescent="0.2">
      <c r="A481" s="24" t="s">
        <v>204</v>
      </c>
      <c r="B481" s="31" t="s">
        <v>205</v>
      </c>
      <c r="F481" s="1"/>
      <c r="G481" s="1"/>
      <c r="H481" s="1" t="s">
        <v>28</v>
      </c>
      <c r="I481" s="243" t="s">
        <v>1010</v>
      </c>
      <c r="J481" s="3">
        <v>82.6</v>
      </c>
      <c r="K481" s="3">
        <v>1.7</v>
      </c>
      <c r="L481" s="3">
        <v>33</v>
      </c>
      <c r="M481" s="3">
        <v>2</v>
      </c>
      <c r="N481" s="3">
        <v>25</v>
      </c>
      <c r="P481" s="4">
        <f t="shared" si="110"/>
        <v>0</v>
      </c>
      <c r="R481" s="3">
        <v>163</v>
      </c>
      <c r="AI481" s="23"/>
      <c r="AN481" s="23"/>
    </row>
    <row r="482" spans="1:50" s="71" customFormat="1" x14ac:dyDescent="0.2">
      <c r="A482" s="70" t="s">
        <v>204</v>
      </c>
      <c r="B482" s="70" t="s">
        <v>205</v>
      </c>
      <c r="C482" s="71" t="s">
        <v>206</v>
      </c>
      <c r="D482" s="71" t="s">
        <v>25</v>
      </c>
      <c r="E482" s="71" t="s">
        <v>46</v>
      </c>
      <c r="F482" s="71" t="s">
        <v>783</v>
      </c>
      <c r="H482" s="71" t="s">
        <v>28</v>
      </c>
      <c r="I482" s="87"/>
      <c r="J482" s="72">
        <f t="shared" ref="J482" si="111">AVERAGEIF(J463:J481, "&lt;&gt;0")</f>
        <v>87.691111111111113</v>
      </c>
      <c r="K482" s="72">
        <f t="shared" ref="K482:S482" si="112">AVERAGEIF(K463:K481, "&lt;&gt;0")</f>
        <v>1.3384210526315787</v>
      </c>
      <c r="L482" s="72">
        <f t="shared" si="112"/>
        <v>17.49476842105263</v>
      </c>
      <c r="M482" s="72">
        <f t="shared" si="112"/>
        <v>1.1298111111111111</v>
      </c>
      <c r="N482" s="72">
        <f t="shared" si="112"/>
        <v>17.333333333333332</v>
      </c>
      <c r="O482" s="72">
        <f t="shared" si="112"/>
        <v>0.2446153846153846</v>
      </c>
      <c r="P482" s="72">
        <f>AVERAGE(P463:P481)</f>
        <v>1.90625E-3</v>
      </c>
      <c r="Q482" s="72">
        <f t="shared" si="112"/>
        <v>24.333333333333332</v>
      </c>
      <c r="R482" s="72">
        <f t="shared" si="112"/>
        <v>116.79510526315789</v>
      </c>
      <c r="S482" s="72">
        <f t="shared" si="112"/>
        <v>2.1209090909090911</v>
      </c>
      <c r="T482" s="72"/>
      <c r="U482" s="72"/>
      <c r="V482" s="72"/>
      <c r="W482" s="72"/>
      <c r="X482" s="72"/>
      <c r="Y482" s="72"/>
      <c r="Z482" s="72"/>
      <c r="AA482" s="72"/>
      <c r="AB482" s="72"/>
      <c r="AC482" s="73"/>
      <c r="AD482" s="73"/>
      <c r="AE482" s="73"/>
      <c r="AF482" s="73"/>
      <c r="AG482" s="73"/>
      <c r="AH482" s="73"/>
      <c r="AI482" s="73"/>
      <c r="AJ482" s="73"/>
      <c r="AK482" s="73"/>
      <c r="AL482" s="73"/>
      <c r="AM482" s="73"/>
      <c r="AN482" s="73"/>
      <c r="AO482" s="73"/>
      <c r="AP482" s="73"/>
      <c r="AQ482" s="73"/>
      <c r="AR482" s="73"/>
      <c r="AS482" s="73"/>
      <c r="AT482" s="73"/>
      <c r="AU482" s="73"/>
      <c r="AV482" s="73"/>
      <c r="AW482" s="73"/>
      <c r="AX482" s="73"/>
    </row>
    <row r="483" spans="1:50" ht="51" x14ac:dyDescent="0.2">
      <c r="A483" s="24" t="s">
        <v>208</v>
      </c>
      <c r="B483" s="24" t="s">
        <v>722</v>
      </c>
      <c r="H483" s="2" t="s">
        <v>28</v>
      </c>
      <c r="I483" s="243" t="s">
        <v>1028</v>
      </c>
      <c r="J483" s="3">
        <v>77.900000000000006</v>
      </c>
      <c r="L483" s="3">
        <v>48</v>
      </c>
      <c r="M483" s="3">
        <v>6.3</v>
      </c>
      <c r="P483" s="4" t="s">
        <v>0</v>
      </c>
      <c r="R483" s="3">
        <v>61</v>
      </c>
    </row>
    <row r="484" spans="1:50" s="71" customFormat="1" ht="15" customHeight="1" x14ac:dyDescent="0.2">
      <c r="A484" s="70" t="s">
        <v>208</v>
      </c>
      <c r="B484" s="70" t="s">
        <v>722</v>
      </c>
      <c r="C484" s="71" t="s">
        <v>866</v>
      </c>
      <c r="D484" s="71" t="s">
        <v>31</v>
      </c>
      <c r="E484" s="71" t="s">
        <v>32</v>
      </c>
      <c r="F484" s="71" t="s">
        <v>783</v>
      </c>
      <c r="H484" s="71" t="s">
        <v>28</v>
      </c>
      <c r="I484" s="87"/>
      <c r="J484" s="72">
        <f>J483</f>
        <v>77.900000000000006</v>
      </c>
      <c r="K484" s="72"/>
      <c r="L484" s="72">
        <f>L483</f>
        <v>48</v>
      </c>
      <c r="M484" s="72">
        <f>M483</f>
        <v>6.3</v>
      </c>
      <c r="N484" s="72"/>
      <c r="O484" s="72"/>
      <c r="P484" s="72"/>
      <c r="Q484" s="72"/>
      <c r="R484" s="72">
        <f>R483</f>
        <v>61</v>
      </c>
      <c r="S484" s="72"/>
      <c r="T484" s="72"/>
      <c r="U484" s="72"/>
      <c r="V484" s="72"/>
      <c r="W484" s="72"/>
      <c r="X484" s="72"/>
      <c r="Y484" s="72"/>
      <c r="Z484" s="72"/>
      <c r="AA484" s="72"/>
      <c r="AB484" s="72"/>
      <c r="AC484" s="73"/>
      <c r="AD484" s="73"/>
      <c r="AE484" s="73"/>
      <c r="AF484" s="73"/>
      <c r="AG484" s="73"/>
      <c r="AH484" s="73"/>
      <c r="AI484" s="73"/>
      <c r="AJ484" s="73"/>
      <c r="AK484" s="73"/>
      <c r="AL484" s="73"/>
      <c r="AM484" s="73"/>
      <c r="AN484" s="73"/>
      <c r="AO484" s="73"/>
      <c r="AP484" s="73"/>
      <c r="AQ484" s="73"/>
      <c r="AR484" s="73"/>
      <c r="AS484" s="73"/>
      <c r="AT484" s="73"/>
      <c r="AU484" s="73"/>
      <c r="AV484" s="73"/>
      <c r="AW484" s="73"/>
      <c r="AX484" s="73"/>
    </row>
    <row r="485" spans="1:50" ht="51" x14ac:dyDescent="0.2">
      <c r="A485" s="24" t="s">
        <v>209</v>
      </c>
      <c r="B485" s="24" t="s">
        <v>210</v>
      </c>
      <c r="H485" s="2" t="s">
        <v>28</v>
      </c>
      <c r="I485" s="243" t="s">
        <v>1028</v>
      </c>
      <c r="J485" s="3">
        <v>89.3</v>
      </c>
      <c r="L485" s="3">
        <v>6</v>
      </c>
      <c r="M485" s="3">
        <v>0.8</v>
      </c>
      <c r="P485" s="4" t="s">
        <v>0</v>
      </c>
      <c r="R485" s="3">
        <v>36</v>
      </c>
    </row>
    <row r="486" spans="1:50" s="22" customFormat="1" ht="17" x14ac:dyDescent="0.2">
      <c r="A486" s="25" t="s">
        <v>204</v>
      </c>
      <c r="B486" s="25" t="s">
        <v>210</v>
      </c>
      <c r="C486" s="26"/>
      <c r="D486" s="2"/>
      <c r="E486" s="2"/>
      <c r="F486" s="26"/>
      <c r="G486" s="26"/>
      <c r="H486" s="26" t="s">
        <v>28</v>
      </c>
      <c r="I486" s="65" t="s">
        <v>1006</v>
      </c>
      <c r="J486" s="4">
        <v>89</v>
      </c>
      <c r="K486" s="4">
        <v>0.99509999999999976</v>
      </c>
      <c r="L486" s="4">
        <v>6.002699999999999</v>
      </c>
      <c r="M486" s="4">
        <v>0.6954999999999999</v>
      </c>
      <c r="N486" s="4"/>
      <c r="O486" s="4"/>
      <c r="P486" s="4">
        <f t="shared" ref="P486" si="113">AN486</f>
        <v>0</v>
      </c>
      <c r="Q486" s="4"/>
      <c r="R486" s="4">
        <v>34.988999999999997</v>
      </c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</row>
    <row r="487" spans="1:50" s="71" customFormat="1" ht="15" customHeight="1" x14ac:dyDescent="0.2">
      <c r="A487" s="77" t="s">
        <v>204</v>
      </c>
      <c r="B487" s="77" t="s">
        <v>210</v>
      </c>
      <c r="C487" s="78" t="s">
        <v>211</v>
      </c>
      <c r="D487" s="71" t="s">
        <v>25</v>
      </c>
      <c r="E487" s="78" t="s">
        <v>46</v>
      </c>
      <c r="F487" s="71" t="s">
        <v>783</v>
      </c>
      <c r="G487" s="78"/>
      <c r="H487" s="78" t="s">
        <v>28</v>
      </c>
      <c r="I487" s="87"/>
      <c r="J487" s="72">
        <f t="shared" ref="J487" si="114">AVERAGEIF(J485:J486, "&lt;&gt;0")</f>
        <v>89.15</v>
      </c>
      <c r="K487" s="72">
        <f>AVERAGEIF(K485:K486, "&lt;&gt;0")</f>
        <v>0.99509999999999976</v>
      </c>
      <c r="L487" s="72">
        <f>AVERAGEIF(L485:L486, "&lt;&gt;0")</f>
        <v>6.0013499999999995</v>
      </c>
      <c r="M487" s="72">
        <f>AVERAGEIF(M485:M486, "&lt;&gt;0")</f>
        <v>0.74774999999999991</v>
      </c>
      <c r="N487" s="72"/>
      <c r="O487" s="72"/>
      <c r="P487" s="72">
        <f>AVERAGE(P485:P486)</f>
        <v>0</v>
      </c>
      <c r="Q487" s="72"/>
      <c r="R487" s="72">
        <f>AVERAGEIF(R485:R486, "&lt;&gt;0")</f>
        <v>35.494500000000002</v>
      </c>
      <c r="S487" s="72"/>
      <c r="T487" s="72"/>
      <c r="U487" s="72"/>
      <c r="V487" s="72"/>
      <c r="W487" s="72"/>
      <c r="X487" s="72"/>
      <c r="Y487" s="72"/>
      <c r="Z487" s="72"/>
      <c r="AA487" s="72"/>
      <c r="AB487" s="72"/>
      <c r="AC487" s="73"/>
      <c r="AD487" s="73"/>
      <c r="AE487" s="73"/>
      <c r="AF487" s="73"/>
      <c r="AG487" s="73"/>
      <c r="AH487" s="73"/>
      <c r="AI487" s="73"/>
      <c r="AJ487" s="73"/>
      <c r="AK487" s="73"/>
      <c r="AL487" s="73"/>
      <c r="AM487" s="73"/>
      <c r="AN487" s="73"/>
      <c r="AO487" s="73"/>
      <c r="AP487" s="73"/>
      <c r="AQ487" s="73"/>
      <c r="AR487" s="73"/>
      <c r="AS487" s="73"/>
      <c r="AT487" s="73"/>
      <c r="AU487" s="73"/>
      <c r="AV487" s="73"/>
      <c r="AW487" s="73"/>
      <c r="AX487" s="73"/>
    </row>
    <row r="488" spans="1:50" ht="17" x14ac:dyDescent="0.2">
      <c r="A488" s="24" t="s">
        <v>212</v>
      </c>
      <c r="B488" s="24" t="s">
        <v>213</v>
      </c>
      <c r="H488" s="2" t="s">
        <v>214</v>
      </c>
      <c r="I488" s="243" t="s">
        <v>1013</v>
      </c>
      <c r="J488" s="3">
        <v>92.6</v>
      </c>
      <c r="K488" s="3">
        <v>2</v>
      </c>
      <c r="L488" s="3">
        <v>47</v>
      </c>
      <c r="M488" s="3">
        <v>0.6</v>
      </c>
      <c r="O488" s="3">
        <v>0</v>
      </c>
      <c r="P488" s="4" t="s">
        <v>0</v>
      </c>
      <c r="R488" s="3">
        <v>29</v>
      </c>
    </row>
    <row r="489" spans="1:50" ht="51" x14ac:dyDescent="0.2">
      <c r="A489" s="24" t="s">
        <v>212</v>
      </c>
      <c r="B489" s="24" t="s">
        <v>213</v>
      </c>
      <c r="H489" s="2" t="s">
        <v>27</v>
      </c>
      <c r="I489" s="243" t="s">
        <v>1011</v>
      </c>
      <c r="J489" s="3">
        <v>92</v>
      </c>
      <c r="K489" s="3">
        <v>1.5</v>
      </c>
      <c r="L489" s="3">
        <v>38</v>
      </c>
      <c r="M489" s="3">
        <v>0.3</v>
      </c>
      <c r="N489" s="3">
        <v>20</v>
      </c>
      <c r="O489" s="3">
        <v>0.2</v>
      </c>
      <c r="P489" s="4" t="s">
        <v>0</v>
      </c>
      <c r="R489" s="3">
        <v>40</v>
      </c>
      <c r="S489" s="3">
        <v>0.8</v>
      </c>
    </row>
    <row r="490" spans="1:50" s="22" customFormat="1" ht="17" x14ac:dyDescent="0.2">
      <c r="A490" s="25" t="s">
        <v>212</v>
      </c>
      <c r="B490" s="25" t="s">
        <v>213</v>
      </c>
      <c r="C490" s="26" t="s">
        <v>0</v>
      </c>
      <c r="D490" s="2"/>
      <c r="E490" s="2"/>
      <c r="F490" s="26"/>
      <c r="G490" s="26"/>
      <c r="H490" s="26" t="s">
        <v>27</v>
      </c>
      <c r="I490" s="65" t="s">
        <v>1006</v>
      </c>
      <c r="J490" s="4">
        <v>92</v>
      </c>
      <c r="K490" s="4">
        <v>0.90059999999999951</v>
      </c>
      <c r="L490" s="4">
        <v>37.998999999999981</v>
      </c>
      <c r="M490" s="4">
        <v>0.30019999999999986</v>
      </c>
      <c r="N490" s="4"/>
      <c r="O490" s="4"/>
      <c r="P490" s="4">
        <f t="shared" ref="P490" si="115">AN490</f>
        <v>0</v>
      </c>
      <c r="Q490" s="4"/>
      <c r="R490" s="4">
        <v>39.99769999999998</v>
      </c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  <c r="AN490" s="23"/>
      <c r="AO490" s="23"/>
      <c r="AP490" s="23"/>
      <c r="AQ490" s="23"/>
      <c r="AR490" s="23"/>
      <c r="AS490" s="23"/>
      <c r="AT490" s="23"/>
      <c r="AU490" s="23"/>
      <c r="AV490" s="23"/>
      <c r="AW490" s="23"/>
      <c r="AX490" s="23"/>
    </row>
    <row r="491" spans="1:50" s="71" customFormat="1" ht="15" customHeight="1" x14ac:dyDescent="0.2">
      <c r="A491" s="77" t="s">
        <v>212</v>
      </c>
      <c r="B491" s="77" t="s">
        <v>213</v>
      </c>
      <c r="C491" s="78" t="s">
        <v>213</v>
      </c>
      <c r="D491" s="71" t="s">
        <v>31</v>
      </c>
      <c r="E491" s="78" t="s">
        <v>32</v>
      </c>
      <c r="F491" s="78" t="s">
        <v>781</v>
      </c>
      <c r="G491" s="78"/>
      <c r="H491" s="78" t="s">
        <v>27</v>
      </c>
      <c r="I491" s="87"/>
      <c r="J491" s="72">
        <f t="shared" ref="J491" si="116">AVERAGEIF(J488:J490, "&lt;&gt;0")</f>
        <v>92.2</v>
      </c>
      <c r="K491" s="72">
        <f t="shared" ref="K491:O491" si="117">AVERAGEIF(K488:K490, "&lt;&gt;0")</f>
        <v>1.4668666666666665</v>
      </c>
      <c r="L491" s="72">
        <f t="shared" si="117"/>
        <v>40.999666666666663</v>
      </c>
      <c r="M491" s="72">
        <f t="shared" si="117"/>
        <v>0.40006666666666657</v>
      </c>
      <c r="N491" s="72">
        <f t="shared" si="117"/>
        <v>20</v>
      </c>
      <c r="O491" s="72">
        <f t="shared" si="117"/>
        <v>0.2</v>
      </c>
      <c r="P491" s="72">
        <f>AVERAGE(P488:P490)</f>
        <v>0</v>
      </c>
      <c r="Q491" s="72" t="s">
        <v>0</v>
      </c>
      <c r="R491" s="72">
        <f>AVERAGEIF(R488:R490, "&lt;&gt;0")</f>
        <v>36.332566666666658</v>
      </c>
      <c r="S491" s="72">
        <f>AVERAGEIF(S488:S490, "&lt;&gt;0")</f>
        <v>0.8</v>
      </c>
      <c r="T491" s="72"/>
      <c r="U491" s="72"/>
      <c r="V491" s="72"/>
      <c r="W491" s="72"/>
      <c r="X491" s="72"/>
      <c r="Y491" s="72"/>
      <c r="Z491" s="72"/>
      <c r="AA491" s="72"/>
      <c r="AB491" s="72"/>
      <c r="AC491" s="73"/>
      <c r="AD491" s="73"/>
      <c r="AE491" s="73"/>
      <c r="AF491" s="73"/>
      <c r="AG491" s="73"/>
      <c r="AH491" s="73"/>
      <c r="AI491" s="73"/>
      <c r="AJ491" s="73"/>
      <c r="AK491" s="73"/>
      <c r="AL491" s="73"/>
      <c r="AM491" s="73"/>
      <c r="AN491" s="73"/>
      <c r="AO491" s="73"/>
      <c r="AP491" s="73"/>
      <c r="AQ491" s="73"/>
      <c r="AR491" s="73"/>
      <c r="AS491" s="73"/>
      <c r="AT491" s="73"/>
      <c r="AU491" s="73"/>
      <c r="AV491" s="73"/>
      <c r="AW491" s="73"/>
      <c r="AX491" s="73"/>
    </row>
    <row r="492" spans="1:50" ht="34" x14ac:dyDescent="0.2">
      <c r="A492" s="24" t="s">
        <v>215</v>
      </c>
      <c r="B492" s="24" t="s">
        <v>216</v>
      </c>
      <c r="F492" s="42"/>
      <c r="G492" s="42"/>
      <c r="H492" s="2" t="s">
        <v>33</v>
      </c>
      <c r="I492" s="243" t="s">
        <v>1009</v>
      </c>
      <c r="K492" s="3">
        <v>1.31</v>
      </c>
      <c r="L492" s="3">
        <v>225</v>
      </c>
      <c r="M492" s="3">
        <v>2.5299999999999998</v>
      </c>
      <c r="O492" s="3">
        <v>0.9</v>
      </c>
      <c r="P492" s="4">
        <f t="shared" ref="P492:P494" si="118">AN492</f>
        <v>0</v>
      </c>
      <c r="Q492" s="3">
        <v>147</v>
      </c>
      <c r="R492" s="3">
        <v>29</v>
      </c>
      <c r="S492" s="3">
        <v>1.18</v>
      </c>
      <c r="AN492" s="23"/>
    </row>
    <row r="493" spans="1:50" ht="34" x14ac:dyDescent="0.2">
      <c r="A493" s="24" t="s">
        <v>215</v>
      </c>
      <c r="B493" s="24" t="s">
        <v>216</v>
      </c>
      <c r="F493" s="42"/>
      <c r="G493" s="42"/>
      <c r="H493" s="2" t="s">
        <v>33</v>
      </c>
      <c r="I493" s="243" t="s">
        <v>1009</v>
      </c>
      <c r="K493" s="3">
        <v>1.41</v>
      </c>
      <c r="L493" s="3">
        <v>186</v>
      </c>
      <c r="M493" s="3">
        <v>2.2000000000000002</v>
      </c>
      <c r="N493" s="36"/>
      <c r="P493" s="4">
        <f t="shared" si="118"/>
        <v>0</v>
      </c>
      <c r="Q493" s="3">
        <v>155</v>
      </c>
      <c r="R493" s="3">
        <v>48</v>
      </c>
      <c r="S493" s="3">
        <v>1.93</v>
      </c>
      <c r="X493" s="36"/>
      <c r="AN493" s="23"/>
    </row>
    <row r="494" spans="1:50" ht="34" x14ac:dyDescent="0.2">
      <c r="A494" s="24" t="s">
        <v>215</v>
      </c>
      <c r="B494" s="24" t="s">
        <v>216</v>
      </c>
      <c r="F494" s="42"/>
      <c r="G494" s="42"/>
      <c r="H494" s="2" t="s">
        <v>33</v>
      </c>
      <c r="I494" s="243" t="s">
        <v>1009</v>
      </c>
      <c r="K494" s="3">
        <v>1.51</v>
      </c>
      <c r="L494" s="3">
        <v>177</v>
      </c>
      <c r="M494" s="3">
        <v>2.89</v>
      </c>
      <c r="P494" s="4">
        <f t="shared" si="118"/>
        <v>0</v>
      </c>
      <c r="Q494" s="3">
        <v>175</v>
      </c>
      <c r="R494" s="3">
        <v>59</v>
      </c>
      <c r="S494" s="3">
        <v>2.29</v>
      </c>
      <c r="AN494" s="23"/>
    </row>
    <row r="495" spans="1:50" ht="34" x14ac:dyDescent="0.2">
      <c r="A495" s="24" t="s">
        <v>215</v>
      </c>
      <c r="B495" s="24" t="s">
        <v>216</v>
      </c>
      <c r="F495" s="42"/>
      <c r="G495" s="42"/>
      <c r="H495" s="2" t="s">
        <v>33</v>
      </c>
      <c r="I495" s="243" t="s">
        <v>1005</v>
      </c>
      <c r="J495" s="3">
        <v>83.8</v>
      </c>
      <c r="K495" s="3">
        <v>1.8</v>
      </c>
      <c r="L495" s="3">
        <v>260</v>
      </c>
      <c r="M495" s="3">
        <v>7.8</v>
      </c>
      <c r="P495" s="4" t="s">
        <v>0</v>
      </c>
    </row>
    <row r="496" spans="1:50" ht="34" x14ac:dyDescent="0.2">
      <c r="A496" s="24" t="s">
        <v>215</v>
      </c>
      <c r="B496" s="24" t="s">
        <v>216</v>
      </c>
      <c r="F496" s="42"/>
      <c r="G496" s="42"/>
      <c r="H496" s="2" t="s">
        <v>33</v>
      </c>
      <c r="I496" s="243" t="s">
        <v>1010</v>
      </c>
      <c r="J496" s="3">
        <v>86.5</v>
      </c>
      <c r="K496" s="3">
        <v>1.5</v>
      </c>
      <c r="L496" s="3">
        <v>207</v>
      </c>
      <c r="M496" s="3">
        <v>6.4</v>
      </c>
      <c r="P496" s="4" t="s">
        <v>0</v>
      </c>
      <c r="R496" s="3">
        <v>10</v>
      </c>
      <c r="AI496" s="23"/>
    </row>
    <row r="497" spans="1:50" s="71" customFormat="1" x14ac:dyDescent="0.2">
      <c r="A497" s="70" t="s">
        <v>215</v>
      </c>
      <c r="B497" s="70" t="s">
        <v>216</v>
      </c>
      <c r="C497" s="71" t="s">
        <v>217</v>
      </c>
      <c r="D497" s="71" t="s">
        <v>56</v>
      </c>
      <c r="E497" s="71" t="s">
        <v>46</v>
      </c>
      <c r="F497" s="71" t="s">
        <v>782</v>
      </c>
      <c r="H497" s="71" t="s">
        <v>33</v>
      </c>
      <c r="I497" s="87"/>
      <c r="J497" s="72">
        <f t="shared" ref="J497" si="119">AVERAGEIF(J492:J496, "&lt;&gt;0")</f>
        <v>85.15</v>
      </c>
      <c r="K497" s="72">
        <f>AVERAGEIF(K492:K496, "&lt;&gt;0")</f>
        <v>1.5059999999999998</v>
      </c>
      <c r="L497" s="72">
        <f>AVERAGEIF(L492:L496, "&lt;&gt;0")</f>
        <v>211</v>
      </c>
      <c r="M497" s="72">
        <f>AVERAGEIF(M492:M496, "&lt;&gt;0")</f>
        <v>4.3639999999999999</v>
      </c>
      <c r="N497" s="72"/>
      <c r="O497" s="72">
        <f>AVERAGEIF(O492:O496, "&lt;&gt;0")</f>
        <v>0.9</v>
      </c>
      <c r="P497" s="72">
        <f>AVERAGE(P492:P496)</f>
        <v>0</v>
      </c>
      <c r="Q497" s="72">
        <f>AVERAGEIF(Q492:Q496, "&lt;&gt;0")</f>
        <v>159</v>
      </c>
      <c r="R497" s="72">
        <f>AVERAGEIF(R492:R496, "&lt;&gt;0")</f>
        <v>36.5</v>
      </c>
      <c r="S497" s="72">
        <f>AVERAGEIF(S492:S496, "&lt;&gt;0")</f>
        <v>1.8</v>
      </c>
      <c r="T497" s="72"/>
      <c r="U497" s="72"/>
      <c r="V497" s="72"/>
      <c r="W497" s="72"/>
      <c r="X497" s="72"/>
      <c r="Y497" s="72"/>
      <c r="Z497" s="72"/>
      <c r="AA497" s="72"/>
      <c r="AB497" s="72"/>
      <c r="AC497" s="73"/>
      <c r="AD497" s="73"/>
      <c r="AE497" s="73"/>
      <c r="AF497" s="73"/>
      <c r="AG497" s="73"/>
      <c r="AH497" s="73"/>
      <c r="AI497" s="73"/>
      <c r="AJ497" s="73"/>
      <c r="AK497" s="73"/>
      <c r="AL497" s="73"/>
      <c r="AM497" s="73"/>
      <c r="AN497" s="73"/>
      <c r="AO497" s="73"/>
      <c r="AP497" s="73"/>
      <c r="AQ497" s="73"/>
      <c r="AR497" s="73"/>
      <c r="AS497" s="73"/>
      <c r="AT497" s="73"/>
      <c r="AU497" s="73"/>
      <c r="AV497" s="73"/>
      <c r="AW497" s="73"/>
      <c r="AX497" s="73"/>
    </row>
    <row r="498" spans="1:50" ht="17" x14ac:dyDescent="0.2">
      <c r="A498" s="24" t="s">
        <v>218</v>
      </c>
      <c r="B498" s="24" t="s">
        <v>219</v>
      </c>
      <c r="G498" s="2" t="s">
        <v>0</v>
      </c>
      <c r="H498" s="2" t="s">
        <v>33</v>
      </c>
      <c r="I498" s="243" t="s">
        <v>1013</v>
      </c>
      <c r="J498" s="3">
        <v>87.8</v>
      </c>
      <c r="K498" s="3">
        <v>4.5</v>
      </c>
      <c r="L498" s="3">
        <v>182</v>
      </c>
      <c r="M498" s="3">
        <v>4.8</v>
      </c>
      <c r="P498" s="4" t="s">
        <v>0</v>
      </c>
      <c r="R498" s="3">
        <v>30</v>
      </c>
    </row>
    <row r="499" spans="1:50" ht="34" x14ac:dyDescent="0.2">
      <c r="A499" s="24" t="s">
        <v>218</v>
      </c>
      <c r="B499" s="24" t="s">
        <v>219</v>
      </c>
      <c r="H499" s="2" t="s">
        <v>33</v>
      </c>
      <c r="I499" s="243" t="s">
        <v>1019</v>
      </c>
      <c r="L499" s="3">
        <v>36</v>
      </c>
      <c r="M499" s="3">
        <v>7</v>
      </c>
      <c r="P499" s="4">
        <f t="shared" ref="P499:P501" si="120">AN499</f>
        <v>0</v>
      </c>
      <c r="R499" s="3">
        <v>19</v>
      </c>
      <c r="AI499" s="23"/>
      <c r="AN499" s="23"/>
    </row>
    <row r="500" spans="1:50" ht="34" x14ac:dyDescent="0.2">
      <c r="A500" s="24" t="s">
        <v>218</v>
      </c>
      <c r="B500" s="24" t="s">
        <v>219</v>
      </c>
      <c r="H500" s="2" t="s">
        <v>33</v>
      </c>
      <c r="I500" s="243" t="s">
        <v>1010</v>
      </c>
      <c r="J500" s="3">
        <v>87.7</v>
      </c>
      <c r="K500" s="3">
        <v>1.6</v>
      </c>
      <c r="L500" s="3">
        <v>170</v>
      </c>
      <c r="M500" s="3">
        <v>5.5</v>
      </c>
      <c r="P500" s="4">
        <f t="shared" si="120"/>
        <v>0</v>
      </c>
      <c r="R500" s="3">
        <v>7</v>
      </c>
      <c r="AI500" s="23"/>
      <c r="AN500" s="23"/>
    </row>
    <row r="501" spans="1:50" ht="17" x14ac:dyDescent="0.2">
      <c r="A501" s="31" t="s">
        <v>218</v>
      </c>
      <c r="B501" s="31" t="s">
        <v>219</v>
      </c>
      <c r="C501" s="1"/>
      <c r="H501" s="2" t="s">
        <v>33</v>
      </c>
      <c r="I501" s="243" t="s">
        <v>1006</v>
      </c>
      <c r="J501" s="3">
        <v>89</v>
      </c>
      <c r="K501" s="3">
        <v>2.0008999999999997</v>
      </c>
      <c r="L501" s="3">
        <v>170.00159999999997</v>
      </c>
      <c r="M501" s="3">
        <v>3.1029999999999998</v>
      </c>
      <c r="P501" s="4">
        <f t="shared" si="120"/>
        <v>0</v>
      </c>
      <c r="R501" s="3">
        <v>4.0017999999999994</v>
      </c>
      <c r="AE501" s="23"/>
      <c r="AN501" s="23"/>
    </row>
    <row r="502" spans="1:50" s="71" customFormat="1" x14ac:dyDescent="0.2">
      <c r="A502" s="77" t="s">
        <v>218</v>
      </c>
      <c r="B502" s="77" t="s">
        <v>219</v>
      </c>
      <c r="C502" s="78" t="s">
        <v>220</v>
      </c>
      <c r="D502" s="71" t="s">
        <v>31</v>
      </c>
      <c r="E502" s="78" t="s">
        <v>46</v>
      </c>
      <c r="F502" s="71" t="s">
        <v>782</v>
      </c>
      <c r="G502" s="78" t="s">
        <v>71</v>
      </c>
      <c r="H502" s="78" t="s">
        <v>33</v>
      </c>
      <c r="I502" s="87"/>
      <c r="J502" s="72">
        <f t="shared" ref="J502" si="121">AVERAGEIF(J498:J501, "&lt;&gt;0")</f>
        <v>88.166666666666671</v>
      </c>
      <c r="K502" s="72">
        <f>AVERAGEIF(K498:K501, "&lt;&gt;0")</f>
        <v>2.7002999999999999</v>
      </c>
      <c r="L502" s="72">
        <f>AVERAGEIF(L498:L501, "&lt;&gt;0")</f>
        <v>139.50039999999998</v>
      </c>
      <c r="M502" s="72">
        <f>AVERAGEIF(M498:M501, "&lt;&gt;0")</f>
        <v>5.1007499999999997</v>
      </c>
      <c r="N502" s="72"/>
      <c r="O502" s="72"/>
      <c r="P502" s="72">
        <f>AVERAGE(P498:P501)</f>
        <v>0</v>
      </c>
      <c r="Q502" s="72"/>
      <c r="R502" s="72">
        <f>AVERAGEIF(R498:R501, "&lt;&gt;0")</f>
        <v>15.000450000000001</v>
      </c>
      <c r="S502" s="72"/>
      <c r="T502" s="72"/>
      <c r="U502" s="72"/>
      <c r="V502" s="72"/>
      <c r="W502" s="72"/>
      <c r="X502" s="72"/>
      <c r="Y502" s="72"/>
      <c r="Z502" s="72"/>
      <c r="AA502" s="72"/>
      <c r="AB502" s="72"/>
      <c r="AC502" s="73"/>
      <c r="AD502" s="73"/>
      <c r="AE502" s="73"/>
      <c r="AF502" s="73"/>
      <c r="AG502" s="73"/>
      <c r="AH502" s="73"/>
      <c r="AI502" s="73"/>
      <c r="AJ502" s="73"/>
      <c r="AK502" s="73"/>
      <c r="AL502" s="73"/>
      <c r="AM502" s="73"/>
      <c r="AN502" s="73"/>
      <c r="AO502" s="73"/>
      <c r="AP502" s="73"/>
      <c r="AQ502" s="73"/>
      <c r="AR502" s="73"/>
      <c r="AS502" s="73"/>
      <c r="AT502" s="73"/>
      <c r="AU502" s="73"/>
      <c r="AV502" s="73"/>
      <c r="AW502" s="73"/>
      <c r="AX502" s="73"/>
    </row>
    <row r="503" spans="1:50" ht="51" x14ac:dyDescent="0.2">
      <c r="A503" s="24" t="s">
        <v>723</v>
      </c>
      <c r="B503" s="24" t="s">
        <v>1051</v>
      </c>
      <c r="F503" s="2" t="s">
        <v>0</v>
      </c>
      <c r="H503" s="2" t="s">
        <v>166</v>
      </c>
      <c r="I503" s="243" t="s">
        <v>1028</v>
      </c>
      <c r="J503" s="3">
        <v>85</v>
      </c>
      <c r="L503" s="3">
        <v>369</v>
      </c>
      <c r="M503" s="3">
        <v>1.4</v>
      </c>
      <c r="P503" s="4" t="s">
        <v>0</v>
      </c>
      <c r="R503" s="3">
        <v>14</v>
      </c>
    </row>
    <row r="504" spans="1:50" s="71" customFormat="1" ht="15" customHeight="1" x14ac:dyDescent="0.2">
      <c r="A504" s="70" t="s">
        <v>723</v>
      </c>
      <c r="B504" s="70" t="s">
        <v>1051</v>
      </c>
      <c r="C504" s="71" t="s">
        <v>724</v>
      </c>
      <c r="D504" s="71" t="s">
        <v>31</v>
      </c>
      <c r="E504" s="71" t="s">
        <v>32</v>
      </c>
      <c r="F504" s="71" t="s">
        <v>780</v>
      </c>
      <c r="H504" s="71" t="s">
        <v>166</v>
      </c>
      <c r="I504" s="87"/>
      <c r="J504" s="72">
        <f>J503</f>
        <v>85</v>
      </c>
      <c r="K504" s="72"/>
      <c r="L504" s="72">
        <f>L503</f>
        <v>369</v>
      </c>
      <c r="M504" s="72">
        <f>M503</f>
        <v>1.4</v>
      </c>
      <c r="N504" s="72"/>
      <c r="O504" s="72"/>
      <c r="P504" s="72"/>
      <c r="Q504" s="72"/>
      <c r="R504" s="72">
        <f>R503</f>
        <v>14</v>
      </c>
      <c r="S504" s="72"/>
      <c r="T504" s="72"/>
      <c r="U504" s="72"/>
      <c r="V504" s="72"/>
      <c r="W504" s="72"/>
      <c r="X504" s="72"/>
      <c r="Y504" s="72"/>
      <c r="Z504" s="72"/>
      <c r="AA504" s="72"/>
      <c r="AB504" s="72"/>
      <c r="AC504" s="73"/>
      <c r="AD504" s="73"/>
      <c r="AE504" s="73"/>
      <c r="AF504" s="73"/>
      <c r="AG504" s="73"/>
      <c r="AH504" s="73"/>
      <c r="AI504" s="73"/>
      <c r="AJ504" s="73"/>
      <c r="AK504" s="73"/>
      <c r="AL504" s="73"/>
      <c r="AM504" s="73"/>
      <c r="AN504" s="73"/>
      <c r="AO504" s="73"/>
      <c r="AP504" s="73"/>
      <c r="AQ504" s="73"/>
      <c r="AR504" s="73"/>
      <c r="AS504" s="73"/>
      <c r="AT504" s="73"/>
      <c r="AU504" s="73"/>
      <c r="AV504" s="73"/>
      <c r="AW504" s="73"/>
      <c r="AX504" s="73"/>
    </row>
    <row r="505" spans="1:50" s="22" customFormat="1" ht="15" customHeight="1" x14ac:dyDescent="0.2">
      <c r="A505" s="25" t="s">
        <v>221</v>
      </c>
      <c r="B505" s="25" t="s">
        <v>222</v>
      </c>
      <c r="C505" s="22" t="s">
        <v>0</v>
      </c>
      <c r="D505" s="2"/>
      <c r="E505" s="2"/>
      <c r="F505" s="22" t="s">
        <v>0</v>
      </c>
      <c r="H505" s="22" t="s">
        <v>33</v>
      </c>
      <c r="I505" s="65" t="s">
        <v>1029</v>
      </c>
      <c r="J505" s="4"/>
      <c r="K505" s="4"/>
      <c r="L505" s="4">
        <v>110</v>
      </c>
      <c r="M505" s="4">
        <v>3.5</v>
      </c>
      <c r="N505" s="4">
        <v>66</v>
      </c>
      <c r="O505" s="4"/>
      <c r="P505" s="4"/>
      <c r="Q505" s="4"/>
      <c r="R505" s="4">
        <v>184</v>
      </c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23"/>
      <c r="AD505" s="23"/>
      <c r="AE505" s="23"/>
      <c r="AF505" s="23"/>
      <c r="AG505" s="23"/>
      <c r="AH505" s="23"/>
      <c r="AI505" s="23"/>
      <c r="AJ505" s="23"/>
      <c r="AK505" s="23"/>
      <c r="AL505" s="23"/>
      <c r="AM505" s="23"/>
      <c r="AN505" s="23"/>
      <c r="AO505" s="23"/>
      <c r="AP505" s="23"/>
      <c r="AQ505" s="23"/>
      <c r="AR505" s="23"/>
      <c r="AS505" s="23"/>
      <c r="AT505" s="23"/>
      <c r="AU505" s="23"/>
      <c r="AV505" s="23"/>
      <c r="AW505" s="23"/>
      <c r="AX505" s="23"/>
    </row>
    <row r="506" spans="1:50" s="22" customFormat="1" ht="34" x14ac:dyDescent="0.2">
      <c r="A506" s="25" t="s">
        <v>221</v>
      </c>
      <c r="B506" s="25" t="s">
        <v>222</v>
      </c>
      <c r="C506" s="22" t="s">
        <v>0</v>
      </c>
      <c r="D506" s="2"/>
      <c r="E506" s="2"/>
      <c r="F506" s="22" t="s">
        <v>0</v>
      </c>
      <c r="H506" s="22" t="s">
        <v>33</v>
      </c>
      <c r="I506" s="65" t="s">
        <v>1016</v>
      </c>
      <c r="J506" s="4">
        <v>82.3</v>
      </c>
      <c r="K506" s="4"/>
      <c r="L506" s="4">
        <v>130</v>
      </c>
      <c r="M506" s="4">
        <v>2.9</v>
      </c>
      <c r="N506" s="4">
        <v>51</v>
      </c>
      <c r="O506" s="4">
        <v>0.9</v>
      </c>
      <c r="P506" s="4" t="s">
        <v>0</v>
      </c>
      <c r="Q506" s="4"/>
      <c r="R506" s="4">
        <v>219</v>
      </c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23"/>
      <c r="AD506" s="23"/>
      <c r="AE506" s="23"/>
      <c r="AF506" s="23"/>
      <c r="AG506" s="23"/>
      <c r="AH506" s="23"/>
      <c r="AI506" s="23"/>
      <c r="AJ506" s="23"/>
      <c r="AK506" s="23"/>
      <c r="AL506" s="23"/>
      <c r="AM506" s="23"/>
      <c r="AN506" s="23"/>
      <c r="AO506" s="23"/>
      <c r="AP506" s="23"/>
      <c r="AQ506" s="23"/>
      <c r="AR506" s="23"/>
      <c r="AS506" s="23"/>
      <c r="AT506" s="23"/>
      <c r="AU506" s="23"/>
      <c r="AV506" s="23"/>
      <c r="AW506" s="23"/>
      <c r="AX506" s="23"/>
    </row>
    <row r="507" spans="1:50" s="71" customFormat="1" ht="15" customHeight="1" x14ac:dyDescent="0.2">
      <c r="A507" s="77" t="s">
        <v>221</v>
      </c>
      <c r="B507" s="77" t="s">
        <v>222</v>
      </c>
      <c r="C507" s="71" t="s">
        <v>223</v>
      </c>
      <c r="D507" s="71" t="s">
        <v>31</v>
      </c>
      <c r="E507" s="71" t="s">
        <v>46</v>
      </c>
      <c r="F507" s="71" t="s">
        <v>782</v>
      </c>
      <c r="H507" s="71" t="s">
        <v>33</v>
      </c>
      <c r="I507" s="87"/>
      <c r="J507" s="72">
        <f>AVERAGE(J505:J506)</f>
        <v>82.3</v>
      </c>
      <c r="K507" s="72"/>
      <c r="L507" s="72">
        <f>AVERAGE(L505:L506)</f>
        <v>120</v>
      </c>
      <c r="M507" s="72">
        <f>AVERAGE(M505:M506)</f>
        <v>3.2</v>
      </c>
      <c r="N507" s="72">
        <f>AVERAGE(N505:N506)</f>
        <v>58.5</v>
      </c>
      <c r="O507" s="72">
        <f>AVERAGE(O505:O506)</f>
        <v>0.9</v>
      </c>
      <c r="P507" s="72"/>
      <c r="Q507" s="72"/>
      <c r="R507" s="72">
        <f>AVERAGE(R505:R506)</f>
        <v>201.5</v>
      </c>
      <c r="S507" s="72"/>
      <c r="T507" s="72"/>
      <c r="U507" s="72"/>
      <c r="V507" s="72"/>
      <c r="W507" s="72"/>
      <c r="X507" s="72"/>
      <c r="Y507" s="72"/>
      <c r="Z507" s="72"/>
      <c r="AA507" s="72"/>
      <c r="AB507" s="72"/>
      <c r="AC507" s="73"/>
      <c r="AD507" s="73"/>
      <c r="AE507" s="73"/>
      <c r="AF507" s="73"/>
      <c r="AG507" s="73"/>
      <c r="AH507" s="73"/>
      <c r="AI507" s="73"/>
      <c r="AJ507" s="73"/>
      <c r="AK507" s="73"/>
      <c r="AL507" s="73"/>
      <c r="AM507" s="73"/>
      <c r="AN507" s="73"/>
      <c r="AO507" s="73"/>
      <c r="AP507" s="73"/>
      <c r="AQ507" s="73"/>
      <c r="AR507" s="73"/>
      <c r="AS507" s="73"/>
      <c r="AT507" s="73"/>
      <c r="AU507" s="73"/>
      <c r="AV507" s="73"/>
      <c r="AW507" s="73"/>
      <c r="AX507" s="73"/>
    </row>
    <row r="508" spans="1:50" s="22" customFormat="1" ht="34" x14ac:dyDescent="0.2">
      <c r="A508" s="21" t="s">
        <v>221</v>
      </c>
      <c r="B508" s="21" t="s">
        <v>224</v>
      </c>
      <c r="C508" s="22" t="s">
        <v>0</v>
      </c>
      <c r="D508" s="2"/>
      <c r="E508" s="2"/>
      <c r="H508" s="22" t="s">
        <v>33</v>
      </c>
      <c r="I508" s="65" t="s">
        <v>1010</v>
      </c>
      <c r="J508" s="4">
        <v>84</v>
      </c>
      <c r="K508" s="4">
        <v>2.1</v>
      </c>
      <c r="L508" s="4">
        <v>280</v>
      </c>
      <c r="M508" s="4">
        <v>2.1</v>
      </c>
      <c r="N508" s="4"/>
      <c r="O508" s="4"/>
      <c r="P508" s="4">
        <f t="shared" ref="P508" si="122">AN508</f>
        <v>0</v>
      </c>
      <c r="Q508" s="4"/>
      <c r="R508" s="4">
        <v>90</v>
      </c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23"/>
      <c r="AD508" s="23"/>
      <c r="AE508" s="23"/>
      <c r="AF508" s="23"/>
      <c r="AG508" s="23"/>
      <c r="AH508" s="23"/>
      <c r="AI508" s="23"/>
      <c r="AJ508" s="23"/>
      <c r="AK508" s="23"/>
      <c r="AL508" s="23"/>
      <c r="AM508" s="23"/>
      <c r="AN508" s="23"/>
      <c r="AO508" s="23"/>
      <c r="AP508" s="23"/>
      <c r="AQ508" s="23"/>
      <c r="AR508" s="23"/>
      <c r="AS508" s="23"/>
      <c r="AT508" s="23"/>
      <c r="AU508" s="23"/>
      <c r="AV508" s="23"/>
      <c r="AW508" s="23"/>
      <c r="AX508" s="23"/>
    </row>
    <row r="509" spans="1:50" s="71" customFormat="1" ht="15" customHeight="1" x14ac:dyDescent="0.2">
      <c r="A509" s="70" t="s">
        <v>221</v>
      </c>
      <c r="B509" s="70" t="s">
        <v>224</v>
      </c>
      <c r="C509" s="71" t="s">
        <v>224</v>
      </c>
      <c r="D509" s="71" t="s">
        <v>56</v>
      </c>
      <c r="E509" s="71" t="s">
        <v>46</v>
      </c>
      <c r="F509" s="78" t="s">
        <v>782</v>
      </c>
      <c r="H509" s="71" t="s">
        <v>33</v>
      </c>
      <c r="I509" s="87"/>
      <c r="J509" s="72">
        <f t="shared" ref="J509" si="123">AVERAGEIF(J508, "&lt;&gt;0")</f>
        <v>84</v>
      </c>
      <c r="K509" s="72">
        <f>AVERAGEIF(K508, "&lt;&gt;0")</f>
        <v>2.1</v>
      </c>
      <c r="L509" s="72">
        <f>AVERAGEIF(L508, "&lt;&gt;0")</f>
        <v>280</v>
      </c>
      <c r="M509" s="72">
        <f>AVERAGEIF(M508, "&lt;&gt;0")</f>
        <v>2.1</v>
      </c>
      <c r="N509" s="72"/>
      <c r="O509" s="72"/>
      <c r="P509" s="72">
        <f>P508</f>
        <v>0</v>
      </c>
      <c r="Q509" s="72"/>
      <c r="R509" s="72">
        <f>AVERAGEIF(R508, "&lt;&gt;0")</f>
        <v>90</v>
      </c>
      <c r="S509" s="72"/>
      <c r="T509" s="72"/>
      <c r="U509" s="72"/>
      <c r="V509" s="72"/>
      <c r="W509" s="72"/>
      <c r="X509" s="72"/>
      <c r="Y509" s="72"/>
      <c r="Z509" s="72"/>
      <c r="AA509" s="72"/>
      <c r="AB509" s="72"/>
      <c r="AC509" s="73"/>
      <c r="AD509" s="73"/>
      <c r="AE509" s="73"/>
      <c r="AF509" s="73"/>
      <c r="AG509" s="73"/>
      <c r="AH509" s="73"/>
      <c r="AI509" s="73"/>
      <c r="AJ509" s="73"/>
      <c r="AK509" s="73"/>
      <c r="AL509" s="73"/>
      <c r="AM509" s="73"/>
      <c r="AN509" s="73"/>
      <c r="AO509" s="73"/>
      <c r="AP509" s="73"/>
      <c r="AQ509" s="73"/>
      <c r="AR509" s="73"/>
      <c r="AS509" s="73"/>
      <c r="AT509" s="73"/>
      <c r="AU509" s="73"/>
      <c r="AV509" s="73"/>
      <c r="AW509" s="73"/>
      <c r="AX509" s="73"/>
    </row>
    <row r="510" spans="1:50" s="22" customFormat="1" ht="51" x14ac:dyDescent="0.2">
      <c r="A510" s="47" t="s">
        <v>914</v>
      </c>
      <c r="B510" s="47" t="s">
        <v>250</v>
      </c>
      <c r="C510" s="28"/>
      <c r="D510" s="2"/>
      <c r="E510" s="2"/>
      <c r="F510" s="28"/>
      <c r="G510" s="28"/>
      <c r="H510" s="28" t="s">
        <v>33</v>
      </c>
      <c r="I510" s="242" t="s">
        <v>915</v>
      </c>
      <c r="J510" s="4"/>
      <c r="K510" s="4"/>
      <c r="L510" s="4">
        <v>14.14</v>
      </c>
      <c r="M510" s="4">
        <v>1.51</v>
      </c>
      <c r="N510" s="4">
        <v>2.7</v>
      </c>
      <c r="O510" s="4">
        <v>7.8</v>
      </c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23"/>
      <c r="AD510" s="23"/>
      <c r="AE510" s="23"/>
      <c r="AF510" s="23"/>
      <c r="AG510" s="23"/>
      <c r="AH510" s="23"/>
      <c r="AI510" s="23"/>
      <c r="AJ510" s="23"/>
      <c r="AK510" s="23"/>
      <c r="AL510" s="23"/>
      <c r="AM510" s="23"/>
      <c r="AN510" s="23"/>
      <c r="AO510" s="23"/>
      <c r="AP510" s="23"/>
      <c r="AQ510" s="23"/>
      <c r="AR510" s="23"/>
      <c r="AS510" s="23"/>
      <c r="AT510" s="23"/>
      <c r="AU510" s="23"/>
      <c r="AV510" s="23"/>
      <c r="AW510" s="23"/>
      <c r="AX510" s="23"/>
    </row>
    <row r="511" spans="1:50" s="71" customFormat="1" x14ac:dyDescent="0.2">
      <c r="A511" s="82" t="s">
        <v>914</v>
      </c>
      <c r="B511" s="82" t="s">
        <v>250</v>
      </c>
      <c r="C511" s="79"/>
      <c r="D511" s="71" t="s">
        <v>31</v>
      </c>
      <c r="E511" s="79" t="s">
        <v>46</v>
      </c>
      <c r="F511" s="79" t="s">
        <v>782</v>
      </c>
      <c r="G511" s="79"/>
      <c r="H511" s="79" t="s">
        <v>33</v>
      </c>
      <c r="I511" s="247"/>
      <c r="J511" s="72"/>
      <c r="K511" s="72"/>
      <c r="L511" s="72">
        <f>L510</f>
        <v>14.14</v>
      </c>
      <c r="M511" s="72">
        <f>M510</f>
        <v>1.51</v>
      </c>
      <c r="N511" s="72">
        <f>N510</f>
        <v>2.7</v>
      </c>
      <c r="O511" s="72">
        <f>O510</f>
        <v>7.8</v>
      </c>
      <c r="P511" s="72"/>
      <c r="Q511" s="72"/>
      <c r="R511" s="72"/>
      <c r="S511" s="72"/>
      <c r="T511" s="72"/>
      <c r="U511" s="72"/>
      <c r="V511" s="72"/>
      <c r="W511" s="72"/>
      <c r="X511" s="72"/>
      <c r="Y511" s="72"/>
      <c r="Z511" s="72"/>
      <c r="AA511" s="72"/>
      <c r="AB511" s="72"/>
      <c r="AC511" s="73"/>
      <c r="AD511" s="73"/>
      <c r="AE511" s="73"/>
      <c r="AF511" s="73"/>
      <c r="AG511" s="73"/>
      <c r="AH511" s="73"/>
      <c r="AI511" s="73"/>
      <c r="AJ511" s="73"/>
      <c r="AK511" s="73"/>
      <c r="AL511" s="73"/>
      <c r="AM511" s="73"/>
      <c r="AN511" s="73"/>
      <c r="AO511" s="73"/>
      <c r="AP511" s="73"/>
      <c r="AQ511" s="73"/>
      <c r="AR511" s="73"/>
      <c r="AS511" s="73"/>
      <c r="AT511" s="73"/>
      <c r="AU511" s="73"/>
      <c r="AV511" s="73"/>
      <c r="AW511" s="73"/>
      <c r="AX511" s="73"/>
    </row>
    <row r="512" spans="1:50" ht="34" x14ac:dyDescent="0.2">
      <c r="A512" s="24" t="s">
        <v>225</v>
      </c>
      <c r="B512" s="24" t="s">
        <v>226</v>
      </c>
      <c r="F512" s="49"/>
      <c r="G512" s="49"/>
      <c r="H512" s="2" t="s">
        <v>33</v>
      </c>
      <c r="I512" s="243" t="s">
        <v>1009</v>
      </c>
      <c r="K512" s="3">
        <v>0.73</v>
      </c>
      <c r="L512" s="3">
        <v>31</v>
      </c>
      <c r="M512" s="3">
        <v>0.17</v>
      </c>
      <c r="O512" s="3">
        <v>0.3</v>
      </c>
      <c r="P512" s="4">
        <f t="shared" ref="P512:P515" si="124">AN512</f>
        <v>0</v>
      </c>
      <c r="Q512" s="3">
        <v>9</v>
      </c>
      <c r="R512" s="3">
        <v>8</v>
      </c>
      <c r="S512" s="3">
        <v>0.4</v>
      </c>
      <c r="AN512" s="23"/>
    </row>
    <row r="513" spans="1:50" ht="34" x14ac:dyDescent="0.2">
      <c r="A513" s="24" t="s">
        <v>225</v>
      </c>
      <c r="B513" s="24" t="s">
        <v>226</v>
      </c>
      <c r="F513" s="49"/>
      <c r="G513" s="49"/>
      <c r="H513" s="2" t="s">
        <v>33</v>
      </c>
      <c r="I513" s="243" t="s">
        <v>1009</v>
      </c>
      <c r="K513" s="3">
        <v>0.73</v>
      </c>
      <c r="L513" s="3">
        <v>31</v>
      </c>
      <c r="M513" s="3">
        <v>0.17</v>
      </c>
      <c r="O513" s="3">
        <v>0.3</v>
      </c>
      <c r="P513" s="4">
        <f t="shared" si="124"/>
        <v>0</v>
      </c>
      <c r="Q513" s="3">
        <v>9</v>
      </c>
      <c r="R513" s="3">
        <v>8</v>
      </c>
      <c r="AN513" s="23"/>
    </row>
    <row r="514" spans="1:50" ht="34" x14ac:dyDescent="0.2">
      <c r="A514" s="24" t="s">
        <v>225</v>
      </c>
      <c r="B514" s="24" t="s">
        <v>226</v>
      </c>
      <c r="F514" s="49"/>
      <c r="G514" s="49"/>
      <c r="H514" s="2" t="s">
        <v>33</v>
      </c>
      <c r="I514" s="243" t="s">
        <v>1005</v>
      </c>
      <c r="J514" s="3">
        <v>94</v>
      </c>
      <c r="K514" s="3">
        <v>3.1</v>
      </c>
      <c r="L514" s="3">
        <v>52</v>
      </c>
      <c r="M514" s="3">
        <v>0.8</v>
      </c>
      <c r="N514" s="3">
        <v>15</v>
      </c>
      <c r="O514" s="3">
        <v>0.8</v>
      </c>
      <c r="P514" s="4">
        <f t="shared" si="124"/>
        <v>0</v>
      </c>
      <c r="Q514" s="3">
        <v>142</v>
      </c>
      <c r="R514" s="3">
        <v>6.5</v>
      </c>
      <c r="AI514" s="23"/>
      <c r="AN514" s="23"/>
    </row>
    <row r="515" spans="1:50" ht="34" x14ac:dyDescent="0.2">
      <c r="A515" s="24" t="s">
        <v>225</v>
      </c>
      <c r="B515" s="24" t="s">
        <v>226</v>
      </c>
      <c r="F515" s="49"/>
      <c r="G515" s="49"/>
      <c r="H515" s="2" t="s">
        <v>33</v>
      </c>
      <c r="I515" s="243" t="s">
        <v>1010</v>
      </c>
      <c r="J515" s="3">
        <v>93.8</v>
      </c>
      <c r="K515" s="3">
        <v>0.9</v>
      </c>
      <c r="L515" s="3">
        <v>66</v>
      </c>
      <c r="M515" s="3">
        <v>1.3</v>
      </c>
      <c r="N515" s="3">
        <v>13</v>
      </c>
      <c r="P515" s="4">
        <f t="shared" si="124"/>
        <v>0</v>
      </c>
      <c r="R515" s="3">
        <v>8</v>
      </c>
      <c r="AI515" s="23"/>
      <c r="AN515" s="23"/>
    </row>
    <row r="516" spans="1:50" ht="34" x14ac:dyDescent="0.2">
      <c r="A516" s="24" t="s">
        <v>225</v>
      </c>
      <c r="B516" s="24" t="s">
        <v>226</v>
      </c>
      <c r="F516" s="49"/>
      <c r="G516" s="49"/>
      <c r="H516" s="2" t="s">
        <v>33</v>
      </c>
      <c r="I516" s="243" t="s">
        <v>1009</v>
      </c>
      <c r="P516" s="4" t="s">
        <v>0</v>
      </c>
    </row>
    <row r="517" spans="1:50" s="71" customFormat="1" x14ac:dyDescent="0.2">
      <c r="A517" s="70" t="s">
        <v>225</v>
      </c>
      <c r="B517" s="70" t="s">
        <v>226</v>
      </c>
      <c r="C517" s="71" t="s">
        <v>227</v>
      </c>
      <c r="D517" s="71" t="s">
        <v>56</v>
      </c>
      <c r="E517" s="79" t="s">
        <v>46</v>
      </c>
      <c r="F517" s="78" t="s">
        <v>782</v>
      </c>
      <c r="G517" s="79"/>
      <c r="H517" s="71" t="s">
        <v>33</v>
      </c>
      <c r="I517" s="87"/>
      <c r="J517" s="72">
        <f t="shared" ref="J517" si="125">AVERAGEIF(J512:J516, "&lt;&gt;0")</f>
        <v>93.9</v>
      </c>
      <c r="K517" s="72">
        <f t="shared" ref="K517:S517" si="126">AVERAGEIF(K512:K516, "&lt;&gt;0")</f>
        <v>1.3650000000000002</v>
      </c>
      <c r="L517" s="72">
        <f t="shared" si="126"/>
        <v>45</v>
      </c>
      <c r="M517" s="72">
        <f t="shared" si="126"/>
        <v>0.6100000000000001</v>
      </c>
      <c r="N517" s="72">
        <f t="shared" si="126"/>
        <v>14</v>
      </c>
      <c r="O517" s="72">
        <f t="shared" si="126"/>
        <v>0.46666666666666662</v>
      </c>
      <c r="P517" s="72">
        <f>AVERAGE(P512:P516)</f>
        <v>0</v>
      </c>
      <c r="Q517" s="72">
        <f t="shared" si="126"/>
        <v>53.333333333333336</v>
      </c>
      <c r="R517" s="72">
        <f t="shared" si="126"/>
        <v>7.625</v>
      </c>
      <c r="S517" s="72">
        <f t="shared" si="126"/>
        <v>0.4</v>
      </c>
      <c r="T517" s="72"/>
      <c r="U517" s="72"/>
      <c r="V517" s="72"/>
      <c r="W517" s="72"/>
      <c r="X517" s="72"/>
      <c r="Y517" s="72"/>
      <c r="Z517" s="72"/>
      <c r="AA517" s="72"/>
      <c r="AB517" s="72"/>
      <c r="AC517" s="73"/>
      <c r="AD517" s="73"/>
      <c r="AE517" s="73"/>
      <c r="AF517" s="73"/>
      <c r="AG517" s="73"/>
      <c r="AH517" s="73"/>
      <c r="AI517" s="73"/>
      <c r="AJ517" s="73"/>
      <c r="AK517" s="73"/>
      <c r="AL517" s="73"/>
      <c r="AM517" s="73"/>
      <c r="AN517" s="73"/>
      <c r="AO517" s="73"/>
      <c r="AP517" s="73"/>
      <c r="AQ517" s="73"/>
      <c r="AR517" s="73"/>
      <c r="AS517" s="73"/>
      <c r="AT517" s="73"/>
      <c r="AU517" s="73"/>
      <c r="AV517" s="73"/>
      <c r="AW517" s="73"/>
      <c r="AX517" s="73"/>
    </row>
    <row r="518" spans="1:50" ht="17" x14ac:dyDescent="0.2">
      <c r="A518" s="24" t="s">
        <v>225</v>
      </c>
      <c r="B518" s="24" t="s">
        <v>228</v>
      </c>
      <c r="C518" s="32" t="s">
        <v>0</v>
      </c>
      <c r="H518" s="2" t="s">
        <v>33</v>
      </c>
      <c r="I518" s="243" t="s">
        <v>1007</v>
      </c>
      <c r="J518" s="3">
        <v>92</v>
      </c>
      <c r="K518" s="3">
        <v>4</v>
      </c>
      <c r="L518" s="3">
        <v>100</v>
      </c>
      <c r="M518" s="3">
        <v>0.9</v>
      </c>
      <c r="N518" s="3">
        <v>30</v>
      </c>
      <c r="O518" s="3">
        <v>0.42</v>
      </c>
      <c r="P518" s="4">
        <f t="shared" ref="P518:P522" si="127">AN518</f>
        <v>0</v>
      </c>
      <c r="Q518" s="3">
        <v>110</v>
      </c>
      <c r="R518" s="3">
        <v>24</v>
      </c>
      <c r="S518" s="3">
        <v>2.29</v>
      </c>
      <c r="AI518" s="23"/>
      <c r="AN518" s="23"/>
    </row>
    <row r="519" spans="1:50" ht="17" x14ac:dyDescent="0.2">
      <c r="A519" s="31" t="s">
        <v>225</v>
      </c>
      <c r="B519" s="31" t="s">
        <v>228</v>
      </c>
      <c r="C519" s="1"/>
      <c r="H519" s="2" t="s">
        <v>33</v>
      </c>
      <c r="I519" s="243" t="s">
        <v>1006</v>
      </c>
      <c r="J519" s="3">
        <v>93</v>
      </c>
      <c r="K519" s="3">
        <v>0.89699999999999935</v>
      </c>
      <c r="L519" s="3">
        <v>78.998099999999951</v>
      </c>
      <c r="M519" s="3">
        <v>1.6973999999999989</v>
      </c>
      <c r="P519" s="4">
        <f t="shared" si="127"/>
        <v>0</v>
      </c>
      <c r="R519" s="3">
        <v>10.998599999999993</v>
      </c>
      <c r="AE519" s="23"/>
      <c r="AN519" s="23"/>
    </row>
    <row r="520" spans="1:50" ht="34" x14ac:dyDescent="0.2">
      <c r="A520" s="31" t="s">
        <v>225</v>
      </c>
      <c r="B520" s="31" t="s">
        <v>228</v>
      </c>
      <c r="C520" s="1"/>
      <c r="H520" s="2" t="s">
        <v>33</v>
      </c>
      <c r="I520" s="249" t="s">
        <v>1016</v>
      </c>
      <c r="J520" s="3">
        <v>94.1</v>
      </c>
      <c r="K520" s="3">
        <v>1.26</v>
      </c>
      <c r="L520" s="3">
        <v>26</v>
      </c>
      <c r="M520" s="3">
        <v>0.74</v>
      </c>
      <c r="N520" s="3">
        <v>13</v>
      </c>
      <c r="O520" s="3">
        <v>0.16300000000000001</v>
      </c>
      <c r="P520" s="4">
        <f t="shared" si="127"/>
        <v>0</v>
      </c>
      <c r="Q520" s="3">
        <v>50</v>
      </c>
      <c r="R520" s="3">
        <v>8.6999999999999993</v>
      </c>
      <c r="AN520" s="23"/>
    </row>
    <row r="521" spans="1:50" ht="34" x14ac:dyDescent="0.2">
      <c r="A521" s="31" t="s">
        <v>225</v>
      </c>
      <c r="B521" s="31" t="s">
        <v>228</v>
      </c>
      <c r="H521" s="2" t="s">
        <v>33</v>
      </c>
      <c r="I521" s="243" t="s">
        <v>1023</v>
      </c>
      <c r="J521" s="3">
        <v>93</v>
      </c>
      <c r="K521" s="3">
        <v>0.8</v>
      </c>
      <c r="L521" s="3">
        <v>86</v>
      </c>
      <c r="M521" s="3">
        <v>0.9</v>
      </c>
      <c r="P521" s="4">
        <f t="shared" si="127"/>
        <v>0</v>
      </c>
      <c r="R521" s="3">
        <v>28.6</v>
      </c>
      <c r="AN521" s="23"/>
    </row>
    <row r="522" spans="1:50" ht="34" x14ac:dyDescent="0.2">
      <c r="A522" s="24" t="s">
        <v>225</v>
      </c>
      <c r="B522" s="24" t="s">
        <v>228</v>
      </c>
      <c r="H522" s="2" t="s">
        <v>33</v>
      </c>
      <c r="I522" s="243" t="s">
        <v>1010</v>
      </c>
      <c r="J522" s="3">
        <v>95.1</v>
      </c>
      <c r="L522" s="3">
        <v>16</v>
      </c>
      <c r="M522" s="3">
        <v>0.5</v>
      </c>
      <c r="N522" s="3">
        <v>13</v>
      </c>
      <c r="P522" s="4">
        <f t="shared" si="127"/>
        <v>0</v>
      </c>
      <c r="AI522" s="23"/>
      <c r="AN522" s="23"/>
    </row>
    <row r="523" spans="1:50" s="22" customFormat="1" ht="34" x14ac:dyDescent="0.2">
      <c r="A523" s="21" t="s">
        <v>225</v>
      </c>
      <c r="B523" s="21" t="s">
        <v>228</v>
      </c>
      <c r="D523" s="2"/>
      <c r="E523" s="2"/>
      <c r="H523" s="22" t="s">
        <v>33</v>
      </c>
      <c r="I523" s="65" t="s">
        <v>1017</v>
      </c>
      <c r="J523" s="4">
        <v>87.9</v>
      </c>
      <c r="K523" s="4">
        <v>3.6</v>
      </c>
      <c r="L523" s="4">
        <v>153</v>
      </c>
      <c r="M523" s="4">
        <v>1.29</v>
      </c>
      <c r="N523" s="4">
        <v>19.8</v>
      </c>
      <c r="O523" s="4">
        <f>370*0.001</f>
        <v>0.37</v>
      </c>
      <c r="P523" s="4">
        <v>0.24</v>
      </c>
      <c r="Q523" s="4">
        <v>253</v>
      </c>
      <c r="R523" s="4">
        <v>19.7</v>
      </c>
      <c r="S523" s="4">
        <v>2.3199999999999998</v>
      </c>
      <c r="T523" s="4"/>
      <c r="U523" s="4"/>
      <c r="V523" s="4"/>
      <c r="W523" s="4"/>
      <c r="X523" s="4"/>
      <c r="Y523" s="4"/>
      <c r="Z523" s="4"/>
      <c r="AA523" s="4"/>
      <c r="AB523" s="4"/>
      <c r="AC523" s="23"/>
      <c r="AD523" s="23"/>
      <c r="AE523" s="23"/>
      <c r="AF523" s="23"/>
      <c r="AG523" s="23"/>
      <c r="AH523" s="23"/>
      <c r="AI523" s="23"/>
      <c r="AJ523" s="23"/>
      <c r="AK523" s="23"/>
      <c r="AL523" s="23"/>
      <c r="AM523" s="23"/>
      <c r="AN523" s="23"/>
      <c r="AO523" s="23"/>
      <c r="AP523" s="23"/>
      <c r="AQ523" s="23"/>
      <c r="AR523" s="23"/>
      <c r="AS523" s="23"/>
      <c r="AT523" s="23"/>
      <c r="AU523" s="23"/>
      <c r="AV523" s="23"/>
      <c r="AW523" s="23"/>
      <c r="AX523" s="23"/>
    </row>
    <row r="524" spans="1:50" ht="34" x14ac:dyDescent="0.2">
      <c r="A524" s="24" t="s">
        <v>225</v>
      </c>
      <c r="B524" s="24" t="s">
        <v>228</v>
      </c>
      <c r="H524" s="2" t="s">
        <v>33</v>
      </c>
      <c r="I524" s="243" t="s">
        <v>1010</v>
      </c>
      <c r="J524" s="3">
        <v>92</v>
      </c>
      <c r="K524" s="3">
        <v>0.8</v>
      </c>
      <c r="L524" s="3">
        <v>93</v>
      </c>
      <c r="M524" s="3">
        <v>0.9</v>
      </c>
      <c r="N524" s="3">
        <v>22</v>
      </c>
      <c r="P524" s="4" t="s">
        <v>0</v>
      </c>
      <c r="R524" s="3">
        <v>24</v>
      </c>
    </row>
    <row r="525" spans="1:50" s="71" customFormat="1" x14ac:dyDescent="0.2">
      <c r="A525" s="70" t="s">
        <v>225</v>
      </c>
      <c r="B525" s="70" t="s">
        <v>228</v>
      </c>
      <c r="C525" s="71" t="s">
        <v>229</v>
      </c>
      <c r="D525" s="71" t="s">
        <v>25</v>
      </c>
      <c r="E525" s="71" t="s">
        <v>46</v>
      </c>
      <c r="F525" s="78" t="s">
        <v>782</v>
      </c>
      <c r="H525" s="71" t="s">
        <v>33</v>
      </c>
      <c r="I525" s="87"/>
      <c r="J525" s="72">
        <f t="shared" ref="J525" si="128">AVERAGEIF(J518:J524, "&lt;&gt;0")</f>
        <v>92.44285714285715</v>
      </c>
      <c r="K525" s="72">
        <f t="shared" ref="K525:S525" si="129">AVERAGEIF(K518:K524, "&lt;&gt;0")</f>
        <v>1.8928333333333331</v>
      </c>
      <c r="L525" s="72">
        <f t="shared" si="129"/>
        <v>78.999728571428577</v>
      </c>
      <c r="M525" s="72">
        <f t="shared" si="129"/>
        <v>0.98962857142857141</v>
      </c>
      <c r="N525" s="72">
        <f t="shared" si="129"/>
        <v>19.559999999999999</v>
      </c>
      <c r="O525" s="72">
        <f t="shared" si="129"/>
        <v>0.31766666666666665</v>
      </c>
      <c r="P525" s="72">
        <f>AVERAGE(P518:P524)</f>
        <v>0.04</v>
      </c>
      <c r="Q525" s="72">
        <f t="shared" si="129"/>
        <v>137.66666666666666</v>
      </c>
      <c r="R525" s="72">
        <f t="shared" si="129"/>
        <v>19.333099999999998</v>
      </c>
      <c r="S525" s="72">
        <f t="shared" si="129"/>
        <v>2.3049999999999997</v>
      </c>
      <c r="T525" s="72"/>
      <c r="U525" s="72"/>
      <c r="V525" s="72"/>
      <c r="W525" s="72"/>
      <c r="X525" s="72"/>
      <c r="Y525" s="72"/>
      <c r="Z525" s="72"/>
      <c r="AA525" s="72"/>
      <c r="AB525" s="72"/>
      <c r="AC525" s="73"/>
      <c r="AD525" s="73"/>
      <c r="AE525" s="73"/>
      <c r="AF525" s="73"/>
      <c r="AG525" s="73"/>
      <c r="AH525" s="73"/>
      <c r="AI525" s="73"/>
      <c r="AJ525" s="73"/>
      <c r="AK525" s="73"/>
      <c r="AL525" s="73"/>
      <c r="AM525" s="73"/>
      <c r="AN525" s="73"/>
      <c r="AO525" s="73"/>
      <c r="AP525" s="73"/>
      <c r="AQ525" s="73"/>
      <c r="AR525" s="73"/>
      <c r="AS525" s="73"/>
      <c r="AT525" s="73"/>
      <c r="AU525" s="73"/>
      <c r="AV525" s="73"/>
      <c r="AW525" s="73"/>
      <c r="AX525" s="73"/>
    </row>
    <row r="526" spans="1:50" ht="34" x14ac:dyDescent="0.2">
      <c r="A526" s="24" t="s">
        <v>230</v>
      </c>
      <c r="B526" s="24" t="s">
        <v>231</v>
      </c>
      <c r="H526" s="2" t="s">
        <v>33</v>
      </c>
      <c r="I526" s="243" t="s">
        <v>1005</v>
      </c>
      <c r="J526" s="3">
        <v>86.6</v>
      </c>
      <c r="K526" s="3">
        <v>1.2</v>
      </c>
      <c r="L526" s="3">
        <v>288</v>
      </c>
      <c r="M526" s="3">
        <v>6</v>
      </c>
      <c r="P526" s="4" t="s">
        <v>0</v>
      </c>
      <c r="R526" s="3">
        <v>13</v>
      </c>
    </row>
    <row r="527" spans="1:50" ht="34" x14ac:dyDescent="0.2">
      <c r="A527" s="24" t="s">
        <v>230</v>
      </c>
      <c r="B527" s="24" t="s">
        <v>231</v>
      </c>
      <c r="H527" s="2" t="s">
        <v>33</v>
      </c>
      <c r="I527" s="243" t="s">
        <v>1009</v>
      </c>
      <c r="K527" s="3">
        <v>1.06</v>
      </c>
      <c r="L527" s="3">
        <v>170</v>
      </c>
      <c r="M527" s="3">
        <v>2.21</v>
      </c>
      <c r="O527" s="3">
        <v>0.88</v>
      </c>
      <c r="P527" s="4">
        <f t="shared" ref="P527:P531" si="130">AN527</f>
        <v>0</v>
      </c>
      <c r="Q527" s="3">
        <v>129</v>
      </c>
      <c r="R527" s="3">
        <v>103</v>
      </c>
      <c r="S527" s="3">
        <v>0.63</v>
      </c>
      <c r="AN527" s="23"/>
    </row>
    <row r="528" spans="1:50" ht="34" x14ac:dyDescent="0.2">
      <c r="A528" s="24" t="s">
        <v>230</v>
      </c>
      <c r="B528" s="24" t="s">
        <v>231</v>
      </c>
      <c r="H528" s="2" t="s">
        <v>33</v>
      </c>
      <c r="I528" s="243" t="s">
        <v>1009</v>
      </c>
      <c r="K528" s="3">
        <v>1.03</v>
      </c>
      <c r="L528" s="3">
        <v>196</v>
      </c>
      <c r="M528" s="3">
        <v>2.15</v>
      </c>
      <c r="O528" s="3">
        <v>0.89</v>
      </c>
      <c r="P528" s="4">
        <f t="shared" si="130"/>
        <v>0</v>
      </c>
      <c r="Q528" s="3">
        <v>199</v>
      </c>
      <c r="R528" s="3">
        <v>117</v>
      </c>
      <c r="S528" s="3">
        <v>2.61</v>
      </c>
      <c r="AN528" s="23"/>
    </row>
    <row r="529" spans="1:50" ht="34" x14ac:dyDescent="0.2">
      <c r="A529" s="24" t="s">
        <v>230</v>
      </c>
      <c r="B529" s="24" t="s">
        <v>231</v>
      </c>
      <c r="H529" s="2" t="s">
        <v>33</v>
      </c>
      <c r="I529" s="243" t="s">
        <v>1009</v>
      </c>
      <c r="K529" s="3">
        <v>1</v>
      </c>
      <c r="L529" s="3">
        <v>171</v>
      </c>
      <c r="M529" s="3">
        <v>1.99</v>
      </c>
      <c r="O529" s="3">
        <v>0.8</v>
      </c>
      <c r="P529" s="4">
        <f t="shared" si="130"/>
        <v>0</v>
      </c>
      <c r="Q529" s="3">
        <v>208</v>
      </c>
      <c r="R529" s="3">
        <v>105</v>
      </c>
      <c r="S529" s="3">
        <v>2.72</v>
      </c>
      <c r="AN529" s="23"/>
    </row>
    <row r="530" spans="1:50" ht="34" x14ac:dyDescent="0.2">
      <c r="A530" s="24" t="s">
        <v>230</v>
      </c>
      <c r="B530" s="24" t="s">
        <v>231</v>
      </c>
      <c r="H530" s="2" t="s">
        <v>33</v>
      </c>
      <c r="I530" s="243" t="s">
        <v>1009</v>
      </c>
      <c r="K530" s="3">
        <v>0.95</v>
      </c>
      <c r="L530" s="3">
        <v>301</v>
      </c>
      <c r="M530" s="3">
        <v>3.2</v>
      </c>
      <c r="O530" s="3">
        <v>0.76</v>
      </c>
      <c r="P530" s="4">
        <f t="shared" si="130"/>
        <v>0</v>
      </c>
      <c r="Q530" s="3">
        <v>349</v>
      </c>
      <c r="R530" s="3">
        <v>203</v>
      </c>
      <c r="S530" s="3">
        <v>2.2799999999999998</v>
      </c>
      <c r="AN530" s="23"/>
    </row>
    <row r="531" spans="1:50" ht="34" x14ac:dyDescent="0.2">
      <c r="A531" s="24" t="s">
        <v>230</v>
      </c>
      <c r="B531" s="24" t="s">
        <v>231</v>
      </c>
      <c r="H531" s="2" t="s">
        <v>33</v>
      </c>
      <c r="I531" s="243" t="s">
        <v>1009</v>
      </c>
      <c r="K531" s="3">
        <v>0.95</v>
      </c>
      <c r="L531" s="3">
        <v>301</v>
      </c>
      <c r="M531" s="3">
        <v>3.2</v>
      </c>
      <c r="O531" s="3">
        <v>0.76</v>
      </c>
      <c r="P531" s="4">
        <f t="shared" si="130"/>
        <v>0</v>
      </c>
      <c r="Q531" s="3">
        <v>349</v>
      </c>
      <c r="R531" s="3">
        <v>203</v>
      </c>
      <c r="AN531" s="23"/>
    </row>
    <row r="532" spans="1:50" s="71" customFormat="1" x14ac:dyDescent="0.2">
      <c r="A532" s="70" t="s">
        <v>230</v>
      </c>
      <c r="B532" s="70" t="s">
        <v>231</v>
      </c>
      <c r="C532" s="71" t="s">
        <v>232</v>
      </c>
      <c r="D532" s="71" t="s">
        <v>56</v>
      </c>
      <c r="E532" s="71" t="s">
        <v>46</v>
      </c>
      <c r="F532" s="78" t="s">
        <v>782</v>
      </c>
      <c r="H532" s="71" t="s">
        <v>33</v>
      </c>
      <c r="I532" s="87"/>
      <c r="J532" s="72">
        <f t="shared" ref="J532" si="131">AVERAGEIF(J526:J531, "&lt;&gt;0")</f>
        <v>86.6</v>
      </c>
      <c r="K532" s="72">
        <f>AVERAGEIF(K526:K531, "&lt;&gt;0")</f>
        <v>1.0316666666666667</v>
      </c>
      <c r="L532" s="72">
        <f>AVERAGEIF(L526:L531, "&lt;&gt;0")</f>
        <v>237.83333333333334</v>
      </c>
      <c r="M532" s="72">
        <f>AVERAGEIF(M526:M531, "&lt;&gt;0")</f>
        <v>3.125</v>
      </c>
      <c r="N532" s="72"/>
      <c r="O532" s="72">
        <f>AVERAGEIF(O526:O531, "&lt;&gt;0")</f>
        <v>0.81799999999999995</v>
      </c>
      <c r="P532" s="72">
        <f>AVERAGE(P526:P531)</f>
        <v>0</v>
      </c>
      <c r="Q532" s="72">
        <f>AVERAGEIF(Q526:Q531, "&lt;&gt;0")</f>
        <v>246.8</v>
      </c>
      <c r="R532" s="72">
        <f>AVERAGEIF(R526:R531, "&lt;&gt;0")</f>
        <v>124</v>
      </c>
      <c r="S532" s="72">
        <f>AVERAGEIF(S526:S531, "&lt;&gt;0")</f>
        <v>2.06</v>
      </c>
      <c r="T532" s="72"/>
      <c r="U532" s="72"/>
      <c r="V532" s="72"/>
      <c r="W532" s="72"/>
      <c r="X532" s="72"/>
      <c r="Y532" s="72"/>
      <c r="Z532" s="72"/>
      <c r="AA532" s="72"/>
      <c r="AB532" s="72"/>
      <c r="AC532" s="73"/>
      <c r="AD532" s="73"/>
      <c r="AE532" s="73"/>
      <c r="AF532" s="73"/>
      <c r="AG532" s="73"/>
      <c r="AH532" s="73"/>
      <c r="AI532" s="73"/>
      <c r="AJ532" s="73"/>
      <c r="AK532" s="73"/>
      <c r="AL532" s="73"/>
      <c r="AM532" s="73"/>
      <c r="AN532" s="73"/>
      <c r="AO532" s="73"/>
      <c r="AP532" s="73"/>
      <c r="AQ532" s="73"/>
      <c r="AR532" s="73"/>
      <c r="AS532" s="73"/>
      <c r="AT532" s="73"/>
      <c r="AU532" s="73"/>
      <c r="AV532" s="73"/>
      <c r="AW532" s="73"/>
      <c r="AX532" s="73"/>
    </row>
    <row r="533" spans="1:50" ht="51" x14ac:dyDescent="0.2">
      <c r="A533" s="24" t="s">
        <v>233</v>
      </c>
      <c r="B533" s="24" t="s">
        <v>234</v>
      </c>
      <c r="H533" s="2" t="s">
        <v>33</v>
      </c>
      <c r="I533" s="243" t="s">
        <v>1028</v>
      </c>
      <c r="J533" s="3">
        <v>79.8</v>
      </c>
      <c r="L533" s="3">
        <v>234</v>
      </c>
      <c r="M533" s="3">
        <v>2.8</v>
      </c>
      <c r="P533" s="4" t="s">
        <v>0</v>
      </c>
      <c r="R533" s="3">
        <v>194</v>
      </c>
    </row>
    <row r="534" spans="1:50" ht="17" x14ac:dyDescent="0.2">
      <c r="A534" s="31" t="s">
        <v>233</v>
      </c>
      <c r="B534" s="31" t="s">
        <v>234</v>
      </c>
      <c r="C534" s="1"/>
      <c r="F534" s="1"/>
      <c r="G534" s="1"/>
      <c r="H534" s="1" t="s">
        <v>33</v>
      </c>
      <c r="I534" s="243" t="s">
        <v>1006</v>
      </c>
      <c r="J534" s="3">
        <v>80</v>
      </c>
      <c r="K534" s="3">
        <v>1.9997999999999998</v>
      </c>
      <c r="L534" s="3">
        <v>233.99679999999998</v>
      </c>
      <c r="M534" s="3">
        <v>2.8077999999999994</v>
      </c>
      <c r="P534" s="4">
        <f t="shared" ref="P534:P536" si="132">AN534</f>
        <v>0</v>
      </c>
      <c r="R534" s="3">
        <v>194.00079999999994</v>
      </c>
      <c r="AE534" s="23"/>
      <c r="AN534" s="23"/>
    </row>
    <row r="535" spans="1:50" ht="85" x14ac:dyDescent="0.2">
      <c r="A535" s="31" t="s">
        <v>233</v>
      </c>
      <c r="B535" s="31" t="s">
        <v>234</v>
      </c>
      <c r="C535" s="1"/>
      <c r="F535" s="1"/>
      <c r="G535" s="1"/>
      <c r="H535" s="1" t="s">
        <v>33</v>
      </c>
      <c r="I535" s="243" t="s">
        <v>1026</v>
      </c>
      <c r="J535" s="3">
        <v>80</v>
      </c>
      <c r="K535" s="3">
        <v>2.2000000000000002</v>
      </c>
      <c r="L535" s="3">
        <v>324</v>
      </c>
      <c r="M535" s="3">
        <v>5.6</v>
      </c>
      <c r="P535" s="4">
        <f>473/1000</f>
        <v>0.47299999999999998</v>
      </c>
      <c r="R535" s="3">
        <v>235</v>
      </c>
      <c r="AE535" s="23"/>
      <c r="AN535" s="23"/>
    </row>
    <row r="536" spans="1:50" ht="34" x14ac:dyDescent="0.2">
      <c r="A536" s="24" t="s">
        <v>233</v>
      </c>
      <c r="B536" s="24" t="s">
        <v>234</v>
      </c>
      <c r="F536" s="1"/>
      <c r="G536" s="1"/>
      <c r="H536" s="1" t="s">
        <v>33</v>
      </c>
      <c r="I536" s="243" t="s">
        <v>1005</v>
      </c>
      <c r="J536" s="3">
        <v>72</v>
      </c>
      <c r="K536" s="3">
        <v>2</v>
      </c>
      <c r="L536" s="3">
        <v>140</v>
      </c>
      <c r="M536" s="3">
        <v>11</v>
      </c>
      <c r="P536" s="4">
        <f t="shared" si="132"/>
        <v>0</v>
      </c>
      <c r="R536" s="3">
        <v>165</v>
      </c>
      <c r="AN536" s="23"/>
    </row>
    <row r="537" spans="1:50" ht="17" x14ac:dyDescent="0.2">
      <c r="A537" s="24" t="s">
        <v>233</v>
      </c>
      <c r="B537" s="24" t="s">
        <v>234</v>
      </c>
      <c r="F537" s="1"/>
      <c r="G537" s="1"/>
      <c r="H537" s="1" t="s">
        <v>33</v>
      </c>
      <c r="I537" s="243" t="s">
        <v>1030</v>
      </c>
      <c r="M537" s="3">
        <v>5.8</v>
      </c>
      <c r="P537" s="4" t="s">
        <v>0</v>
      </c>
    </row>
    <row r="538" spans="1:50" ht="34" x14ac:dyDescent="0.2">
      <c r="A538" s="24" t="s">
        <v>233</v>
      </c>
      <c r="B538" s="24" t="s">
        <v>234</v>
      </c>
      <c r="F538" s="1"/>
      <c r="G538" s="1"/>
      <c r="H538" s="1" t="s">
        <v>33</v>
      </c>
      <c r="I538" s="243" t="s">
        <v>1010</v>
      </c>
      <c r="J538" s="3">
        <v>79.8</v>
      </c>
      <c r="K538" s="3">
        <v>2</v>
      </c>
      <c r="L538" s="3">
        <v>234</v>
      </c>
      <c r="M538" s="3">
        <v>2.8</v>
      </c>
      <c r="N538" s="3">
        <v>88</v>
      </c>
      <c r="P538" s="4" t="s">
        <v>0</v>
      </c>
      <c r="R538" s="3">
        <v>194</v>
      </c>
    </row>
    <row r="539" spans="1:50" ht="34" x14ac:dyDescent="0.2">
      <c r="A539" s="24" t="s">
        <v>233</v>
      </c>
      <c r="B539" s="24" t="s">
        <v>234</v>
      </c>
      <c r="F539" s="1"/>
      <c r="G539" s="1"/>
      <c r="H539" s="1" t="s">
        <v>33</v>
      </c>
      <c r="I539" s="243" t="s">
        <v>1005</v>
      </c>
      <c r="J539" s="3">
        <v>83</v>
      </c>
      <c r="K539" s="3">
        <v>3.8</v>
      </c>
      <c r="L539" s="3">
        <v>500</v>
      </c>
      <c r="M539" s="3">
        <v>1.4</v>
      </c>
      <c r="P539" s="4">
        <f t="shared" ref="P539" si="133">AN539</f>
        <v>0</v>
      </c>
      <c r="R539" s="3">
        <v>318</v>
      </c>
      <c r="AN539" s="23"/>
    </row>
    <row r="540" spans="1:50" s="71" customFormat="1" x14ac:dyDescent="0.2">
      <c r="A540" s="70" t="s">
        <v>233</v>
      </c>
      <c r="B540" s="70" t="s">
        <v>234</v>
      </c>
      <c r="C540" s="71" t="s">
        <v>235</v>
      </c>
      <c r="D540" s="71" t="s">
        <v>31</v>
      </c>
      <c r="E540" s="78" t="s">
        <v>32</v>
      </c>
      <c r="F540" s="78" t="s">
        <v>783</v>
      </c>
      <c r="G540" s="78"/>
      <c r="H540" s="78" t="s">
        <v>33</v>
      </c>
      <c r="I540" s="87"/>
      <c r="J540" s="72">
        <f t="shared" ref="J540" si="134">AVERAGEIF(J533:J539, "&lt;&gt;0")</f>
        <v>79.100000000000009</v>
      </c>
      <c r="K540" s="72">
        <f>AVERAGEIF(K533:K539, "&lt;&gt;0")</f>
        <v>2.3999600000000001</v>
      </c>
      <c r="L540" s="72">
        <f>AVERAGEIF(L533:L539, "&lt;&gt;0")</f>
        <v>277.66613333333333</v>
      </c>
      <c r="M540" s="72">
        <f>AVERAGEIF(M533:M539, "&lt;&gt;0")</f>
        <v>4.6011142857142859</v>
      </c>
      <c r="N540" s="72">
        <f>AVERAGEIF(N533:N539, "&lt;&gt;0")</f>
        <v>88</v>
      </c>
      <c r="O540" s="72"/>
      <c r="P540" s="72">
        <f>AVERAGE(P533:P539)</f>
        <v>0.11824999999999999</v>
      </c>
      <c r="Q540" s="72"/>
      <c r="R540" s="72">
        <f>AVERAGEIF(R533:R539, "&lt;&gt;0")</f>
        <v>216.66679999999997</v>
      </c>
      <c r="S540" s="72"/>
      <c r="T540" s="72"/>
      <c r="U540" s="72"/>
      <c r="V540" s="72"/>
      <c r="W540" s="72"/>
      <c r="X540" s="72"/>
      <c r="Y540" s="72"/>
      <c r="Z540" s="72"/>
      <c r="AA540" s="72"/>
      <c r="AB540" s="72"/>
      <c r="AC540" s="73"/>
      <c r="AD540" s="73"/>
      <c r="AE540" s="73"/>
      <c r="AF540" s="73"/>
      <c r="AG540" s="73"/>
      <c r="AH540" s="73"/>
      <c r="AI540" s="73"/>
      <c r="AJ540" s="73"/>
      <c r="AK540" s="73"/>
      <c r="AL540" s="73"/>
      <c r="AM540" s="73"/>
      <c r="AN540" s="73"/>
      <c r="AO540" s="73"/>
      <c r="AP540" s="73"/>
      <c r="AQ540" s="73"/>
      <c r="AR540" s="73"/>
      <c r="AS540" s="73"/>
      <c r="AT540" s="73"/>
      <c r="AU540" s="73"/>
      <c r="AV540" s="73"/>
      <c r="AW540" s="73"/>
      <c r="AX540" s="73"/>
    </row>
    <row r="541" spans="1:50" ht="51" x14ac:dyDescent="0.2">
      <c r="A541" s="24" t="s">
        <v>236</v>
      </c>
      <c r="B541" s="24" t="s">
        <v>237</v>
      </c>
      <c r="H541" s="2" t="s">
        <v>33</v>
      </c>
      <c r="I541" s="243" t="s">
        <v>1014</v>
      </c>
      <c r="J541" s="3">
        <v>90.6</v>
      </c>
      <c r="K541" s="3">
        <v>1</v>
      </c>
      <c r="L541" s="3">
        <v>126</v>
      </c>
      <c r="M541" s="3">
        <v>4.5999999999999996</v>
      </c>
      <c r="P541" s="4" t="s">
        <v>0</v>
      </c>
      <c r="R541" s="3">
        <v>48</v>
      </c>
    </row>
    <row r="542" spans="1:50" ht="34" x14ac:dyDescent="0.2">
      <c r="A542" s="24" t="s">
        <v>236</v>
      </c>
      <c r="B542" s="24" t="s">
        <v>237</v>
      </c>
      <c r="H542" s="2" t="s">
        <v>33</v>
      </c>
      <c r="I542" s="243" t="s">
        <v>1009</v>
      </c>
      <c r="K542" s="3">
        <v>1.04</v>
      </c>
      <c r="L542" s="3">
        <v>37</v>
      </c>
      <c r="M542" s="3">
        <v>2.89</v>
      </c>
      <c r="P542" s="4">
        <f t="shared" ref="P542:P545" si="135">AN542</f>
        <v>0</v>
      </c>
      <c r="Q542" s="3">
        <v>98</v>
      </c>
      <c r="R542" s="3">
        <v>81</v>
      </c>
      <c r="S542" s="3">
        <v>1.78</v>
      </c>
      <c r="AN542" s="23"/>
    </row>
    <row r="543" spans="1:50" ht="34" x14ac:dyDescent="0.2">
      <c r="A543" s="24" t="s">
        <v>236</v>
      </c>
      <c r="B543" s="24" t="s">
        <v>237</v>
      </c>
      <c r="H543" s="2" t="s">
        <v>33</v>
      </c>
      <c r="I543" s="243" t="s">
        <v>1009</v>
      </c>
      <c r="K543" s="3">
        <v>0.77</v>
      </c>
      <c r="L543" s="3">
        <v>16</v>
      </c>
      <c r="M543" s="3">
        <v>1.04</v>
      </c>
      <c r="P543" s="4">
        <f t="shared" si="135"/>
        <v>0</v>
      </c>
      <c r="R543" s="3">
        <v>25</v>
      </c>
      <c r="S543" s="3">
        <v>0.43</v>
      </c>
      <c r="AN543" s="23"/>
    </row>
    <row r="544" spans="1:50" ht="34" x14ac:dyDescent="0.2">
      <c r="A544" s="24" t="s">
        <v>236</v>
      </c>
      <c r="B544" s="24" t="s">
        <v>237</v>
      </c>
      <c r="H544" s="2" t="s">
        <v>33</v>
      </c>
      <c r="I544" s="243" t="s">
        <v>1004</v>
      </c>
      <c r="M544" s="3">
        <v>0.2</v>
      </c>
      <c r="P544" s="4">
        <f t="shared" si="135"/>
        <v>0</v>
      </c>
      <c r="AI544" s="23"/>
      <c r="AN544" s="23"/>
    </row>
    <row r="545" spans="1:50" ht="34" x14ac:dyDescent="0.2">
      <c r="A545" s="24" t="s">
        <v>236</v>
      </c>
      <c r="B545" s="24" t="s">
        <v>237</v>
      </c>
      <c r="H545" s="2" t="s">
        <v>33</v>
      </c>
      <c r="I545" s="243" t="s">
        <v>1004</v>
      </c>
      <c r="P545" s="4">
        <f t="shared" si="135"/>
        <v>0</v>
      </c>
      <c r="AI545" s="23"/>
      <c r="AN545" s="23"/>
    </row>
    <row r="546" spans="1:50" s="71" customFormat="1" x14ac:dyDescent="0.2">
      <c r="A546" s="70" t="s">
        <v>236</v>
      </c>
      <c r="B546" s="70" t="s">
        <v>237</v>
      </c>
      <c r="C546" s="71" t="s">
        <v>238</v>
      </c>
      <c r="D546" s="71" t="s">
        <v>31</v>
      </c>
      <c r="E546" s="71" t="s">
        <v>42</v>
      </c>
      <c r="F546" s="71" t="s">
        <v>32</v>
      </c>
      <c r="H546" s="71" t="s">
        <v>33</v>
      </c>
      <c r="I546" s="87"/>
      <c r="J546" s="72">
        <f t="shared" ref="J546" si="136">AVERAGEIF(J541:J545, "&lt;&gt;0")</f>
        <v>90.6</v>
      </c>
      <c r="K546" s="72">
        <f>AVERAGEIF(K541:K545, "&lt;&gt;0")</f>
        <v>0.93666666666666665</v>
      </c>
      <c r="L546" s="72">
        <f>AVERAGEIF(L541:L545, "&lt;&gt;0")</f>
        <v>59.666666666666664</v>
      </c>
      <c r="M546" s="72">
        <f>AVERAGEIF(M541:M545, "&lt;&gt;0")</f>
        <v>2.1825000000000001</v>
      </c>
      <c r="N546" s="72"/>
      <c r="O546" s="72"/>
      <c r="P546" s="72">
        <f>AVERAGE(P541:P545)</f>
        <v>0</v>
      </c>
      <c r="Q546" s="72">
        <f>AVERAGEIF(Q541:Q545, "&lt;&gt;0")</f>
        <v>98</v>
      </c>
      <c r="R546" s="72">
        <f>AVERAGEIF(R541:R545, "&lt;&gt;0")</f>
        <v>51.333333333333336</v>
      </c>
      <c r="S546" s="72">
        <f>AVERAGEIF(S541:S545, "&lt;&gt;0")</f>
        <v>1.105</v>
      </c>
      <c r="T546" s="72"/>
      <c r="U546" s="72"/>
      <c r="V546" s="72"/>
      <c r="W546" s="72"/>
      <c r="X546" s="72"/>
      <c r="Y546" s="72"/>
      <c r="Z546" s="72"/>
      <c r="AA546" s="72"/>
      <c r="AB546" s="72"/>
      <c r="AC546" s="73"/>
      <c r="AD546" s="73"/>
      <c r="AE546" s="73"/>
      <c r="AF546" s="73"/>
      <c r="AG546" s="73"/>
      <c r="AH546" s="73"/>
      <c r="AI546" s="73"/>
      <c r="AJ546" s="73"/>
      <c r="AK546" s="73"/>
      <c r="AL546" s="73"/>
      <c r="AM546" s="73"/>
      <c r="AN546" s="73"/>
      <c r="AO546" s="73"/>
      <c r="AP546" s="73"/>
      <c r="AQ546" s="73"/>
      <c r="AR546" s="73"/>
      <c r="AS546" s="73"/>
      <c r="AT546" s="73"/>
      <c r="AU546" s="73"/>
      <c r="AV546" s="73"/>
      <c r="AW546" s="73"/>
      <c r="AX546" s="73"/>
    </row>
    <row r="547" spans="1:50" s="22" customFormat="1" ht="34" x14ac:dyDescent="0.2">
      <c r="A547" s="21" t="s">
        <v>236</v>
      </c>
      <c r="B547" s="21" t="s">
        <v>237</v>
      </c>
      <c r="C547" s="22" t="s">
        <v>0</v>
      </c>
      <c r="D547" s="2"/>
      <c r="E547" s="2"/>
      <c r="H547" s="22" t="s">
        <v>239</v>
      </c>
      <c r="I547" s="65" t="s">
        <v>1009</v>
      </c>
      <c r="J547" s="4"/>
      <c r="K547" s="4">
        <v>5.37</v>
      </c>
      <c r="L547" s="4">
        <v>105</v>
      </c>
      <c r="M547" s="4">
        <v>2.06</v>
      </c>
      <c r="N547" s="4"/>
      <c r="O547" s="4"/>
      <c r="P547" s="4">
        <f t="shared" ref="P547" si="137">AN547</f>
        <v>0</v>
      </c>
      <c r="Q547" s="4"/>
      <c r="R547" s="4">
        <v>5</v>
      </c>
      <c r="S547" s="4">
        <v>6</v>
      </c>
      <c r="T547" s="4"/>
      <c r="U547" s="4"/>
      <c r="V547" s="4"/>
      <c r="W547" s="4"/>
      <c r="X547" s="4"/>
      <c r="Y547" s="4"/>
      <c r="Z547" s="4"/>
      <c r="AA547" s="4"/>
      <c r="AB547" s="4"/>
      <c r="AC547" s="23"/>
      <c r="AD547" s="23"/>
      <c r="AE547" s="23"/>
      <c r="AF547" s="23"/>
      <c r="AG547" s="5"/>
      <c r="AH547" s="23"/>
      <c r="AI547" s="23"/>
      <c r="AJ547" s="23"/>
      <c r="AK547" s="23"/>
      <c r="AL547" s="23"/>
      <c r="AM547" s="23"/>
      <c r="AN547" s="23"/>
      <c r="AO547" s="23"/>
      <c r="AP547" s="23"/>
      <c r="AQ547" s="23"/>
      <c r="AR547" s="23"/>
      <c r="AS547" s="23"/>
      <c r="AT547" s="23"/>
      <c r="AU547" s="23"/>
      <c r="AV547" s="23"/>
      <c r="AW547" s="23"/>
      <c r="AX547" s="23"/>
    </row>
    <row r="548" spans="1:50" s="71" customFormat="1" ht="15" customHeight="1" x14ac:dyDescent="0.2">
      <c r="A548" s="70" t="s">
        <v>236</v>
      </c>
      <c r="B548" s="70" t="s">
        <v>237</v>
      </c>
      <c r="C548" s="71" t="s">
        <v>238</v>
      </c>
      <c r="D548" s="71" t="s">
        <v>31</v>
      </c>
      <c r="E548" s="71" t="s">
        <v>42</v>
      </c>
      <c r="F548" s="71" t="s">
        <v>32</v>
      </c>
      <c r="H548" s="71" t="s">
        <v>239</v>
      </c>
      <c r="I548" s="87"/>
      <c r="J548" s="72"/>
      <c r="K548" s="72">
        <f>AVERAGEIF(K547, "&lt;&gt;0")</f>
        <v>5.37</v>
      </c>
      <c r="L548" s="72">
        <f>AVERAGEIF(L547, "&lt;&gt;0")</f>
        <v>105</v>
      </c>
      <c r="M548" s="72">
        <f>AVERAGEIF(M547, "&lt;&gt;0")</f>
        <v>2.06</v>
      </c>
      <c r="N548" s="72"/>
      <c r="O548" s="72"/>
      <c r="P548" s="72">
        <f>P547</f>
        <v>0</v>
      </c>
      <c r="Q548" s="72"/>
      <c r="R548" s="72">
        <f>AVERAGEIF(R547, "&lt;&gt;0")</f>
        <v>5</v>
      </c>
      <c r="S548" s="72">
        <f>AVERAGEIF(S547, "&lt;&gt;0")</f>
        <v>6</v>
      </c>
      <c r="T548" s="72"/>
      <c r="U548" s="72"/>
      <c r="V548" s="72"/>
      <c r="W548" s="72"/>
      <c r="X548" s="72"/>
      <c r="Y548" s="72"/>
      <c r="Z548" s="72"/>
      <c r="AA548" s="72"/>
      <c r="AB548" s="72"/>
      <c r="AC548" s="73"/>
      <c r="AD548" s="73"/>
      <c r="AE548" s="73"/>
      <c r="AF548" s="73"/>
      <c r="AG548" s="73"/>
      <c r="AH548" s="73"/>
      <c r="AI548" s="73"/>
      <c r="AJ548" s="73"/>
      <c r="AK548" s="73"/>
      <c r="AL548" s="73"/>
      <c r="AM548" s="73"/>
      <c r="AN548" s="73"/>
      <c r="AO548" s="73"/>
      <c r="AP548" s="73"/>
      <c r="AQ548" s="73"/>
      <c r="AR548" s="73"/>
      <c r="AS548" s="73"/>
      <c r="AT548" s="73"/>
      <c r="AU548" s="73"/>
      <c r="AV548" s="73"/>
      <c r="AW548" s="73"/>
      <c r="AX548" s="73"/>
    </row>
    <row r="549" spans="1:50" ht="17" x14ac:dyDescent="0.2">
      <c r="A549" s="24" t="s">
        <v>236</v>
      </c>
      <c r="B549" s="24" t="s">
        <v>237</v>
      </c>
      <c r="H549" s="2" t="s">
        <v>214</v>
      </c>
      <c r="I549" s="243" t="s">
        <v>1013</v>
      </c>
      <c r="J549" s="3">
        <v>91</v>
      </c>
      <c r="K549" s="3">
        <v>2.7</v>
      </c>
      <c r="L549" s="3">
        <v>57</v>
      </c>
      <c r="M549" s="3">
        <v>1.4</v>
      </c>
      <c r="O549" s="3">
        <v>0.5</v>
      </c>
      <c r="P549" s="4" t="s">
        <v>0</v>
      </c>
      <c r="R549" s="3">
        <v>13</v>
      </c>
    </row>
    <row r="550" spans="1:50" ht="34" x14ac:dyDescent="0.2">
      <c r="A550" s="24" t="s">
        <v>236</v>
      </c>
      <c r="B550" s="24" t="s">
        <v>237</v>
      </c>
      <c r="H550" s="2" t="s">
        <v>214</v>
      </c>
      <c r="I550" s="243" t="s">
        <v>1009</v>
      </c>
      <c r="K550" s="3">
        <v>4.92</v>
      </c>
      <c r="L550" s="3">
        <v>60</v>
      </c>
      <c r="M550" s="3">
        <v>1.55</v>
      </c>
      <c r="P550" s="4">
        <f t="shared" ref="P550" si="138">AN550</f>
        <v>0</v>
      </c>
      <c r="R550" s="3">
        <v>17</v>
      </c>
      <c r="AN550" s="23"/>
    </row>
    <row r="551" spans="1:50" ht="34" x14ac:dyDescent="0.2">
      <c r="A551" s="24" t="s">
        <v>236</v>
      </c>
      <c r="B551" s="24" t="s">
        <v>237</v>
      </c>
      <c r="H551" s="2" t="s">
        <v>214</v>
      </c>
      <c r="I551" s="243" t="s">
        <v>1010</v>
      </c>
      <c r="J551" s="3">
        <v>93.5</v>
      </c>
      <c r="K551" s="3">
        <v>1.6</v>
      </c>
      <c r="M551" s="3">
        <v>1.4</v>
      </c>
      <c r="P551" s="4" t="s">
        <v>0</v>
      </c>
      <c r="R551" s="3">
        <v>15</v>
      </c>
    </row>
    <row r="552" spans="1:50" ht="34" x14ac:dyDescent="0.2">
      <c r="A552" s="24" t="s">
        <v>236</v>
      </c>
      <c r="B552" s="24" t="s">
        <v>237</v>
      </c>
      <c r="H552" s="2" t="s">
        <v>214</v>
      </c>
      <c r="I552" s="243" t="s">
        <v>1004</v>
      </c>
      <c r="J552" s="3">
        <v>94</v>
      </c>
      <c r="L552" s="3">
        <v>40</v>
      </c>
      <c r="P552" s="4">
        <f t="shared" ref="P552" si="139">AN552</f>
        <v>0</v>
      </c>
      <c r="R552" s="3">
        <v>15</v>
      </c>
      <c r="AI552" s="23"/>
      <c r="AN552" s="23"/>
    </row>
    <row r="553" spans="1:50" s="71" customFormat="1" x14ac:dyDescent="0.2">
      <c r="A553" s="70" t="s">
        <v>236</v>
      </c>
      <c r="B553" s="70" t="s">
        <v>237</v>
      </c>
      <c r="C553" s="71" t="s">
        <v>238</v>
      </c>
      <c r="D553" s="71" t="s">
        <v>31</v>
      </c>
      <c r="E553" s="71" t="s">
        <v>42</v>
      </c>
      <c r="F553" s="71" t="s">
        <v>32</v>
      </c>
      <c r="H553" s="71" t="s">
        <v>214</v>
      </c>
      <c r="I553" s="87"/>
      <c r="J553" s="72">
        <f t="shared" ref="J553" si="140">AVERAGEIF(J549:J552, "&lt;&gt;0")</f>
        <v>92.833333333333329</v>
      </c>
      <c r="K553" s="72">
        <f>AVERAGEIF(K549:K552, "&lt;&gt;0")</f>
        <v>3.0733333333333337</v>
      </c>
      <c r="L553" s="72">
        <f>AVERAGEIF(L549:L552, "&lt;&gt;0")</f>
        <v>52.333333333333336</v>
      </c>
      <c r="M553" s="72">
        <f>AVERAGEIF(M549:M552, "&lt;&gt;0")</f>
        <v>1.45</v>
      </c>
      <c r="N553" s="72"/>
      <c r="O553" s="72">
        <f>AVERAGEIF(O549:O552, "&lt;&gt;0")</f>
        <v>0.5</v>
      </c>
      <c r="P553" s="72">
        <f>AVERAGE(P549:P552)</f>
        <v>0</v>
      </c>
      <c r="Q553" s="72" t="s">
        <v>0</v>
      </c>
      <c r="R553" s="72">
        <f>AVERAGEIF(R549:R552, "&lt;&gt;0")</f>
        <v>15</v>
      </c>
      <c r="S553" s="72"/>
      <c r="T553" s="72"/>
      <c r="U553" s="72"/>
      <c r="V553" s="72"/>
      <c r="W553" s="72"/>
      <c r="X553" s="72"/>
      <c r="Y553" s="72"/>
      <c r="Z553" s="72"/>
      <c r="AA553" s="72"/>
      <c r="AB553" s="72"/>
      <c r="AC553" s="73"/>
      <c r="AD553" s="73"/>
      <c r="AE553" s="73"/>
      <c r="AF553" s="73"/>
      <c r="AG553" s="73"/>
      <c r="AH553" s="73"/>
      <c r="AI553" s="73"/>
      <c r="AJ553" s="73"/>
      <c r="AK553" s="73"/>
      <c r="AL553" s="73"/>
      <c r="AM553" s="73"/>
      <c r="AN553" s="73"/>
      <c r="AO553" s="73"/>
      <c r="AP553" s="73"/>
      <c r="AQ553" s="73"/>
      <c r="AR553" s="73"/>
      <c r="AS553" s="73"/>
      <c r="AT553" s="73"/>
      <c r="AU553" s="73"/>
      <c r="AV553" s="73"/>
      <c r="AW553" s="73"/>
      <c r="AX553" s="73"/>
    </row>
    <row r="554" spans="1:50" ht="34" x14ac:dyDescent="0.2">
      <c r="A554" s="24" t="s">
        <v>236</v>
      </c>
      <c r="B554" s="24" t="s">
        <v>240</v>
      </c>
      <c r="H554" s="2" t="s">
        <v>28</v>
      </c>
      <c r="I554" s="243" t="s">
        <v>1005</v>
      </c>
      <c r="J554" s="3">
        <v>82.3</v>
      </c>
      <c r="K554" s="3">
        <v>1.3</v>
      </c>
      <c r="L554" s="3">
        <v>38</v>
      </c>
      <c r="M554" s="3">
        <v>2.2000000000000002</v>
      </c>
      <c r="P554" s="4" t="s">
        <v>0</v>
      </c>
      <c r="R554" s="3">
        <v>25</v>
      </c>
    </row>
    <row r="555" spans="1:50" ht="34" x14ac:dyDescent="0.2">
      <c r="A555" s="24" t="s">
        <v>236</v>
      </c>
      <c r="B555" s="24" t="s">
        <v>240</v>
      </c>
      <c r="H555" s="2" t="s">
        <v>28</v>
      </c>
      <c r="I555" s="243" t="s">
        <v>1036</v>
      </c>
      <c r="J555" s="3">
        <v>82.3</v>
      </c>
      <c r="K555" s="3">
        <v>0.2</v>
      </c>
      <c r="L555" s="3">
        <v>37.9</v>
      </c>
      <c r="M555" s="3">
        <v>0.2</v>
      </c>
      <c r="N555" s="3">
        <v>2.2000000000000002</v>
      </c>
      <c r="P555" s="4" t="s">
        <v>0</v>
      </c>
      <c r="R555" s="3">
        <v>24.5</v>
      </c>
    </row>
    <row r="556" spans="1:50" s="71" customFormat="1" ht="15" customHeight="1" x14ac:dyDescent="0.2">
      <c r="A556" s="70" t="s">
        <v>236</v>
      </c>
      <c r="B556" s="70" t="s">
        <v>240</v>
      </c>
      <c r="C556" s="71" t="s">
        <v>241</v>
      </c>
      <c r="D556" s="71" t="s">
        <v>31</v>
      </c>
      <c r="E556" s="71" t="s">
        <v>42</v>
      </c>
      <c r="F556" s="71" t="s">
        <v>784</v>
      </c>
      <c r="H556" s="71" t="s">
        <v>28</v>
      </c>
      <c r="I556" s="87"/>
      <c r="J556" s="72">
        <f t="shared" ref="J556" si="141">AVERAGEIF(J554:J555, "&lt;&gt;0")</f>
        <v>82.3</v>
      </c>
      <c r="K556" s="72">
        <f>AVERAGEIF(K554:K555, "&lt;&gt;0")</f>
        <v>0.75</v>
      </c>
      <c r="L556" s="72">
        <f>AVERAGEIF(L554:L555, "&lt;&gt;0")</f>
        <v>37.950000000000003</v>
      </c>
      <c r="M556" s="72">
        <f>AVERAGEIF(M554:M555, "&lt;&gt;0")</f>
        <v>1.2000000000000002</v>
      </c>
      <c r="N556" s="72">
        <f>AVERAGEIF(N554:N555, "&lt;&gt;0")</f>
        <v>2.2000000000000002</v>
      </c>
      <c r="O556" s="72"/>
      <c r="P556" s="72"/>
      <c r="Q556" s="72"/>
      <c r="R556" s="72">
        <f>AVERAGEIF(R554:R555, "&lt;&gt;0")</f>
        <v>24.75</v>
      </c>
      <c r="S556" s="72"/>
      <c r="T556" s="72"/>
      <c r="U556" s="72"/>
      <c r="V556" s="72"/>
      <c r="W556" s="72"/>
      <c r="X556" s="72"/>
      <c r="Y556" s="72"/>
      <c r="Z556" s="72"/>
      <c r="AA556" s="72"/>
      <c r="AB556" s="72"/>
      <c r="AC556" s="73"/>
      <c r="AD556" s="73"/>
      <c r="AE556" s="73"/>
      <c r="AF556" s="73"/>
      <c r="AG556" s="73"/>
      <c r="AH556" s="73"/>
      <c r="AI556" s="73"/>
      <c r="AJ556" s="73"/>
      <c r="AK556" s="73"/>
      <c r="AL556" s="73"/>
      <c r="AM556" s="73"/>
      <c r="AN556" s="73"/>
      <c r="AO556" s="73"/>
      <c r="AP556" s="73"/>
      <c r="AQ556" s="73"/>
      <c r="AR556" s="73"/>
      <c r="AS556" s="73"/>
      <c r="AT556" s="73"/>
      <c r="AU556" s="73"/>
      <c r="AV556" s="73"/>
      <c r="AW556" s="73"/>
      <c r="AX556" s="73"/>
    </row>
    <row r="557" spans="1:50" s="22" customFormat="1" ht="34" x14ac:dyDescent="0.2">
      <c r="A557" s="21" t="s">
        <v>242</v>
      </c>
      <c r="B557" s="21" t="s">
        <v>243</v>
      </c>
      <c r="C557" s="22" t="s">
        <v>0</v>
      </c>
      <c r="D557" s="2"/>
      <c r="E557" s="2"/>
      <c r="H557" s="22" t="s">
        <v>91</v>
      </c>
      <c r="I557" s="65" t="s">
        <v>1009</v>
      </c>
      <c r="J557" s="4"/>
      <c r="K557" s="4">
        <v>0.66</v>
      </c>
      <c r="L557" s="4">
        <v>16</v>
      </c>
      <c r="M557" s="4">
        <v>0.42</v>
      </c>
      <c r="N557" s="4"/>
      <c r="O557" s="4"/>
      <c r="P557" s="4">
        <f t="shared" ref="P557" si="142">AN557</f>
        <v>0</v>
      </c>
      <c r="Q557" s="4"/>
      <c r="R557" s="4">
        <v>3</v>
      </c>
      <c r="S557" s="4">
        <v>0.06</v>
      </c>
      <c r="T557" s="4"/>
      <c r="U557" s="4"/>
      <c r="V557" s="4"/>
      <c r="W557" s="4"/>
      <c r="X557" s="4"/>
      <c r="Y557" s="4"/>
      <c r="Z557" s="4"/>
      <c r="AA557" s="4"/>
      <c r="AB557" s="4"/>
      <c r="AC557" s="23"/>
      <c r="AD557" s="23"/>
      <c r="AE557" s="23"/>
      <c r="AF557" s="23"/>
      <c r="AG557" s="5"/>
      <c r="AH557" s="23"/>
      <c r="AI557" s="23"/>
      <c r="AJ557" s="23"/>
      <c r="AK557" s="23"/>
      <c r="AL557" s="23"/>
      <c r="AM557" s="23"/>
      <c r="AN557" s="23"/>
      <c r="AO557" s="23"/>
      <c r="AP557" s="23"/>
      <c r="AQ557" s="23"/>
      <c r="AR557" s="23"/>
      <c r="AS557" s="23"/>
      <c r="AT557" s="23"/>
      <c r="AU557" s="23"/>
      <c r="AV557" s="23"/>
      <c r="AW557" s="23"/>
      <c r="AX557" s="23"/>
    </row>
    <row r="558" spans="1:50" s="71" customFormat="1" ht="15" customHeight="1" x14ac:dyDescent="0.2">
      <c r="A558" s="70" t="s">
        <v>242</v>
      </c>
      <c r="B558" s="70" t="s">
        <v>243</v>
      </c>
      <c r="C558" s="71" t="s">
        <v>244</v>
      </c>
      <c r="D558" s="71" t="s">
        <v>31</v>
      </c>
      <c r="E558" s="71" t="s">
        <v>46</v>
      </c>
      <c r="F558" s="78" t="s">
        <v>782</v>
      </c>
      <c r="H558" s="71" t="s">
        <v>91</v>
      </c>
      <c r="I558" s="87"/>
      <c r="J558" s="72" t="s">
        <v>0</v>
      </c>
      <c r="K558" s="72">
        <f>AVERAGEIF(K557, "&lt;&gt;0")</f>
        <v>0.66</v>
      </c>
      <c r="L558" s="72">
        <f>AVERAGEIF(L557, "&lt;&gt;0")</f>
        <v>16</v>
      </c>
      <c r="M558" s="72">
        <f>AVERAGEIF(M557, "&lt;&gt;0")</f>
        <v>0.42</v>
      </c>
      <c r="N558" s="72"/>
      <c r="O558" s="72"/>
      <c r="P558" s="72">
        <f>P557</f>
        <v>0</v>
      </c>
      <c r="Q558" s="72"/>
      <c r="R558" s="72">
        <f>AVERAGEIF(R557, "&lt;&gt;0")</f>
        <v>3</v>
      </c>
      <c r="S558" s="72">
        <f>AVERAGEIF(S557, "&lt;&gt;0")</f>
        <v>0.06</v>
      </c>
      <c r="T558" s="72"/>
      <c r="U558" s="72"/>
      <c r="V558" s="72"/>
      <c r="W558" s="72"/>
      <c r="X558" s="72"/>
      <c r="Y558" s="72"/>
      <c r="Z558" s="72"/>
      <c r="AA558" s="72"/>
      <c r="AB558" s="72"/>
      <c r="AC558" s="73"/>
      <c r="AD558" s="73"/>
      <c r="AE558" s="73"/>
      <c r="AF558" s="73"/>
      <c r="AG558" s="73"/>
      <c r="AH558" s="73"/>
      <c r="AI558" s="73"/>
      <c r="AJ558" s="73"/>
      <c r="AK558" s="73"/>
      <c r="AL558" s="73"/>
      <c r="AM558" s="73"/>
      <c r="AN558" s="73"/>
      <c r="AO558" s="73"/>
      <c r="AP558" s="73"/>
      <c r="AQ558" s="73"/>
      <c r="AR558" s="73"/>
      <c r="AS558" s="73"/>
      <c r="AT558" s="73"/>
      <c r="AU558" s="73"/>
      <c r="AV558" s="73"/>
      <c r="AW558" s="73"/>
      <c r="AX558" s="73"/>
    </row>
    <row r="559" spans="1:50" ht="17" x14ac:dyDescent="0.2">
      <c r="A559" s="24" t="s">
        <v>242</v>
      </c>
      <c r="B559" s="24" t="s">
        <v>245</v>
      </c>
      <c r="C559" s="32" t="s">
        <v>0</v>
      </c>
      <c r="H559" s="2" t="s">
        <v>33</v>
      </c>
      <c r="I559" s="243" t="s">
        <v>1007</v>
      </c>
      <c r="J559" s="3">
        <v>95.8</v>
      </c>
      <c r="K559" s="3" t="s">
        <v>0</v>
      </c>
      <c r="L559" s="3">
        <v>12</v>
      </c>
      <c r="M559" s="3">
        <v>0.6</v>
      </c>
      <c r="N559" s="3">
        <v>8</v>
      </c>
      <c r="O559" s="3">
        <v>0.51</v>
      </c>
      <c r="P559" s="4">
        <f t="shared" ref="P559:P560" si="143">AN559</f>
        <v>0</v>
      </c>
      <c r="Q559" s="3">
        <v>3</v>
      </c>
      <c r="R559" s="3">
        <v>21</v>
      </c>
      <c r="AI559" s="23"/>
      <c r="AN559" s="23"/>
    </row>
    <row r="560" spans="1:50" ht="34" x14ac:dyDescent="0.2">
      <c r="A560" s="24" t="s">
        <v>242</v>
      </c>
      <c r="B560" s="24" t="s">
        <v>245</v>
      </c>
      <c r="H560" s="2" t="s">
        <v>33</v>
      </c>
      <c r="I560" s="243" t="s">
        <v>1010</v>
      </c>
      <c r="J560" s="3">
        <v>94</v>
      </c>
      <c r="K560" s="3">
        <v>0.5</v>
      </c>
      <c r="L560" s="3">
        <v>50</v>
      </c>
      <c r="M560" s="3">
        <v>1.1000000000000001</v>
      </c>
      <c r="N560" s="36">
        <v>8</v>
      </c>
      <c r="P560" s="4">
        <f t="shared" si="143"/>
        <v>0</v>
      </c>
      <c r="R560" s="3">
        <v>10</v>
      </c>
      <c r="X560" s="36"/>
      <c r="AI560" s="23"/>
      <c r="AN560" s="23"/>
    </row>
    <row r="561" spans="1:50" s="71" customFormat="1" x14ac:dyDescent="0.2">
      <c r="A561" s="70" t="s">
        <v>242</v>
      </c>
      <c r="B561" s="70" t="s">
        <v>245</v>
      </c>
      <c r="C561" s="71" t="s">
        <v>246</v>
      </c>
      <c r="D561" s="71" t="s">
        <v>31</v>
      </c>
      <c r="E561" s="71" t="s">
        <v>46</v>
      </c>
      <c r="F561" s="78" t="s">
        <v>782</v>
      </c>
      <c r="H561" s="71" t="s">
        <v>33</v>
      </c>
      <c r="I561" s="87"/>
      <c r="J561" s="72">
        <f t="shared" ref="J561" si="144">AVERAGEIF(J559:J560, "&lt;&gt;0")</f>
        <v>94.9</v>
      </c>
      <c r="K561" s="72">
        <f t="shared" ref="K561:R561" si="145">AVERAGEIF(K559:K560, "&lt;&gt;0")</f>
        <v>0.5</v>
      </c>
      <c r="L561" s="72">
        <f t="shared" si="145"/>
        <v>31</v>
      </c>
      <c r="M561" s="72">
        <f t="shared" si="145"/>
        <v>0.85000000000000009</v>
      </c>
      <c r="N561" s="72">
        <f t="shared" si="145"/>
        <v>8</v>
      </c>
      <c r="O561" s="72">
        <f t="shared" si="145"/>
        <v>0.51</v>
      </c>
      <c r="P561" s="72">
        <f>AVERAGE(P559:P560)</f>
        <v>0</v>
      </c>
      <c r="Q561" s="72">
        <f t="shared" si="145"/>
        <v>3</v>
      </c>
      <c r="R561" s="72">
        <f t="shared" si="145"/>
        <v>15.5</v>
      </c>
      <c r="S561" s="72"/>
      <c r="T561" s="72"/>
      <c r="U561" s="72"/>
      <c r="V561" s="72"/>
      <c r="W561" s="72"/>
      <c r="X561" s="72"/>
      <c r="Y561" s="72"/>
      <c r="Z561" s="72"/>
      <c r="AA561" s="72"/>
      <c r="AB561" s="72"/>
      <c r="AC561" s="73"/>
      <c r="AD561" s="73"/>
      <c r="AE561" s="73"/>
      <c r="AF561" s="73"/>
      <c r="AG561" s="73"/>
      <c r="AH561" s="73"/>
      <c r="AI561" s="73"/>
      <c r="AJ561" s="73"/>
      <c r="AK561" s="73"/>
      <c r="AL561" s="73"/>
      <c r="AM561" s="73"/>
      <c r="AN561" s="73"/>
      <c r="AO561" s="73"/>
      <c r="AP561" s="73"/>
      <c r="AQ561" s="73"/>
      <c r="AR561" s="73"/>
      <c r="AS561" s="73"/>
      <c r="AT561" s="73"/>
      <c r="AU561" s="73"/>
      <c r="AV561" s="73"/>
      <c r="AW561" s="73"/>
      <c r="AX561" s="73"/>
    </row>
    <row r="562" spans="1:50" ht="51" x14ac:dyDescent="0.2">
      <c r="A562" s="24" t="s">
        <v>247</v>
      </c>
      <c r="B562" s="24" t="s">
        <v>245</v>
      </c>
      <c r="H562" s="2" t="s">
        <v>33</v>
      </c>
      <c r="I562" s="243" t="s">
        <v>1011</v>
      </c>
      <c r="J562" s="3">
        <v>83</v>
      </c>
      <c r="K562" s="3">
        <v>5.7</v>
      </c>
      <c r="L562" s="3">
        <v>276</v>
      </c>
      <c r="M562" s="3">
        <v>2.8</v>
      </c>
      <c r="N562" s="3">
        <v>47</v>
      </c>
      <c r="O562" s="3">
        <v>0.6</v>
      </c>
      <c r="P562" s="4" t="s">
        <v>0</v>
      </c>
      <c r="R562" s="3">
        <v>81</v>
      </c>
      <c r="S562" s="3">
        <v>2.2999999999999998</v>
      </c>
    </row>
    <row r="563" spans="1:50" ht="51" x14ac:dyDescent="0.2">
      <c r="A563" s="24" t="s">
        <v>247</v>
      </c>
      <c r="B563" s="24" t="s">
        <v>245</v>
      </c>
      <c r="H563" s="2" t="s">
        <v>33</v>
      </c>
      <c r="I563" s="243" t="s">
        <v>1024</v>
      </c>
      <c r="P563" s="4" t="s">
        <v>0</v>
      </c>
      <c r="S563" s="3">
        <v>7.0000000000000007E-2</v>
      </c>
    </row>
    <row r="564" spans="1:50" ht="17" x14ac:dyDescent="0.2">
      <c r="A564" s="24" t="s">
        <v>242</v>
      </c>
      <c r="B564" s="24" t="s">
        <v>245</v>
      </c>
      <c r="H564" s="2" t="s">
        <v>33</v>
      </c>
      <c r="I564" s="243" t="s">
        <v>1030</v>
      </c>
      <c r="M564" s="3">
        <v>2.2999999999999998</v>
      </c>
      <c r="N564" s="3">
        <v>45</v>
      </c>
      <c r="P564" s="4">
        <f t="shared" ref="P564:P567" si="146">AN564</f>
        <v>0</v>
      </c>
      <c r="Q564" s="3">
        <v>126</v>
      </c>
      <c r="AN564" s="23"/>
    </row>
    <row r="565" spans="1:50" ht="17" x14ac:dyDescent="0.2">
      <c r="A565" s="24" t="s">
        <v>242</v>
      </c>
      <c r="B565" s="24" t="s">
        <v>245</v>
      </c>
      <c r="C565" s="32" t="s">
        <v>0</v>
      </c>
      <c r="H565" s="2" t="s">
        <v>33</v>
      </c>
      <c r="I565" s="243" t="s">
        <v>1007</v>
      </c>
      <c r="J565" s="3">
        <v>85.6</v>
      </c>
      <c r="K565" s="3">
        <v>3.7</v>
      </c>
      <c r="L565" s="3">
        <v>107</v>
      </c>
      <c r="M565" s="3">
        <v>2.25</v>
      </c>
      <c r="N565" s="3">
        <v>45</v>
      </c>
      <c r="O565" s="3">
        <v>0.41</v>
      </c>
      <c r="P565" s="4">
        <f t="shared" si="146"/>
        <v>0</v>
      </c>
      <c r="Q565" s="3">
        <v>126</v>
      </c>
      <c r="R565" s="3">
        <v>52</v>
      </c>
      <c r="S565" s="3">
        <v>2.02</v>
      </c>
      <c r="AI565" s="23"/>
      <c r="AN565" s="23"/>
    </row>
    <row r="566" spans="1:50" ht="17" x14ac:dyDescent="0.2">
      <c r="A566" s="46" t="s">
        <v>242</v>
      </c>
      <c r="B566" s="46" t="s">
        <v>245</v>
      </c>
      <c r="C566" s="50"/>
      <c r="H566" s="2" t="s">
        <v>33</v>
      </c>
      <c r="I566" s="245" t="s">
        <v>1006</v>
      </c>
      <c r="J566" s="36">
        <v>90</v>
      </c>
      <c r="K566" s="36">
        <v>0.16999999999999996</v>
      </c>
      <c r="L566" s="36" t="s">
        <v>55</v>
      </c>
      <c r="M566" s="3" t="s">
        <v>55</v>
      </c>
      <c r="P566" s="4">
        <f t="shared" si="146"/>
        <v>0</v>
      </c>
      <c r="R566" s="36" t="s">
        <v>55</v>
      </c>
      <c r="T566" s="36"/>
      <c r="U566" s="36"/>
      <c r="V566" s="36"/>
      <c r="Z566" s="36"/>
      <c r="AA566" s="36"/>
      <c r="AB566" s="36"/>
      <c r="AE566" s="23"/>
      <c r="AN566" s="23"/>
    </row>
    <row r="567" spans="1:50" ht="34" x14ac:dyDescent="0.2">
      <c r="A567" s="24" t="s">
        <v>242</v>
      </c>
      <c r="B567" s="24" t="s">
        <v>245</v>
      </c>
      <c r="H567" s="2" t="s">
        <v>33</v>
      </c>
      <c r="I567" s="243" t="s">
        <v>1010</v>
      </c>
      <c r="J567" s="3">
        <v>86</v>
      </c>
      <c r="K567" s="3">
        <v>1.6</v>
      </c>
      <c r="L567" s="3">
        <v>156</v>
      </c>
      <c r="M567" s="3">
        <v>1.7</v>
      </c>
      <c r="N567" s="3">
        <v>45</v>
      </c>
      <c r="P567" s="4">
        <f t="shared" si="146"/>
        <v>0</v>
      </c>
      <c r="R567" s="3">
        <v>45</v>
      </c>
      <c r="AI567" s="23"/>
      <c r="AN567" s="23"/>
    </row>
    <row r="568" spans="1:50" ht="17" x14ac:dyDescent="0.2">
      <c r="A568" s="46" t="s">
        <v>242</v>
      </c>
      <c r="B568" s="46" t="s">
        <v>245</v>
      </c>
      <c r="C568" s="1"/>
      <c r="G568" s="22"/>
      <c r="H568" s="2" t="s">
        <v>33</v>
      </c>
      <c r="I568" s="243" t="s">
        <v>1006</v>
      </c>
      <c r="J568" s="3">
        <v>81</v>
      </c>
      <c r="K568" s="3">
        <v>1.2090000000000003</v>
      </c>
      <c r="L568" s="3">
        <v>162.00600000000006</v>
      </c>
      <c r="M568" s="36">
        <v>1.0044000000000004</v>
      </c>
      <c r="P568" s="4" t="s">
        <v>0</v>
      </c>
      <c r="R568" s="3" t="s">
        <v>55</v>
      </c>
      <c r="W568" s="36"/>
    </row>
    <row r="569" spans="1:50" ht="17" x14ac:dyDescent="0.2">
      <c r="A569" s="31" t="s">
        <v>242</v>
      </c>
      <c r="B569" s="31" t="s">
        <v>245</v>
      </c>
      <c r="C569" s="1"/>
      <c r="H569" s="2" t="s">
        <v>33</v>
      </c>
      <c r="I569" s="243" t="s">
        <v>1006</v>
      </c>
      <c r="J569" s="3">
        <v>87</v>
      </c>
      <c r="K569" s="3">
        <v>1.3952</v>
      </c>
      <c r="L569" s="3">
        <v>76.006399999999999</v>
      </c>
      <c r="M569" s="3">
        <v>0.99839999999999995</v>
      </c>
      <c r="P569" s="4" t="s">
        <v>0</v>
      </c>
      <c r="R569" s="3" t="s">
        <v>55</v>
      </c>
    </row>
    <row r="570" spans="1:50" ht="34" x14ac:dyDescent="0.2">
      <c r="A570" s="31" t="s">
        <v>242</v>
      </c>
      <c r="B570" s="31" t="s">
        <v>245</v>
      </c>
      <c r="C570" s="1"/>
      <c r="H570" s="2" t="s">
        <v>33</v>
      </c>
      <c r="I570" s="243" t="s">
        <v>1015</v>
      </c>
      <c r="J570" s="3">
        <v>90</v>
      </c>
      <c r="K570" s="3">
        <v>3.7</v>
      </c>
      <c r="L570" s="3">
        <v>98</v>
      </c>
      <c r="M570" s="3">
        <v>2</v>
      </c>
      <c r="N570" s="3">
        <v>45</v>
      </c>
      <c r="O570" s="3">
        <v>0.4</v>
      </c>
      <c r="P570" s="4">
        <f t="shared" ref="P570:P571" si="147">AN570</f>
        <v>0</v>
      </c>
      <c r="Q570" s="3">
        <v>126</v>
      </c>
      <c r="R570" s="3">
        <v>52</v>
      </c>
      <c r="S570" s="3">
        <v>1.64</v>
      </c>
      <c r="AE570" s="23"/>
      <c r="AN570" s="23"/>
    </row>
    <row r="571" spans="1:50" ht="34" x14ac:dyDescent="0.2">
      <c r="A571" s="24" t="s">
        <v>247</v>
      </c>
      <c r="B571" s="24" t="s">
        <v>248</v>
      </c>
      <c r="H571" s="2" t="s">
        <v>33</v>
      </c>
      <c r="I571" s="243" t="s">
        <v>1005</v>
      </c>
      <c r="J571" s="3">
        <v>85.7</v>
      </c>
      <c r="K571" s="3">
        <v>4</v>
      </c>
      <c r="L571" s="3">
        <v>110</v>
      </c>
      <c r="M571" s="3">
        <v>7</v>
      </c>
      <c r="P571" s="4">
        <f t="shared" si="147"/>
        <v>0</v>
      </c>
      <c r="Q571" s="3">
        <v>39</v>
      </c>
      <c r="R571" s="3">
        <v>52</v>
      </c>
      <c r="AI571" s="23"/>
      <c r="AN571" s="23"/>
    </row>
    <row r="572" spans="1:50" s="71" customFormat="1" x14ac:dyDescent="0.2">
      <c r="A572" s="70" t="s">
        <v>247</v>
      </c>
      <c r="B572" s="70" t="s">
        <v>248</v>
      </c>
      <c r="C572" s="71" t="s">
        <v>246</v>
      </c>
      <c r="D572" s="71" t="s">
        <v>31</v>
      </c>
      <c r="E572" s="71" t="s">
        <v>46</v>
      </c>
      <c r="F572" s="78" t="s">
        <v>782</v>
      </c>
      <c r="H572" s="71" t="s">
        <v>33</v>
      </c>
      <c r="I572" s="87"/>
      <c r="J572" s="72">
        <f t="shared" ref="J572" si="148">AVERAGEIF(J562:J571, "&lt;&gt;0")</f>
        <v>86.037500000000009</v>
      </c>
      <c r="K572" s="72">
        <f t="shared" ref="K572:S572" si="149">AVERAGEIF(K562:K571, "&lt;&gt;0")</f>
        <v>2.684275</v>
      </c>
      <c r="L572" s="72">
        <f t="shared" si="149"/>
        <v>140.71605714285715</v>
      </c>
      <c r="M572" s="72">
        <f t="shared" si="149"/>
        <v>2.5065999999999997</v>
      </c>
      <c r="N572" s="72">
        <f t="shared" si="149"/>
        <v>45.4</v>
      </c>
      <c r="O572" s="72">
        <f t="shared" si="149"/>
        <v>0.47000000000000003</v>
      </c>
      <c r="P572" s="72">
        <f>AVERAGE(P562:P571)</f>
        <v>0</v>
      </c>
      <c r="Q572" s="72">
        <f t="shared" si="149"/>
        <v>104.25</v>
      </c>
      <c r="R572" s="72">
        <f t="shared" si="149"/>
        <v>56.4</v>
      </c>
      <c r="S572" s="72">
        <f t="shared" si="149"/>
        <v>1.5074999999999998</v>
      </c>
      <c r="T572" s="72"/>
      <c r="U572" s="72"/>
      <c r="V572" s="72"/>
      <c r="W572" s="72"/>
      <c r="X572" s="72"/>
      <c r="Y572" s="72"/>
      <c r="Z572" s="72"/>
      <c r="AA572" s="72"/>
      <c r="AB572" s="72"/>
      <c r="AC572" s="73"/>
      <c r="AD572" s="73"/>
      <c r="AE572" s="73"/>
      <c r="AF572" s="73"/>
      <c r="AG572" s="73"/>
      <c r="AH572" s="73"/>
      <c r="AI572" s="73"/>
      <c r="AJ572" s="73"/>
      <c r="AK572" s="73"/>
      <c r="AL572" s="73"/>
      <c r="AM572" s="73"/>
      <c r="AN572" s="73"/>
      <c r="AO572" s="73"/>
      <c r="AP572" s="73"/>
      <c r="AQ572" s="73"/>
      <c r="AR572" s="73"/>
      <c r="AS572" s="73"/>
      <c r="AT572" s="73"/>
      <c r="AU572" s="73"/>
      <c r="AV572" s="73"/>
      <c r="AW572" s="73"/>
      <c r="AX572" s="73"/>
    </row>
    <row r="573" spans="1:50" ht="51" x14ac:dyDescent="0.2">
      <c r="A573" s="24" t="s">
        <v>247</v>
      </c>
      <c r="B573" s="24" t="s">
        <v>245</v>
      </c>
      <c r="H573" s="1" t="s">
        <v>91</v>
      </c>
      <c r="I573" s="243" t="s">
        <v>1011</v>
      </c>
      <c r="J573" s="3">
        <v>95</v>
      </c>
      <c r="K573" s="3">
        <v>2.1</v>
      </c>
      <c r="L573" s="3">
        <v>46</v>
      </c>
      <c r="M573" s="3">
        <v>1.2</v>
      </c>
      <c r="N573" s="3">
        <v>28</v>
      </c>
      <c r="O573" s="3">
        <v>0.3</v>
      </c>
      <c r="P573" s="4" t="s">
        <v>0</v>
      </c>
      <c r="R573" s="3">
        <v>4</v>
      </c>
      <c r="S573" s="3">
        <v>0.1</v>
      </c>
    </row>
    <row r="574" spans="1:50" ht="17" x14ac:dyDescent="0.2">
      <c r="A574" s="31" t="s">
        <v>242</v>
      </c>
      <c r="B574" s="31" t="s">
        <v>245</v>
      </c>
      <c r="C574" s="1"/>
      <c r="F574" s="1"/>
      <c r="G574" s="1"/>
      <c r="H574" s="1" t="s">
        <v>91</v>
      </c>
      <c r="I574" s="243" t="s">
        <v>1006</v>
      </c>
      <c r="J574" s="3">
        <v>93</v>
      </c>
      <c r="K574" s="3">
        <v>0.89789999999999937</v>
      </c>
      <c r="L574" s="3">
        <v>48.99759999999997</v>
      </c>
      <c r="M574" s="3">
        <v>0.89789999999999948</v>
      </c>
      <c r="P574" s="4">
        <f t="shared" ref="P574" si="150">AN574</f>
        <v>0</v>
      </c>
      <c r="R574" s="3" t="s">
        <v>55</v>
      </c>
      <c r="AE574" s="23"/>
      <c r="AN574" s="23"/>
    </row>
    <row r="575" spans="1:50" ht="17" x14ac:dyDescent="0.2">
      <c r="A575" s="31" t="s">
        <v>242</v>
      </c>
      <c r="B575" s="31" t="s">
        <v>245</v>
      </c>
      <c r="C575" s="1"/>
      <c r="F575" s="1"/>
      <c r="G575" s="1"/>
      <c r="H575" s="1" t="s">
        <v>91</v>
      </c>
      <c r="I575" s="243" t="s">
        <v>1006</v>
      </c>
      <c r="J575" s="3">
        <v>93</v>
      </c>
      <c r="K575" s="3">
        <v>0.60059999999999947</v>
      </c>
      <c r="L575" s="3">
        <v>60.000599999999956</v>
      </c>
      <c r="M575" s="3">
        <v>0.5015999999999996</v>
      </c>
      <c r="P575" s="4" t="s">
        <v>0</v>
      </c>
      <c r="R575" s="3" t="s">
        <v>55</v>
      </c>
    </row>
    <row r="576" spans="1:50" ht="34" x14ac:dyDescent="0.2">
      <c r="A576" s="24" t="s">
        <v>242</v>
      </c>
      <c r="B576" s="24" t="s">
        <v>245</v>
      </c>
      <c r="F576" s="1"/>
      <c r="G576" s="1"/>
      <c r="H576" s="1" t="s">
        <v>91</v>
      </c>
      <c r="I576" s="243" t="s">
        <v>1009</v>
      </c>
      <c r="K576" s="3">
        <v>0.8</v>
      </c>
      <c r="L576" s="3">
        <v>79</v>
      </c>
      <c r="M576" s="3">
        <v>0.36</v>
      </c>
      <c r="P576" s="4">
        <f t="shared" ref="P576:P577" si="151">AN576</f>
        <v>0</v>
      </c>
      <c r="R576" s="3">
        <v>5</v>
      </c>
      <c r="AN576" s="23"/>
    </row>
    <row r="577" spans="1:50" ht="34" x14ac:dyDescent="0.2">
      <c r="A577" s="24" t="s">
        <v>242</v>
      </c>
      <c r="B577" s="24" t="s">
        <v>245</v>
      </c>
      <c r="F577" s="1"/>
      <c r="G577" s="1"/>
      <c r="H577" s="1" t="s">
        <v>91</v>
      </c>
      <c r="I577" s="243" t="s">
        <v>1009</v>
      </c>
      <c r="K577" s="3">
        <v>0.87</v>
      </c>
      <c r="L577" s="3">
        <v>31</v>
      </c>
      <c r="M577" s="3">
        <v>0.3</v>
      </c>
      <c r="O577" s="3">
        <v>0.64</v>
      </c>
      <c r="P577" s="4">
        <f t="shared" si="151"/>
        <v>0</v>
      </c>
      <c r="R577" s="3">
        <v>7</v>
      </c>
      <c r="AN577" s="23"/>
    </row>
    <row r="578" spans="1:50" s="71" customFormat="1" ht="15" customHeight="1" x14ac:dyDescent="0.2">
      <c r="A578" s="70" t="s">
        <v>242</v>
      </c>
      <c r="B578" s="70" t="s">
        <v>245</v>
      </c>
      <c r="C578" s="71" t="s">
        <v>246</v>
      </c>
      <c r="D578" s="71" t="s">
        <v>31</v>
      </c>
      <c r="E578" s="78" t="s">
        <v>46</v>
      </c>
      <c r="F578" s="78" t="s">
        <v>782</v>
      </c>
      <c r="G578" s="78"/>
      <c r="H578" s="78" t="s">
        <v>91</v>
      </c>
      <c r="I578" s="87"/>
      <c r="J578" s="72">
        <f t="shared" ref="J578" si="152">AVERAGEIF(J573:J577, "&lt;&gt;0")</f>
        <v>93.666666666666671</v>
      </c>
      <c r="K578" s="72">
        <f t="shared" ref="K578:O578" si="153">AVERAGEIF(K573:K577, "&lt;&gt;0")</f>
        <v>1.0536999999999999</v>
      </c>
      <c r="L578" s="72">
        <f t="shared" si="153"/>
        <v>52.999639999999985</v>
      </c>
      <c r="M578" s="72">
        <f t="shared" si="153"/>
        <v>0.6518999999999997</v>
      </c>
      <c r="N578" s="72">
        <f t="shared" si="153"/>
        <v>28</v>
      </c>
      <c r="O578" s="72">
        <f t="shared" si="153"/>
        <v>0.47</v>
      </c>
      <c r="P578" s="72">
        <f>AVERAGE(P573:P577)</f>
        <v>0</v>
      </c>
      <c r="Q578" s="72"/>
      <c r="R578" s="72">
        <f>AVERAGEIF(R573:R577, "&lt;&gt;0")</f>
        <v>5.333333333333333</v>
      </c>
      <c r="S578" s="72">
        <f>AVERAGEIF(S573:S577, "&lt;&gt;0")</f>
        <v>0.1</v>
      </c>
      <c r="T578" s="72"/>
      <c r="U578" s="72"/>
      <c r="V578" s="72"/>
      <c r="W578" s="72"/>
      <c r="X578" s="72"/>
      <c r="Y578" s="72"/>
      <c r="Z578" s="72"/>
      <c r="AA578" s="72"/>
      <c r="AB578" s="72"/>
      <c r="AC578" s="73"/>
      <c r="AD578" s="73"/>
      <c r="AE578" s="73"/>
      <c r="AF578" s="73"/>
      <c r="AG578" s="73"/>
      <c r="AH578" s="73"/>
      <c r="AI578" s="73"/>
      <c r="AJ578" s="73"/>
      <c r="AK578" s="73"/>
      <c r="AL578" s="73"/>
      <c r="AM578" s="73"/>
      <c r="AN578" s="73"/>
      <c r="AO578" s="73"/>
      <c r="AP578" s="73"/>
      <c r="AQ578" s="73"/>
      <c r="AR578" s="73"/>
      <c r="AS578" s="73"/>
      <c r="AT578" s="73"/>
      <c r="AU578" s="73"/>
      <c r="AV578" s="73"/>
      <c r="AW578" s="73"/>
      <c r="AX578" s="73"/>
    </row>
    <row r="579" spans="1:50" s="22" customFormat="1" ht="15" customHeight="1" x14ac:dyDescent="0.2">
      <c r="A579" s="21" t="s">
        <v>249</v>
      </c>
      <c r="B579" s="21" t="s">
        <v>250</v>
      </c>
      <c r="C579" s="22" t="s">
        <v>0</v>
      </c>
      <c r="D579" s="2"/>
      <c r="E579" s="2"/>
      <c r="H579" s="22" t="s">
        <v>33</v>
      </c>
      <c r="I579" s="65" t="s">
        <v>1006</v>
      </c>
      <c r="J579" s="4">
        <v>75</v>
      </c>
      <c r="K579" s="4">
        <v>1.9925999999999999</v>
      </c>
      <c r="L579" s="4">
        <v>104.00880000000001</v>
      </c>
      <c r="M579" s="4" t="s">
        <v>55</v>
      </c>
      <c r="N579" s="4"/>
      <c r="O579" s="4"/>
      <c r="P579" s="4">
        <f t="shared" ref="P579" si="154">AN579</f>
        <v>0</v>
      </c>
      <c r="Q579" s="4"/>
      <c r="R579" s="4">
        <v>70.011600000000001</v>
      </c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23"/>
      <c r="AD579" s="23"/>
      <c r="AE579" s="23"/>
      <c r="AF579" s="23"/>
      <c r="AG579" s="23"/>
      <c r="AH579" s="23"/>
      <c r="AI579" s="23"/>
      <c r="AJ579" s="23"/>
      <c r="AK579" s="23"/>
      <c r="AL579" s="23"/>
      <c r="AM579" s="23"/>
      <c r="AN579" s="23"/>
      <c r="AO579" s="23"/>
      <c r="AP579" s="23"/>
      <c r="AQ579" s="23"/>
      <c r="AR579" s="23"/>
      <c r="AS579" s="23"/>
      <c r="AT579" s="23"/>
      <c r="AU579" s="23"/>
      <c r="AV579" s="23"/>
      <c r="AW579" s="23"/>
      <c r="AX579" s="23"/>
    </row>
    <row r="580" spans="1:50" s="71" customFormat="1" ht="15" customHeight="1" x14ac:dyDescent="0.2">
      <c r="A580" s="70" t="s">
        <v>249</v>
      </c>
      <c r="B580" s="70" t="s">
        <v>250</v>
      </c>
      <c r="C580" s="71" t="s">
        <v>251</v>
      </c>
      <c r="D580" s="71" t="s">
        <v>31</v>
      </c>
      <c r="E580" s="71" t="s">
        <v>42</v>
      </c>
      <c r="F580" s="71" t="s">
        <v>32</v>
      </c>
      <c r="H580" s="71" t="s">
        <v>33</v>
      </c>
      <c r="I580" s="87"/>
      <c r="J580" s="72">
        <f>AVERAGEIF(J579, "&lt;&gt;0")</f>
        <v>75</v>
      </c>
      <c r="K580" s="72">
        <f>AVERAGEIF(K579, "&lt;&gt;0")</f>
        <v>1.9925999999999999</v>
      </c>
      <c r="L580" s="72">
        <f>AVERAGEIF(L579, "&lt;&gt;0")</f>
        <v>104.00880000000001</v>
      </c>
      <c r="M580" s="72"/>
      <c r="N580" s="72"/>
      <c r="O580" s="72"/>
      <c r="P580" s="72">
        <f>P579</f>
        <v>0</v>
      </c>
      <c r="Q580" s="72"/>
      <c r="R580" s="72">
        <f>AVERAGEIF(R579, "&lt;&gt;0")</f>
        <v>70.011600000000001</v>
      </c>
      <c r="S580" s="72"/>
      <c r="T580" s="72"/>
      <c r="U580" s="72"/>
      <c r="V580" s="72"/>
      <c r="W580" s="72"/>
      <c r="X580" s="72"/>
      <c r="Y580" s="72"/>
      <c r="Z580" s="72"/>
      <c r="AA580" s="72"/>
      <c r="AB580" s="72"/>
      <c r="AC580" s="73"/>
      <c r="AD580" s="73"/>
      <c r="AE580" s="73"/>
      <c r="AF580" s="73"/>
      <c r="AG580" s="73"/>
      <c r="AH580" s="73"/>
      <c r="AI580" s="73"/>
      <c r="AJ580" s="73"/>
      <c r="AK580" s="73"/>
      <c r="AL580" s="73"/>
      <c r="AM580" s="73"/>
      <c r="AN580" s="73"/>
      <c r="AO580" s="73"/>
      <c r="AP580" s="73"/>
      <c r="AQ580" s="73"/>
      <c r="AR580" s="73"/>
      <c r="AS580" s="73"/>
      <c r="AT580" s="73"/>
      <c r="AU580" s="73"/>
      <c r="AV580" s="73"/>
      <c r="AW580" s="73"/>
      <c r="AX580" s="73"/>
    </row>
    <row r="581" spans="1:50" ht="34" x14ac:dyDescent="0.2">
      <c r="A581" s="24" t="s">
        <v>252</v>
      </c>
      <c r="B581" s="24" t="s">
        <v>253</v>
      </c>
      <c r="H581" s="2" t="s">
        <v>33</v>
      </c>
      <c r="I581" s="243" t="s">
        <v>254</v>
      </c>
      <c r="J581" s="3">
        <v>92.3</v>
      </c>
      <c r="K581" s="3">
        <v>1.4</v>
      </c>
      <c r="L581" s="3">
        <v>113</v>
      </c>
      <c r="M581" s="3">
        <v>7.1</v>
      </c>
      <c r="N581" s="3">
        <v>77</v>
      </c>
      <c r="O581" s="3">
        <v>0.63</v>
      </c>
      <c r="P581" s="4" t="s">
        <v>0</v>
      </c>
      <c r="R581" s="3">
        <v>20</v>
      </c>
    </row>
    <row r="582" spans="1:50" s="22" customFormat="1" ht="17" x14ac:dyDescent="0.2">
      <c r="A582" s="25" t="s">
        <v>252</v>
      </c>
      <c r="B582" s="25" t="s">
        <v>253</v>
      </c>
      <c r="C582" s="26"/>
      <c r="D582" s="2"/>
      <c r="E582" s="2"/>
      <c r="F582" s="26"/>
      <c r="G582" s="26"/>
      <c r="H582" s="26" t="s">
        <v>33</v>
      </c>
      <c r="I582" s="65" t="s">
        <v>1006</v>
      </c>
      <c r="J582" s="4">
        <v>86</v>
      </c>
      <c r="K582" s="4">
        <v>2.4011999999999998</v>
      </c>
      <c r="L582" s="4">
        <v>209.99460000000002</v>
      </c>
      <c r="M582" s="4" t="s">
        <v>55</v>
      </c>
      <c r="N582" s="4"/>
      <c r="O582" s="4"/>
      <c r="P582" s="4" t="s">
        <v>0</v>
      </c>
      <c r="Q582" s="4"/>
      <c r="R582" s="4" t="s">
        <v>55</v>
      </c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23"/>
      <c r="AD582" s="23"/>
      <c r="AE582" s="23"/>
      <c r="AF582" s="23"/>
      <c r="AG582" s="23"/>
      <c r="AH582" s="23"/>
      <c r="AI582" s="23"/>
      <c r="AJ582" s="23"/>
      <c r="AK582" s="23"/>
      <c r="AL582" s="23"/>
      <c r="AM582" s="23"/>
      <c r="AN582" s="23"/>
      <c r="AO582" s="23"/>
      <c r="AP582" s="23"/>
      <c r="AQ582" s="23"/>
      <c r="AR582" s="23"/>
      <c r="AS582" s="23"/>
      <c r="AT582" s="23"/>
      <c r="AU582" s="23"/>
      <c r="AV582" s="23"/>
      <c r="AW582" s="23"/>
      <c r="AX582" s="23"/>
    </row>
    <row r="583" spans="1:50" s="71" customFormat="1" ht="15" customHeight="1" x14ac:dyDescent="0.2">
      <c r="A583" s="77" t="s">
        <v>252</v>
      </c>
      <c r="B583" s="77" t="s">
        <v>253</v>
      </c>
      <c r="C583" s="78" t="s">
        <v>255</v>
      </c>
      <c r="D583" s="71" t="s">
        <v>31</v>
      </c>
      <c r="E583" s="78" t="s">
        <v>46</v>
      </c>
      <c r="F583" s="78" t="s">
        <v>782</v>
      </c>
      <c r="G583" s="78"/>
      <c r="H583" s="78" t="s">
        <v>33</v>
      </c>
      <c r="I583" s="87"/>
      <c r="J583" s="72">
        <f t="shared" ref="J583" si="155">AVERAGEIF(J581:J582, "&lt;&gt;0")</f>
        <v>89.15</v>
      </c>
      <c r="K583" s="72">
        <f>AVERAGEIF(K581:K582, "&lt;&gt;0")</f>
        <v>1.9005999999999998</v>
      </c>
      <c r="L583" s="72">
        <f>AVERAGEIF(L581:L582, "&lt;&gt;0")</f>
        <v>161.4973</v>
      </c>
      <c r="M583" s="72">
        <f>AVERAGEIF(M581:M582, "&lt;&gt;0")</f>
        <v>7.1</v>
      </c>
      <c r="N583" s="72">
        <f>AVERAGEIF(N581:N582, "&lt;&gt;0")</f>
        <v>77</v>
      </c>
      <c r="O583" s="72">
        <f>AVERAGEIF(O581:O582, "&lt;&gt;0")</f>
        <v>0.63</v>
      </c>
      <c r="P583" s="72"/>
      <c r="Q583" s="72"/>
      <c r="R583" s="72">
        <f>AVERAGEIF(R581:R582, "&lt;&gt;0")</f>
        <v>20</v>
      </c>
      <c r="S583" s="72"/>
      <c r="T583" s="72"/>
      <c r="U583" s="72"/>
      <c r="V583" s="72"/>
      <c r="W583" s="72"/>
      <c r="X583" s="72"/>
      <c r="Y583" s="72"/>
      <c r="Z583" s="72"/>
      <c r="AA583" s="72"/>
      <c r="AB583" s="72"/>
      <c r="AC583" s="73"/>
      <c r="AD583" s="73"/>
      <c r="AE583" s="73"/>
      <c r="AF583" s="73"/>
      <c r="AG583" s="73"/>
      <c r="AH583" s="73"/>
      <c r="AI583" s="73"/>
      <c r="AJ583" s="73"/>
      <c r="AK583" s="73"/>
      <c r="AL583" s="73"/>
      <c r="AM583" s="73"/>
      <c r="AN583" s="73"/>
      <c r="AO583" s="73"/>
      <c r="AP583" s="73"/>
      <c r="AQ583" s="73"/>
      <c r="AR583" s="73"/>
      <c r="AS583" s="73"/>
      <c r="AT583" s="73"/>
      <c r="AU583" s="73"/>
      <c r="AV583" s="73"/>
      <c r="AW583" s="73"/>
      <c r="AX583" s="73"/>
    </row>
    <row r="584" spans="1:50" ht="34" x14ac:dyDescent="0.2">
      <c r="A584" s="21" t="s">
        <v>256</v>
      </c>
      <c r="B584" s="21" t="s">
        <v>257</v>
      </c>
      <c r="F584" s="28"/>
      <c r="G584" s="28"/>
      <c r="H584" s="22" t="s">
        <v>33</v>
      </c>
      <c r="I584" s="65" t="s">
        <v>1009</v>
      </c>
      <c r="K584" s="4">
        <v>2.0299999999999998</v>
      </c>
      <c r="L584" s="4">
        <v>357</v>
      </c>
      <c r="M584" s="4">
        <v>3.64</v>
      </c>
      <c r="O584" s="4"/>
      <c r="P584" s="4">
        <f t="shared" ref="P584:P585" si="156">AN584</f>
        <v>0</v>
      </c>
      <c r="Q584" s="4">
        <v>53</v>
      </c>
      <c r="R584" s="4">
        <v>128</v>
      </c>
      <c r="S584" s="4">
        <v>2.82</v>
      </c>
      <c r="T584" s="4"/>
      <c r="U584" s="4"/>
      <c r="AN584" s="23"/>
    </row>
    <row r="585" spans="1:50" ht="34" x14ac:dyDescent="0.2">
      <c r="A585" s="21" t="s">
        <v>256</v>
      </c>
      <c r="B585" s="21" t="s">
        <v>257</v>
      </c>
      <c r="F585" s="28"/>
      <c r="G585" s="28"/>
      <c r="H585" s="22" t="s">
        <v>33</v>
      </c>
      <c r="I585" s="65" t="s">
        <v>1009</v>
      </c>
      <c r="K585" s="4">
        <v>2.2799999999999998</v>
      </c>
      <c r="L585" s="4">
        <v>210</v>
      </c>
      <c r="M585" s="4">
        <v>1.67</v>
      </c>
      <c r="O585" s="4">
        <v>0.16</v>
      </c>
      <c r="P585" s="4">
        <f t="shared" si="156"/>
        <v>0</v>
      </c>
      <c r="Q585" s="4"/>
      <c r="R585" s="4">
        <v>40</v>
      </c>
      <c r="S585" s="4"/>
      <c r="T585" s="4"/>
      <c r="U585" s="4"/>
      <c r="AN585" s="23"/>
    </row>
    <row r="586" spans="1:50" s="71" customFormat="1" x14ac:dyDescent="0.2">
      <c r="A586" s="70" t="s">
        <v>256</v>
      </c>
      <c r="B586" s="70" t="s">
        <v>257</v>
      </c>
      <c r="C586" s="71" t="s">
        <v>867</v>
      </c>
      <c r="D586" s="71" t="s">
        <v>56</v>
      </c>
      <c r="E586" s="79" t="s">
        <v>46</v>
      </c>
      <c r="F586" s="78" t="s">
        <v>782</v>
      </c>
      <c r="G586" s="79"/>
      <c r="H586" s="71" t="s">
        <v>33</v>
      </c>
      <c r="I586" s="87"/>
      <c r="J586" s="72" t="s">
        <v>0</v>
      </c>
      <c r="K586" s="72">
        <f>AVERAGEIF(K584:K585, "&lt;&gt;0")</f>
        <v>2.1549999999999998</v>
      </c>
      <c r="L586" s="72">
        <f>AVERAGEIF(L584:L585, "&lt;&gt;0")</f>
        <v>283.5</v>
      </c>
      <c r="M586" s="72">
        <f>AVERAGEIF(M584:M585, "&lt;&gt;0")</f>
        <v>2.6550000000000002</v>
      </c>
      <c r="N586" s="72"/>
      <c r="O586" s="72">
        <f t="shared" ref="O586:S586" si="157">AVERAGEIF(O584:O585, "&lt;&gt;0")</f>
        <v>0.16</v>
      </c>
      <c r="P586" s="72">
        <f>AVERAGE(P584:P585)</f>
        <v>0</v>
      </c>
      <c r="Q586" s="72">
        <f t="shared" si="157"/>
        <v>53</v>
      </c>
      <c r="R586" s="72">
        <f t="shared" si="157"/>
        <v>84</v>
      </c>
      <c r="S586" s="72">
        <f t="shared" si="157"/>
        <v>2.82</v>
      </c>
      <c r="T586" s="72"/>
      <c r="U586" s="72"/>
      <c r="V586" s="72"/>
      <c r="W586" s="72"/>
      <c r="X586" s="72"/>
      <c r="Y586" s="72"/>
      <c r="Z586" s="72"/>
      <c r="AA586" s="72"/>
      <c r="AB586" s="72"/>
      <c r="AC586" s="73"/>
      <c r="AD586" s="73"/>
      <c r="AE586" s="73"/>
      <c r="AF586" s="73"/>
      <c r="AG586" s="73"/>
      <c r="AH586" s="73"/>
      <c r="AI586" s="73"/>
      <c r="AJ586" s="73"/>
      <c r="AK586" s="73"/>
      <c r="AL586" s="73"/>
      <c r="AM586" s="73"/>
      <c r="AN586" s="73"/>
      <c r="AO586" s="73"/>
      <c r="AP586" s="73"/>
      <c r="AQ586" s="73"/>
      <c r="AR586" s="73"/>
      <c r="AS586" s="73"/>
      <c r="AT586" s="73"/>
      <c r="AU586" s="73"/>
      <c r="AV586" s="73"/>
      <c r="AW586" s="73"/>
      <c r="AX586" s="73"/>
    </row>
    <row r="587" spans="1:50" ht="34" x14ac:dyDescent="0.2">
      <c r="A587" s="24" t="s">
        <v>256</v>
      </c>
      <c r="B587" s="24" t="s">
        <v>258</v>
      </c>
      <c r="F587" s="49"/>
      <c r="G587" s="49"/>
      <c r="H587" s="2" t="s">
        <v>33</v>
      </c>
      <c r="I587" s="243" t="s">
        <v>1009</v>
      </c>
      <c r="K587" s="3">
        <v>1.82</v>
      </c>
      <c r="L587" s="3">
        <v>209</v>
      </c>
      <c r="M587" s="3">
        <v>2.79</v>
      </c>
      <c r="O587" s="3">
        <v>0.67</v>
      </c>
      <c r="P587" s="4">
        <f t="shared" ref="P587:P597" si="158">AN587</f>
        <v>0</v>
      </c>
      <c r="Q587" s="3">
        <v>46</v>
      </c>
      <c r="R587" s="3">
        <v>111</v>
      </c>
      <c r="S587" s="3">
        <v>2.92</v>
      </c>
      <c r="AN587" s="23"/>
    </row>
    <row r="588" spans="1:50" ht="34" x14ac:dyDescent="0.2">
      <c r="A588" s="24" t="s">
        <v>256</v>
      </c>
      <c r="B588" s="24" t="s">
        <v>258</v>
      </c>
      <c r="F588" s="49"/>
      <c r="G588" s="49"/>
      <c r="H588" s="2" t="s">
        <v>33</v>
      </c>
      <c r="I588" s="243" t="s">
        <v>1009</v>
      </c>
      <c r="K588" s="3">
        <v>1.82</v>
      </c>
      <c r="L588" s="3">
        <v>209</v>
      </c>
      <c r="M588" s="3">
        <v>2.79</v>
      </c>
      <c r="O588" s="3">
        <v>0.67</v>
      </c>
      <c r="P588" s="4">
        <f t="shared" si="158"/>
        <v>0</v>
      </c>
      <c r="Q588" s="3">
        <v>46</v>
      </c>
      <c r="R588" s="3">
        <v>111</v>
      </c>
      <c r="S588" s="3">
        <v>2.92</v>
      </c>
      <c r="AN588" s="23"/>
    </row>
    <row r="589" spans="1:50" ht="34" x14ac:dyDescent="0.2">
      <c r="A589" s="24" t="s">
        <v>256</v>
      </c>
      <c r="B589" s="24" t="s">
        <v>258</v>
      </c>
      <c r="F589" s="49"/>
      <c r="G589" s="49"/>
      <c r="H589" s="2" t="s">
        <v>33</v>
      </c>
      <c r="I589" s="243" t="s">
        <v>1009</v>
      </c>
      <c r="K589" s="3">
        <v>1.59</v>
      </c>
      <c r="L589" s="3">
        <v>213</v>
      </c>
      <c r="M589" s="3">
        <v>2.89</v>
      </c>
      <c r="O589" s="3">
        <v>0.77</v>
      </c>
      <c r="P589" s="4">
        <f t="shared" si="158"/>
        <v>0</v>
      </c>
      <c r="Q589" s="3">
        <v>47</v>
      </c>
      <c r="R589" s="3">
        <v>92</v>
      </c>
      <c r="S589" s="3">
        <v>2.84</v>
      </c>
      <c r="AN589" s="23"/>
    </row>
    <row r="590" spans="1:50" ht="34" x14ac:dyDescent="0.2">
      <c r="A590" s="24" t="s">
        <v>256</v>
      </c>
      <c r="B590" s="24" t="s">
        <v>258</v>
      </c>
      <c r="F590" s="49"/>
      <c r="G590" s="49"/>
      <c r="H590" s="2" t="s">
        <v>33</v>
      </c>
      <c r="I590" s="243" t="s">
        <v>1009</v>
      </c>
      <c r="K590" s="3">
        <v>1.77</v>
      </c>
      <c r="L590" s="3">
        <v>280</v>
      </c>
      <c r="M590" s="3">
        <v>2.9</v>
      </c>
      <c r="O590" s="3">
        <v>0.74</v>
      </c>
      <c r="P590" s="4">
        <f t="shared" si="158"/>
        <v>0</v>
      </c>
      <c r="Q590" s="3">
        <v>58</v>
      </c>
      <c r="R590" s="3">
        <v>88</v>
      </c>
      <c r="S590" s="3">
        <v>3.28</v>
      </c>
      <c r="AN590" s="23"/>
    </row>
    <row r="591" spans="1:50" ht="34" x14ac:dyDescent="0.2">
      <c r="A591" s="24" t="s">
        <v>256</v>
      </c>
      <c r="B591" s="24" t="s">
        <v>258</v>
      </c>
      <c r="F591" s="49"/>
      <c r="G591" s="49"/>
      <c r="H591" s="2" t="s">
        <v>33</v>
      </c>
      <c r="I591" s="243" t="s">
        <v>1009</v>
      </c>
      <c r="K591" s="3">
        <v>1.77</v>
      </c>
      <c r="L591" s="3">
        <v>280</v>
      </c>
      <c r="M591" s="3">
        <v>2.9</v>
      </c>
      <c r="O591" s="3">
        <v>0.74</v>
      </c>
      <c r="P591" s="4">
        <f t="shared" si="158"/>
        <v>0</v>
      </c>
      <c r="Q591" s="3">
        <v>58</v>
      </c>
      <c r="R591" s="3">
        <v>88</v>
      </c>
      <c r="S591" s="3">
        <v>3.28</v>
      </c>
      <c r="AN591" s="23"/>
    </row>
    <row r="592" spans="1:50" ht="34" x14ac:dyDescent="0.2">
      <c r="A592" s="24" t="s">
        <v>256</v>
      </c>
      <c r="B592" s="24" t="s">
        <v>258</v>
      </c>
      <c r="F592" s="49"/>
      <c r="G592" s="49"/>
      <c r="H592" s="2" t="s">
        <v>33</v>
      </c>
      <c r="I592" s="243" t="s">
        <v>1009</v>
      </c>
      <c r="K592" s="3">
        <v>1.41</v>
      </c>
      <c r="L592" s="3">
        <v>431</v>
      </c>
      <c r="M592" s="3">
        <v>13.69</v>
      </c>
      <c r="O592" s="3">
        <v>0.67</v>
      </c>
      <c r="P592" s="4">
        <f t="shared" si="158"/>
        <v>0</v>
      </c>
      <c r="Q592" s="3">
        <v>79</v>
      </c>
      <c r="R592" s="3">
        <v>142</v>
      </c>
      <c r="S592" s="3">
        <v>5.09</v>
      </c>
      <c r="AN592" s="23"/>
    </row>
    <row r="593" spans="1:50" ht="17" x14ac:dyDescent="0.2">
      <c r="A593" s="24" t="s">
        <v>256</v>
      </c>
      <c r="B593" s="24" t="s">
        <v>258</v>
      </c>
      <c r="C593" s="32" t="s">
        <v>0</v>
      </c>
      <c r="F593" s="49"/>
      <c r="G593" s="49"/>
      <c r="H593" s="2" t="s">
        <v>33</v>
      </c>
      <c r="I593" s="243" t="s">
        <v>1007</v>
      </c>
      <c r="J593" s="3">
        <v>87.7</v>
      </c>
      <c r="L593" s="3">
        <v>208</v>
      </c>
      <c r="M593" s="3">
        <v>4.76</v>
      </c>
      <c r="N593" s="36">
        <v>64</v>
      </c>
      <c r="O593" s="3">
        <v>0.79</v>
      </c>
      <c r="P593" s="4">
        <f t="shared" si="158"/>
        <v>0</v>
      </c>
      <c r="Q593" s="3">
        <v>123</v>
      </c>
      <c r="R593" s="3">
        <v>37</v>
      </c>
      <c r="X593" s="36"/>
      <c r="AI593" s="23"/>
      <c r="AN593" s="23"/>
    </row>
    <row r="594" spans="1:50" ht="34" x14ac:dyDescent="0.2">
      <c r="A594" s="24" t="s">
        <v>256</v>
      </c>
      <c r="B594" s="24" t="s">
        <v>258</v>
      </c>
      <c r="F594" s="49"/>
      <c r="G594" s="49"/>
      <c r="H594" s="2" t="s">
        <v>33</v>
      </c>
      <c r="I594" s="243" t="s">
        <v>1009</v>
      </c>
      <c r="K594" s="3">
        <v>1.63</v>
      </c>
      <c r="L594" s="3">
        <v>197</v>
      </c>
      <c r="M594" s="3">
        <v>2.57</v>
      </c>
      <c r="O594" s="3">
        <v>0.69</v>
      </c>
      <c r="P594" s="4">
        <f t="shared" si="158"/>
        <v>0</v>
      </c>
      <c r="Q594" s="3">
        <v>204</v>
      </c>
      <c r="R594" s="3">
        <v>137</v>
      </c>
      <c r="S594" s="3">
        <v>3.39</v>
      </c>
      <c r="AN594" s="23"/>
    </row>
    <row r="595" spans="1:50" ht="34" x14ac:dyDescent="0.2">
      <c r="A595" s="24" t="s">
        <v>256</v>
      </c>
      <c r="B595" s="24" t="s">
        <v>258</v>
      </c>
      <c r="F595" s="49"/>
      <c r="G595" s="49"/>
      <c r="H595" s="2" t="s">
        <v>33</v>
      </c>
      <c r="I595" s="243" t="s">
        <v>1009</v>
      </c>
      <c r="K595" s="3">
        <v>1.63</v>
      </c>
      <c r="L595" s="3">
        <v>197</v>
      </c>
      <c r="M595" s="3">
        <v>2.57</v>
      </c>
      <c r="O595" s="3">
        <v>0.69</v>
      </c>
      <c r="P595" s="4">
        <f t="shared" si="158"/>
        <v>0</v>
      </c>
      <c r="Q595" s="3">
        <v>204</v>
      </c>
      <c r="R595" s="3">
        <v>137</v>
      </c>
      <c r="S595" s="3">
        <v>3.39</v>
      </c>
      <c r="AN595" s="23"/>
    </row>
    <row r="596" spans="1:50" ht="34" x14ac:dyDescent="0.2">
      <c r="A596" s="24" t="s">
        <v>256</v>
      </c>
      <c r="B596" s="24" t="s">
        <v>258</v>
      </c>
      <c r="F596" s="49"/>
      <c r="G596" s="49"/>
      <c r="H596" s="2" t="s">
        <v>33</v>
      </c>
      <c r="I596" s="243" t="s">
        <v>1010</v>
      </c>
      <c r="J596" s="3">
        <v>84.1</v>
      </c>
      <c r="K596" s="3">
        <v>1.6</v>
      </c>
      <c r="L596" s="3">
        <v>284</v>
      </c>
      <c r="M596" s="3">
        <v>6</v>
      </c>
      <c r="N596" s="36">
        <v>64</v>
      </c>
      <c r="P596" s="4">
        <f t="shared" si="158"/>
        <v>0</v>
      </c>
      <c r="X596" s="36"/>
      <c r="AI596" s="23"/>
      <c r="AN596" s="23"/>
    </row>
    <row r="597" spans="1:50" ht="34" x14ac:dyDescent="0.2">
      <c r="A597" s="24" t="s">
        <v>256</v>
      </c>
      <c r="B597" s="24" t="s">
        <v>258</v>
      </c>
      <c r="F597" s="49"/>
      <c r="G597" s="49"/>
      <c r="H597" s="2" t="s">
        <v>33</v>
      </c>
      <c r="I597" s="243" t="s">
        <v>1009</v>
      </c>
      <c r="K597" s="3">
        <v>1.26</v>
      </c>
      <c r="L597" s="3">
        <v>148</v>
      </c>
      <c r="M597" s="3">
        <v>1.2</v>
      </c>
      <c r="P597" s="4">
        <f t="shared" si="158"/>
        <v>0</v>
      </c>
      <c r="R597" s="3">
        <v>53</v>
      </c>
      <c r="S597" s="3">
        <v>1.1599999999999999</v>
      </c>
      <c r="AN597" s="23"/>
    </row>
    <row r="598" spans="1:50" ht="34" x14ac:dyDescent="0.2">
      <c r="A598" s="24" t="s">
        <v>259</v>
      </c>
      <c r="B598" s="24" t="s">
        <v>258</v>
      </c>
      <c r="F598" s="49"/>
      <c r="G598" s="49"/>
      <c r="H598" s="2" t="s">
        <v>33</v>
      </c>
      <c r="I598" s="243" t="s">
        <v>1005</v>
      </c>
      <c r="J598" s="3">
        <v>80.400000000000006</v>
      </c>
      <c r="K598" s="3">
        <v>2</v>
      </c>
      <c r="L598" s="3">
        <v>360</v>
      </c>
      <c r="M598" s="3">
        <v>7.2</v>
      </c>
      <c r="P598" s="4" t="s">
        <v>0</v>
      </c>
      <c r="R598" s="3">
        <v>80</v>
      </c>
    </row>
    <row r="599" spans="1:50" s="71" customFormat="1" x14ac:dyDescent="0.2">
      <c r="A599" s="70" t="s">
        <v>259</v>
      </c>
      <c r="B599" s="70" t="s">
        <v>258</v>
      </c>
      <c r="C599" s="71" t="s">
        <v>260</v>
      </c>
      <c r="D599" s="71" t="s">
        <v>56</v>
      </c>
      <c r="E599" s="79" t="s">
        <v>46</v>
      </c>
      <c r="F599" s="78" t="s">
        <v>782</v>
      </c>
      <c r="G599" s="79"/>
      <c r="H599" s="71" t="s">
        <v>33</v>
      </c>
      <c r="I599" s="87"/>
      <c r="J599" s="72">
        <f t="shared" ref="J599" si="159">AVERAGEIF(J587:J598, "&lt;&gt;0")</f>
        <v>84.066666666666677</v>
      </c>
      <c r="K599" s="72">
        <f t="shared" ref="K599:S599" si="160">AVERAGEIF(K587:K598, "&lt;&gt;0")</f>
        <v>1.6636363636363634</v>
      </c>
      <c r="L599" s="72">
        <f t="shared" si="160"/>
        <v>251.33333333333334</v>
      </c>
      <c r="M599" s="72">
        <f t="shared" si="160"/>
        <v>4.3550000000000004</v>
      </c>
      <c r="N599" s="72">
        <f t="shared" si="160"/>
        <v>64</v>
      </c>
      <c r="O599" s="72">
        <f t="shared" si="160"/>
        <v>0.71444444444444444</v>
      </c>
      <c r="P599" s="72">
        <f>AVERAGE(P587:P598)</f>
        <v>0</v>
      </c>
      <c r="Q599" s="72">
        <f t="shared" si="160"/>
        <v>96.111111111111114</v>
      </c>
      <c r="R599" s="72">
        <f t="shared" si="160"/>
        <v>97.818181818181813</v>
      </c>
      <c r="S599" s="72">
        <f t="shared" si="160"/>
        <v>3.141111111111111</v>
      </c>
      <c r="T599" s="72"/>
      <c r="U599" s="72"/>
      <c r="V599" s="72"/>
      <c r="W599" s="72"/>
      <c r="X599" s="72"/>
      <c r="Y599" s="72"/>
      <c r="Z599" s="72"/>
      <c r="AA599" s="72"/>
      <c r="AB599" s="72"/>
      <c r="AC599" s="73"/>
      <c r="AD599" s="73"/>
      <c r="AE599" s="73"/>
      <c r="AF599" s="73"/>
      <c r="AG599" s="73"/>
      <c r="AH599" s="73"/>
      <c r="AI599" s="73"/>
      <c r="AJ599" s="73"/>
      <c r="AK599" s="73"/>
      <c r="AL599" s="73"/>
      <c r="AM599" s="73"/>
      <c r="AN599" s="73"/>
      <c r="AO599" s="73"/>
      <c r="AP599" s="73"/>
      <c r="AQ599" s="73"/>
      <c r="AR599" s="73"/>
      <c r="AS599" s="73"/>
      <c r="AT599" s="73"/>
      <c r="AU599" s="73"/>
      <c r="AV599" s="73"/>
      <c r="AW599" s="73"/>
      <c r="AX599" s="73"/>
    </row>
    <row r="600" spans="1:50" s="22" customFormat="1" ht="34" x14ac:dyDescent="0.2">
      <c r="A600" s="21" t="s">
        <v>261</v>
      </c>
      <c r="B600" s="21" t="s">
        <v>262</v>
      </c>
      <c r="D600" s="2"/>
      <c r="E600" s="2"/>
      <c r="H600" s="22" t="s">
        <v>33</v>
      </c>
      <c r="I600" s="65" t="s">
        <v>1010</v>
      </c>
      <c r="J600" s="4">
        <v>93</v>
      </c>
      <c r="K600" s="4">
        <v>1.6</v>
      </c>
      <c r="L600" s="4">
        <v>270</v>
      </c>
      <c r="M600" s="4"/>
      <c r="N600" s="4"/>
      <c r="O600" s="4"/>
      <c r="P600" s="4" t="s">
        <v>0</v>
      </c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23"/>
      <c r="AD600" s="23"/>
      <c r="AE600" s="23"/>
      <c r="AF600" s="23"/>
      <c r="AG600" s="23"/>
      <c r="AH600" s="23"/>
      <c r="AI600" s="23"/>
      <c r="AJ600" s="23"/>
      <c r="AK600" s="23"/>
      <c r="AL600" s="23"/>
      <c r="AM600" s="23"/>
      <c r="AN600" s="23"/>
      <c r="AO600" s="23"/>
      <c r="AP600" s="23"/>
      <c r="AQ600" s="23"/>
      <c r="AR600" s="23"/>
      <c r="AS600" s="23"/>
      <c r="AT600" s="23"/>
      <c r="AU600" s="23"/>
      <c r="AV600" s="23"/>
      <c r="AW600" s="23"/>
      <c r="AX600" s="23"/>
    </row>
    <row r="601" spans="1:50" s="71" customFormat="1" ht="15" customHeight="1" x14ac:dyDescent="0.2">
      <c r="A601" s="70" t="s">
        <v>261</v>
      </c>
      <c r="B601" s="70" t="s">
        <v>262</v>
      </c>
      <c r="C601" s="71" t="s">
        <v>868</v>
      </c>
      <c r="D601" s="71" t="s">
        <v>56</v>
      </c>
      <c r="E601" s="71" t="s">
        <v>46</v>
      </c>
      <c r="F601" s="78" t="s">
        <v>782</v>
      </c>
      <c r="H601" s="71" t="s">
        <v>33</v>
      </c>
      <c r="I601" s="87"/>
      <c r="J601" s="72">
        <f>AVERAGEIF(J600, "&lt;&gt;0")</f>
        <v>93</v>
      </c>
      <c r="K601" s="72">
        <f>AVERAGEIF(K600, "&lt;&gt;0")</f>
        <v>1.6</v>
      </c>
      <c r="L601" s="72">
        <f>AVERAGEIF(L600, "&lt;&gt;0")</f>
        <v>270</v>
      </c>
      <c r="M601" s="72"/>
      <c r="N601" s="72"/>
      <c r="O601" s="72"/>
      <c r="P601" s="72"/>
      <c r="Q601" s="72"/>
      <c r="R601" s="72"/>
      <c r="S601" s="72"/>
      <c r="T601" s="72"/>
      <c r="U601" s="72"/>
      <c r="V601" s="72"/>
      <c r="W601" s="72"/>
      <c r="X601" s="72"/>
      <c r="Y601" s="72"/>
      <c r="Z601" s="72"/>
      <c r="AA601" s="72"/>
      <c r="AB601" s="72"/>
      <c r="AC601" s="73"/>
      <c r="AD601" s="73"/>
      <c r="AE601" s="73"/>
      <c r="AF601" s="73"/>
      <c r="AG601" s="73"/>
      <c r="AH601" s="73"/>
      <c r="AI601" s="73"/>
      <c r="AJ601" s="73"/>
      <c r="AK601" s="73"/>
      <c r="AL601" s="73"/>
      <c r="AM601" s="73"/>
      <c r="AN601" s="73"/>
      <c r="AO601" s="73"/>
      <c r="AP601" s="73"/>
      <c r="AQ601" s="73"/>
      <c r="AR601" s="73"/>
      <c r="AS601" s="73"/>
      <c r="AT601" s="73"/>
      <c r="AU601" s="73"/>
      <c r="AV601" s="73"/>
      <c r="AW601" s="73"/>
      <c r="AX601" s="73"/>
    </row>
    <row r="602" spans="1:50" s="22" customFormat="1" ht="34" x14ac:dyDescent="0.2">
      <c r="A602" s="21" t="s">
        <v>263</v>
      </c>
      <c r="B602" s="21" t="s">
        <v>264</v>
      </c>
      <c r="C602" s="22" t="s">
        <v>0</v>
      </c>
      <c r="D602" s="2"/>
      <c r="E602" s="2"/>
      <c r="H602" s="22" t="s">
        <v>33</v>
      </c>
      <c r="I602" s="65" t="s">
        <v>1010</v>
      </c>
      <c r="J602" s="4">
        <v>94</v>
      </c>
      <c r="K602" s="4"/>
      <c r="L602" s="4">
        <v>35</v>
      </c>
      <c r="M602" s="4">
        <v>0.5</v>
      </c>
      <c r="N602" s="4"/>
      <c r="O602" s="4"/>
      <c r="P602" s="4">
        <f t="shared" ref="P602" si="161">AN602</f>
        <v>0</v>
      </c>
      <c r="Q602" s="4"/>
      <c r="R602" s="4">
        <v>26</v>
      </c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23"/>
      <c r="AD602" s="23"/>
      <c r="AE602" s="23"/>
      <c r="AF602" s="23"/>
      <c r="AG602" s="23"/>
      <c r="AH602" s="23"/>
      <c r="AI602" s="23"/>
      <c r="AJ602" s="23"/>
      <c r="AK602" s="23"/>
      <c r="AL602" s="23"/>
      <c r="AM602" s="23"/>
      <c r="AN602" s="23"/>
      <c r="AO602" s="23"/>
      <c r="AP602" s="23"/>
      <c r="AQ602" s="23"/>
      <c r="AR602" s="23"/>
      <c r="AS602" s="23"/>
      <c r="AT602" s="23"/>
      <c r="AU602" s="23"/>
      <c r="AV602" s="23"/>
      <c r="AW602" s="23"/>
      <c r="AX602" s="23"/>
    </row>
    <row r="603" spans="1:50" s="71" customFormat="1" ht="15" customHeight="1" x14ac:dyDescent="0.2">
      <c r="A603" s="70" t="s">
        <v>263</v>
      </c>
      <c r="B603" s="70" t="s">
        <v>264</v>
      </c>
      <c r="C603" s="71" t="s">
        <v>265</v>
      </c>
      <c r="D603" s="71" t="s">
        <v>31</v>
      </c>
      <c r="E603" s="71" t="s">
        <v>46</v>
      </c>
      <c r="F603" s="78" t="s">
        <v>782</v>
      </c>
      <c r="H603" s="71" t="s">
        <v>33</v>
      </c>
      <c r="I603" s="87"/>
      <c r="J603" s="72">
        <f>AVERAGEIF(J602, "&lt;&gt;0")</f>
        <v>94</v>
      </c>
      <c r="K603" s="72"/>
      <c r="L603" s="72">
        <f>AVERAGEIF(L602, "&lt;&gt;0")</f>
        <v>35</v>
      </c>
      <c r="M603" s="72">
        <f>AVERAGEIF(M602, "&lt;&gt;0")</f>
        <v>0.5</v>
      </c>
      <c r="N603" s="72"/>
      <c r="O603" s="72"/>
      <c r="P603" s="72">
        <f>P602</f>
        <v>0</v>
      </c>
      <c r="Q603" s="72"/>
      <c r="R603" s="72">
        <f>AVERAGEIF(R602, "&lt;&gt;0")</f>
        <v>26</v>
      </c>
      <c r="S603" s="72"/>
      <c r="T603" s="72"/>
      <c r="U603" s="72"/>
      <c r="V603" s="72"/>
      <c r="W603" s="72"/>
      <c r="X603" s="72"/>
      <c r="Y603" s="72"/>
      <c r="Z603" s="72"/>
      <c r="AA603" s="72"/>
      <c r="AB603" s="72"/>
      <c r="AC603" s="73"/>
      <c r="AD603" s="73"/>
      <c r="AE603" s="73"/>
      <c r="AF603" s="73"/>
      <c r="AG603" s="73"/>
      <c r="AH603" s="73"/>
      <c r="AI603" s="73"/>
      <c r="AJ603" s="73"/>
      <c r="AK603" s="73"/>
      <c r="AL603" s="73"/>
      <c r="AM603" s="73"/>
      <c r="AN603" s="73"/>
      <c r="AO603" s="73"/>
      <c r="AP603" s="73"/>
      <c r="AQ603" s="73"/>
      <c r="AR603" s="73"/>
      <c r="AS603" s="73"/>
      <c r="AT603" s="73"/>
      <c r="AU603" s="73"/>
      <c r="AV603" s="73"/>
      <c r="AW603" s="73"/>
      <c r="AX603" s="73"/>
    </row>
    <row r="604" spans="1:50" ht="34" x14ac:dyDescent="0.2">
      <c r="A604" s="21" t="s">
        <v>266</v>
      </c>
      <c r="B604" s="21" t="s">
        <v>267</v>
      </c>
      <c r="H604" s="22" t="s">
        <v>33</v>
      </c>
      <c r="I604" s="65" t="s">
        <v>1009</v>
      </c>
      <c r="K604" s="4">
        <v>0.82</v>
      </c>
      <c r="L604" s="4">
        <v>74</v>
      </c>
      <c r="M604" s="4">
        <v>1.74</v>
      </c>
      <c r="O604" s="4">
        <v>0.34</v>
      </c>
      <c r="P604" s="4">
        <f t="shared" ref="P604:P605" si="162">AN604</f>
        <v>0</v>
      </c>
      <c r="Q604" s="4"/>
      <c r="R604" s="4"/>
      <c r="S604" s="4"/>
      <c r="T604" s="4"/>
      <c r="U604" s="4"/>
      <c r="AN604" s="23"/>
    </row>
    <row r="605" spans="1:50" ht="34" x14ac:dyDescent="0.2">
      <c r="A605" s="21" t="s">
        <v>266</v>
      </c>
      <c r="B605" s="21" t="s">
        <v>267</v>
      </c>
      <c r="H605" s="22" t="s">
        <v>33</v>
      </c>
      <c r="I605" s="65" t="s">
        <v>1009</v>
      </c>
      <c r="K605" s="4">
        <v>1.33</v>
      </c>
      <c r="L605" s="4">
        <v>93</v>
      </c>
      <c r="M605" s="4">
        <v>1.49</v>
      </c>
      <c r="O605" s="4">
        <v>0.49</v>
      </c>
      <c r="P605" s="4">
        <f t="shared" si="162"/>
        <v>0</v>
      </c>
      <c r="Q605" s="4"/>
      <c r="R605" s="4">
        <v>12</v>
      </c>
      <c r="S605" s="4"/>
      <c r="T605" s="4"/>
      <c r="U605" s="4"/>
      <c r="AN605" s="23"/>
    </row>
    <row r="606" spans="1:50" ht="34" x14ac:dyDescent="0.2">
      <c r="A606" s="24" t="s">
        <v>266</v>
      </c>
      <c r="B606" s="21" t="s">
        <v>267</v>
      </c>
      <c r="H606" s="2" t="s">
        <v>33</v>
      </c>
      <c r="I606" s="243" t="s">
        <v>1010</v>
      </c>
      <c r="J606" s="3">
        <v>79</v>
      </c>
      <c r="K606" s="3">
        <v>1.9</v>
      </c>
      <c r="L606" s="3">
        <v>260</v>
      </c>
      <c r="P606" s="4" t="s">
        <v>0</v>
      </c>
    </row>
    <row r="607" spans="1:50" s="71" customFormat="1" x14ac:dyDescent="0.2">
      <c r="A607" s="70" t="s">
        <v>266</v>
      </c>
      <c r="B607" s="70" t="s">
        <v>267</v>
      </c>
      <c r="C607" s="71" t="s">
        <v>999</v>
      </c>
      <c r="D607" s="71" t="s">
        <v>56</v>
      </c>
      <c r="E607" s="71" t="s">
        <v>46</v>
      </c>
      <c r="F607" s="78" t="s">
        <v>782</v>
      </c>
      <c r="H607" s="71" t="s">
        <v>33</v>
      </c>
      <c r="I607" s="87"/>
      <c r="J607" s="72">
        <f t="shared" ref="J607" si="163">AVERAGEIF(J604:J606, "&lt;&gt;0")</f>
        <v>79</v>
      </c>
      <c r="K607" s="72">
        <f>AVERAGEIF(K604:K606, "&lt;&gt;0")</f>
        <v>1.3499999999999999</v>
      </c>
      <c r="L607" s="72">
        <f>AVERAGEIF(L604:L606, "&lt;&gt;0")</f>
        <v>142.33333333333334</v>
      </c>
      <c r="M607" s="72">
        <f>AVERAGEIF(M604:M606, "&lt;&gt;0")</f>
        <v>1.615</v>
      </c>
      <c r="N607" s="72"/>
      <c r="O607" s="72">
        <f>AVERAGEIF(O604:O606, "&lt;&gt;0")</f>
        <v>0.41500000000000004</v>
      </c>
      <c r="P607" s="72">
        <f>AVERAGE(P604:P606)</f>
        <v>0</v>
      </c>
      <c r="Q607" s="72"/>
      <c r="R607" s="72">
        <f>AVERAGEIF(R604:R606, "&lt;&gt;0")</f>
        <v>12</v>
      </c>
      <c r="S607" s="72"/>
      <c r="T607" s="72"/>
      <c r="U607" s="72"/>
      <c r="V607" s="72"/>
      <c r="W607" s="72"/>
      <c r="X607" s="72"/>
      <c r="Y607" s="72"/>
      <c r="Z607" s="72"/>
      <c r="AA607" s="72"/>
      <c r="AB607" s="72"/>
      <c r="AC607" s="73"/>
      <c r="AD607" s="73"/>
      <c r="AE607" s="73"/>
      <c r="AF607" s="73"/>
      <c r="AG607" s="73"/>
      <c r="AH607" s="73"/>
      <c r="AI607" s="73"/>
      <c r="AJ607" s="73"/>
      <c r="AK607" s="73"/>
      <c r="AL607" s="73"/>
      <c r="AM607" s="73"/>
      <c r="AN607" s="73"/>
      <c r="AO607" s="73"/>
      <c r="AP607" s="73"/>
      <c r="AQ607" s="73"/>
      <c r="AR607" s="73"/>
      <c r="AS607" s="73"/>
      <c r="AT607" s="73"/>
      <c r="AU607" s="73"/>
      <c r="AV607" s="73"/>
      <c r="AW607" s="73"/>
      <c r="AX607" s="73"/>
    </row>
    <row r="608" spans="1:50" ht="15" customHeight="1" x14ac:dyDescent="0.2">
      <c r="A608" s="24" t="s">
        <v>702</v>
      </c>
      <c r="B608" s="24" t="s">
        <v>699</v>
      </c>
      <c r="C608" s="2" t="s">
        <v>0</v>
      </c>
      <c r="H608" s="2" t="s">
        <v>33</v>
      </c>
      <c r="I608" s="32" t="s">
        <v>1017</v>
      </c>
      <c r="J608" s="3">
        <v>86.8</v>
      </c>
      <c r="K608" s="3">
        <v>4.68</v>
      </c>
      <c r="L608" s="3">
        <v>224</v>
      </c>
      <c r="M608" s="3">
        <v>2.29</v>
      </c>
      <c r="N608" s="3">
        <v>76.599999999999994</v>
      </c>
      <c r="O608" s="3">
        <f>665*0.001</f>
        <v>0.66500000000000004</v>
      </c>
      <c r="P608" s="4" t="s">
        <v>0</v>
      </c>
      <c r="R608" s="3">
        <v>62</v>
      </c>
    </row>
    <row r="609" spans="1:50" ht="15" customHeight="1" x14ac:dyDescent="0.2">
      <c r="A609" s="24" t="s">
        <v>702</v>
      </c>
      <c r="B609" s="24" t="s">
        <v>699</v>
      </c>
      <c r="C609" s="2" t="s">
        <v>0</v>
      </c>
      <c r="H609" s="2" t="s">
        <v>33</v>
      </c>
      <c r="I609" s="32" t="s">
        <v>701</v>
      </c>
      <c r="J609" s="3">
        <v>87</v>
      </c>
      <c r="K609" s="3">
        <v>5.6</v>
      </c>
      <c r="L609" s="3">
        <v>104</v>
      </c>
      <c r="M609" s="3">
        <v>3.7</v>
      </c>
      <c r="N609" s="3">
        <v>97</v>
      </c>
      <c r="O609" s="3">
        <v>0.5</v>
      </c>
      <c r="P609" s="4" t="s">
        <v>0</v>
      </c>
      <c r="R609" s="3">
        <v>45</v>
      </c>
    </row>
    <row r="610" spans="1:50" s="71" customFormat="1" ht="15" customHeight="1" x14ac:dyDescent="0.2">
      <c r="A610" s="70" t="s">
        <v>702</v>
      </c>
      <c r="B610" s="70" t="s">
        <v>699</v>
      </c>
      <c r="C610" s="71" t="s">
        <v>700</v>
      </c>
      <c r="D610" s="71" t="s">
        <v>31</v>
      </c>
      <c r="E610" s="71" t="s">
        <v>46</v>
      </c>
      <c r="F610" s="78" t="s">
        <v>782</v>
      </c>
      <c r="H610" s="71" t="s">
        <v>33</v>
      </c>
      <c r="I610" s="87"/>
      <c r="J610" s="72">
        <f t="shared" ref="J610:O610" si="164">AVERAGE(J608:J609)</f>
        <v>86.9</v>
      </c>
      <c r="K610" s="72">
        <f t="shared" si="164"/>
        <v>5.14</v>
      </c>
      <c r="L610" s="72">
        <f t="shared" si="164"/>
        <v>164</v>
      </c>
      <c r="M610" s="72">
        <f t="shared" si="164"/>
        <v>2.9950000000000001</v>
      </c>
      <c r="N610" s="72">
        <f t="shared" si="164"/>
        <v>86.8</v>
      </c>
      <c r="O610" s="72">
        <f t="shared" si="164"/>
        <v>0.58250000000000002</v>
      </c>
      <c r="P610" s="72"/>
      <c r="Q610" s="72"/>
      <c r="R610" s="72">
        <f>AVERAGE(R608:R609)</f>
        <v>53.5</v>
      </c>
      <c r="S610" s="72"/>
      <c r="T610" s="72"/>
      <c r="U610" s="72"/>
      <c r="V610" s="72"/>
      <c r="W610" s="72"/>
      <c r="X610" s="72"/>
      <c r="Y610" s="72"/>
      <c r="Z610" s="72"/>
      <c r="AA610" s="72"/>
      <c r="AB610" s="72"/>
      <c r="AC610" s="73"/>
      <c r="AD610" s="73"/>
      <c r="AE610" s="73"/>
      <c r="AF610" s="73"/>
      <c r="AG610" s="73"/>
      <c r="AH610" s="73"/>
      <c r="AI610" s="73"/>
      <c r="AJ610" s="73"/>
      <c r="AK610" s="73"/>
      <c r="AL610" s="73"/>
      <c r="AM610" s="73"/>
      <c r="AN610" s="73"/>
      <c r="AO610" s="73"/>
      <c r="AP610" s="73"/>
      <c r="AQ610" s="73"/>
      <c r="AR610" s="73"/>
      <c r="AS610" s="73"/>
      <c r="AT610" s="73"/>
      <c r="AU610" s="73"/>
      <c r="AV610" s="73"/>
      <c r="AW610" s="73"/>
      <c r="AX610" s="73"/>
    </row>
    <row r="611" spans="1:50" ht="51" x14ac:dyDescent="0.2">
      <c r="A611" s="24" t="s">
        <v>268</v>
      </c>
      <c r="B611" s="24" t="s">
        <v>269</v>
      </c>
      <c r="H611" s="2" t="s">
        <v>270</v>
      </c>
      <c r="I611" s="243" t="s">
        <v>1028</v>
      </c>
      <c r="J611" s="3">
        <v>81.599999999999994</v>
      </c>
      <c r="K611" s="3">
        <v>3.24</v>
      </c>
      <c r="L611" s="3">
        <v>287</v>
      </c>
      <c r="M611" s="3">
        <v>4.7</v>
      </c>
      <c r="P611" s="4" t="s">
        <v>0</v>
      </c>
      <c r="R611" s="3">
        <v>100</v>
      </c>
    </row>
    <row r="612" spans="1:50" ht="85" x14ac:dyDescent="0.2">
      <c r="A612" s="24" t="s">
        <v>268</v>
      </c>
      <c r="B612" s="24" t="s">
        <v>269</v>
      </c>
      <c r="H612" s="2" t="s">
        <v>270</v>
      </c>
      <c r="I612" s="243" t="s">
        <v>1026</v>
      </c>
      <c r="J612" s="3">
        <v>80.7</v>
      </c>
      <c r="K612" s="3">
        <v>2.2000000000000002</v>
      </c>
      <c r="L612" s="3">
        <v>368</v>
      </c>
      <c r="M612" s="3">
        <v>4.7</v>
      </c>
      <c r="P612" s="4">
        <f>333.5/1000</f>
        <v>0.33350000000000002</v>
      </c>
      <c r="R612" s="3">
        <v>50</v>
      </c>
    </row>
    <row r="613" spans="1:50" s="22" customFormat="1" ht="17" x14ac:dyDescent="0.2">
      <c r="A613" s="25" t="s">
        <v>268</v>
      </c>
      <c r="B613" s="25" t="s">
        <v>269</v>
      </c>
      <c r="C613" s="26" t="s">
        <v>0</v>
      </c>
      <c r="D613" s="2"/>
      <c r="E613" s="2"/>
      <c r="F613" s="26"/>
      <c r="G613" s="26"/>
      <c r="H613" s="26" t="s">
        <v>33</v>
      </c>
      <c r="I613" s="65" t="s">
        <v>1006</v>
      </c>
      <c r="J613" s="4">
        <v>82</v>
      </c>
      <c r="K613" s="4">
        <v>2.0056000000000003</v>
      </c>
      <c r="L613" s="4">
        <v>287.00320000000005</v>
      </c>
      <c r="M613" s="4">
        <v>4.6920000000000011</v>
      </c>
      <c r="N613" s="4"/>
      <c r="O613" s="4"/>
      <c r="P613" s="4" t="s">
        <v>0</v>
      </c>
      <c r="Q613" s="4"/>
      <c r="R613" s="4">
        <v>99.96720000000002</v>
      </c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23"/>
      <c r="AD613" s="23"/>
      <c r="AE613" s="23"/>
      <c r="AF613" s="23"/>
      <c r="AG613" s="23"/>
      <c r="AH613" s="23"/>
      <c r="AI613" s="23"/>
      <c r="AJ613" s="23"/>
      <c r="AK613" s="23"/>
      <c r="AL613" s="23"/>
      <c r="AM613" s="23"/>
      <c r="AN613" s="23"/>
      <c r="AO613" s="23"/>
      <c r="AP613" s="23"/>
      <c r="AQ613" s="23"/>
      <c r="AR613" s="23"/>
      <c r="AS613" s="23"/>
      <c r="AT613" s="23"/>
      <c r="AU613" s="23"/>
      <c r="AV613" s="23"/>
      <c r="AW613" s="23"/>
      <c r="AX613" s="23"/>
    </row>
    <row r="614" spans="1:50" s="71" customFormat="1" ht="15" customHeight="1" x14ac:dyDescent="0.2">
      <c r="A614" s="77" t="s">
        <v>268</v>
      </c>
      <c r="B614" s="77" t="s">
        <v>269</v>
      </c>
      <c r="C614" s="78" t="s">
        <v>271</v>
      </c>
      <c r="D614" s="71" t="s">
        <v>31</v>
      </c>
      <c r="E614" s="78" t="s">
        <v>32</v>
      </c>
      <c r="F614" s="78" t="s">
        <v>783</v>
      </c>
      <c r="G614" s="78"/>
      <c r="H614" s="78" t="s">
        <v>33</v>
      </c>
      <c r="I614" s="87"/>
      <c r="J614" s="72">
        <f>AVERAGEIF(J611:J613, "&lt;&gt;0")</f>
        <v>81.433333333333337</v>
      </c>
      <c r="K614" s="72">
        <f>AVERAGEIF(K611:K613, "&lt;&gt;0")</f>
        <v>2.4818666666666669</v>
      </c>
      <c r="L614" s="72">
        <f>AVERAGEIF(L611:L613, "&lt;&gt;0")</f>
        <v>314.0010666666667</v>
      </c>
      <c r="M614" s="72">
        <f>AVERAGEIF(M611:M613, "&lt;&gt;0")</f>
        <v>4.6973333333333338</v>
      </c>
      <c r="N614" s="72"/>
      <c r="O614" s="72"/>
      <c r="P614" s="72">
        <f>AVERAGE(P611:P613)</f>
        <v>0.33350000000000002</v>
      </c>
      <c r="Q614" s="72"/>
      <c r="R614" s="72">
        <f>AVERAGEIF(R611:R613, "&lt;&gt;0")</f>
        <v>83.322400000000002</v>
      </c>
      <c r="S614" s="72"/>
      <c r="T614" s="72"/>
      <c r="U614" s="72"/>
      <c r="V614" s="72"/>
      <c r="W614" s="72"/>
      <c r="X614" s="72"/>
      <c r="Y614" s="72"/>
      <c r="Z614" s="72"/>
      <c r="AA614" s="72"/>
      <c r="AB614" s="72"/>
      <c r="AC614" s="73"/>
      <c r="AD614" s="73"/>
      <c r="AE614" s="73"/>
      <c r="AF614" s="73"/>
      <c r="AG614" s="73"/>
      <c r="AH614" s="73"/>
      <c r="AI614" s="73"/>
      <c r="AJ614" s="73"/>
      <c r="AK614" s="73"/>
      <c r="AL614" s="73"/>
      <c r="AM614" s="73"/>
      <c r="AN614" s="73"/>
      <c r="AO614" s="73"/>
      <c r="AP614" s="73"/>
      <c r="AQ614" s="73"/>
      <c r="AR614" s="73"/>
      <c r="AS614" s="73"/>
      <c r="AT614" s="73"/>
      <c r="AU614" s="73"/>
      <c r="AV614" s="73"/>
      <c r="AW614" s="73"/>
      <c r="AX614" s="73"/>
    </row>
    <row r="615" spans="1:50" ht="34" x14ac:dyDescent="0.2">
      <c r="A615" s="24" t="s">
        <v>272</v>
      </c>
      <c r="B615" s="24" t="s">
        <v>273</v>
      </c>
      <c r="H615" s="2" t="s">
        <v>28</v>
      </c>
      <c r="I615" s="243" t="s">
        <v>1010</v>
      </c>
      <c r="J615" s="3">
        <v>93</v>
      </c>
      <c r="K615" s="3">
        <v>0.6</v>
      </c>
      <c r="L615" s="3">
        <v>26</v>
      </c>
      <c r="M615" s="3">
        <v>0.6</v>
      </c>
      <c r="N615" s="3">
        <v>32</v>
      </c>
      <c r="P615" s="4">
        <f t="shared" ref="P615:P618" si="165">AN615</f>
        <v>0</v>
      </c>
      <c r="R615" s="3">
        <v>51</v>
      </c>
      <c r="AI615" s="23"/>
      <c r="AN615" s="23"/>
    </row>
    <row r="616" spans="1:50" ht="34" x14ac:dyDescent="0.2">
      <c r="A616" s="24" t="s">
        <v>272</v>
      </c>
      <c r="B616" s="24" t="s">
        <v>273</v>
      </c>
      <c r="H616" s="2" t="s">
        <v>28</v>
      </c>
      <c r="I616" s="243" t="s">
        <v>1005</v>
      </c>
      <c r="J616" s="3">
        <v>93</v>
      </c>
      <c r="L616" s="3">
        <v>25</v>
      </c>
      <c r="M616" s="3">
        <v>0.6</v>
      </c>
      <c r="P616" s="4">
        <f t="shared" si="165"/>
        <v>0</v>
      </c>
      <c r="R616" s="3">
        <v>48</v>
      </c>
      <c r="AI616" s="23"/>
      <c r="AN616" s="23"/>
    </row>
    <row r="617" spans="1:50" ht="34" x14ac:dyDescent="0.2">
      <c r="A617" s="24" t="s">
        <v>272</v>
      </c>
      <c r="B617" s="24" t="s">
        <v>273</v>
      </c>
      <c r="H617" s="2" t="s">
        <v>28</v>
      </c>
      <c r="I617" s="243" t="s">
        <v>1005</v>
      </c>
      <c r="L617" s="3">
        <v>27</v>
      </c>
      <c r="P617" s="4">
        <f t="shared" si="165"/>
        <v>0</v>
      </c>
      <c r="R617" s="3">
        <v>54</v>
      </c>
      <c r="AI617" s="23"/>
      <c r="AN617" s="23"/>
    </row>
    <row r="618" spans="1:50" ht="34" x14ac:dyDescent="0.2">
      <c r="A618" s="24" t="s">
        <v>272</v>
      </c>
      <c r="B618" s="24" t="s">
        <v>273</v>
      </c>
      <c r="H618" s="2" t="s">
        <v>28</v>
      </c>
      <c r="I618" s="243" t="s">
        <v>1005</v>
      </c>
      <c r="P618" s="4">
        <f t="shared" si="165"/>
        <v>0</v>
      </c>
      <c r="AI618" s="23"/>
      <c r="AN618" s="23"/>
    </row>
    <row r="619" spans="1:50" s="71" customFormat="1" x14ac:dyDescent="0.2">
      <c r="A619" s="70" t="s">
        <v>272</v>
      </c>
      <c r="B619" s="70" t="s">
        <v>273</v>
      </c>
      <c r="C619" s="71" t="s">
        <v>869</v>
      </c>
      <c r="D619" s="71" t="s">
        <v>56</v>
      </c>
      <c r="E619" s="71" t="s">
        <v>42</v>
      </c>
      <c r="F619" s="78" t="s">
        <v>784</v>
      </c>
      <c r="H619" s="71" t="s">
        <v>28</v>
      </c>
      <c r="I619" s="87"/>
      <c r="J619" s="72">
        <f t="shared" ref="J619" si="166">AVERAGEIF(J615:J618, "&lt;&gt;0")</f>
        <v>93</v>
      </c>
      <c r="K619" s="72">
        <f>AVERAGEIF(K615:K618, "&lt;&gt;0")</f>
        <v>0.6</v>
      </c>
      <c r="L619" s="72">
        <f>AVERAGEIF(L615:L618, "&lt;&gt;0")</f>
        <v>26</v>
      </c>
      <c r="M619" s="72">
        <f>AVERAGEIF(M615:M618, "&lt;&gt;0")</f>
        <v>0.6</v>
      </c>
      <c r="N619" s="72">
        <f>AVERAGEIF(N615:N618, "&lt;&gt;0")</f>
        <v>32</v>
      </c>
      <c r="O619" s="72"/>
      <c r="P619" s="72">
        <f>AVERAGE(P615:P618)</f>
        <v>0</v>
      </c>
      <c r="Q619" s="72"/>
      <c r="R619" s="72">
        <f>AVERAGEIF(R615:R618, "&lt;&gt;0")</f>
        <v>51</v>
      </c>
      <c r="S619" s="72"/>
      <c r="T619" s="72"/>
      <c r="U619" s="72"/>
      <c r="V619" s="72"/>
      <c r="W619" s="72"/>
      <c r="X619" s="72"/>
      <c r="Y619" s="72"/>
      <c r="Z619" s="72"/>
      <c r="AA619" s="72"/>
      <c r="AB619" s="72"/>
      <c r="AC619" s="73"/>
      <c r="AD619" s="73"/>
      <c r="AE619" s="73"/>
      <c r="AF619" s="73"/>
      <c r="AG619" s="73"/>
      <c r="AH619" s="73"/>
      <c r="AI619" s="73"/>
      <c r="AJ619" s="73"/>
      <c r="AK619" s="73"/>
      <c r="AL619" s="73"/>
      <c r="AM619" s="73"/>
      <c r="AN619" s="73"/>
      <c r="AO619" s="73"/>
      <c r="AP619" s="73"/>
      <c r="AQ619" s="73"/>
      <c r="AR619" s="73"/>
      <c r="AS619" s="73"/>
      <c r="AT619" s="73"/>
      <c r="AU619" s="73"/>
      <c r="AV619" s="73"/>
      <c r="AW619" s="73"/>
      <c r="AX619" s="73"/>
    </row>
    <row r="620" spans="1:50" s="22" customFormat="1" ht="34" x14ac:dyDescent="0.2">
      <c r="A620" s="21" t="s">
        <v>272</v>
      </c>
      <c r="B620" s="21" t="s">
        <v>274</v>
      </c>
      <c r="C620" s="22" t="s">
        <v>0</v>
      </c>
      <c r="D620" s="2"/>
      <c r="E620" s="2"/>
      <c r="H620" s="22" t="s">
        <v>28</v>
      </c>
      <c r="I620" s="65" t="s">
        <v>1009</v>
      </c>
      <c r="J620" s="4"/>
      <c r="K620" s="4">
        <v>0.24</v>
      </c>
      <c r="L620" s="4">
        <v>11</v>
      </c>
      <c r="M620" s="4">
        <v>0.39</v>
      </c>
      <c r="N620" s="4"/>
      <c r="O620" s="4"/>
      <c r="P620" s="4">
        <f t="shared" ref="P620" si="167">AN620</f>
        <v>0</v>
      </c>
      <c r="Q620" s="4"/>
      <c r="R620" s="4">
        <v>10</v>
      </c>
      <c r="S620" s="4">
        <v>7.0000000000000007E-2</v>
      </c>
      <c r="T620" s="4"/>
      <c r="U620" s="4"/>
      <c r="V620" s="4"/>
      <c r="W620" s="4"/>
      <c r="X620" s="4"/>
      <c r="Y620" s="4"/>
      <c r="Z620" s="4"/>
      <c r="AA620" s="4"/>
      <c r="AB620" s="4"/>
      <c r="AC620" s="23"/>
      <c r="AD620" s="23"/>
      <c r="AE620" s="23"/>
      <c r="AF620" s="23"/>
      <c r="AG620" s="5"/>
      <c r="AH620" s="23"/>
      <c r="AI620" s="23"/>
      <c r="AJ620" s="23"/>
      <c r="AK620" s="23"/>
      <c r="AL620" s="23"/>
      <c r="AM620" s="23"/>
      <c r="AN620" s="23"/>
      <c r="AO620" s="23"/>
      <c r="AP620" s="23"/>
      <c r="AQ620" s="23"/>
      <c r="AR620" s="23"/>
      <c r="AS620" s="23"/>
      <c r="AT620" s="23"/>
      <c r="AU620" s="23"/>
      <c r="AV620" s="23"/>
      <c r="AW620" s="23"/>
      <c r="AX620" s="23"/>
    </row>
    <row r="621" spans="1:50" s="71" customFormat="1" ht="15" customHeight="1" x14ac:dyDescent="0.2">
      <c r="A621" s="70" t="s">
        <v>272</v>
      </c>
      <c r="B621" s="70" t="s">
        <v>274</v>
      </c>
      <c r="C621" s="71" t="s">
        <v>275</v>
      </c>
      <c r="D621" s="71" t="s">
        <v>56</v>
      </c>
      <c r="E621" s="71" t="s">
        <v>42</v>
      </c>
      <c r="F621" s="71" t="s">
        <v>784</v>
      </c>
      <c r="H621" s="71" t="s">
        <v>28</v>
      </c>
      <c r="I621" s="87"/>
      <c r="J621" s="72" t="s">
        <v>0</v>
      </c>
      <c r="K621" s="72">
        <f>AVERAGEIF(K620, "&lt;&gt;0")</f>
        <v>0.24</v>
      </c>
      <c r="L621" s="72">
        <f>AVERAGEIF(L620, "&lt;&gt;0")</f>
        <v>11</v>
      </c>
      <c r="M621" s="72">
        <f>AVERAGEIF(M620, "&lt;&gt;0")</f>
        <v>0.39</v>
      </c>
      <c r="N621" s="72"/>
      <c r="O621" s="72"/>
      <c r="P621" s="72">
        <f>P620</f>
        <v>0</v>
      </c>
      <c r="Q621" s="72"/>
      <c r="R621" s="72">
        <f>AVERAGEIF(R620, "&lt;&gt;0")</f>
        <v>10</v>
      </c>
      <c r="S621" s="72">
        <f>AVERAGEIF(S620, "&lt;&gt;0")</f>
        <v>7.0000000000000007E-2</v>
      </c>
      <c r="T621" s="72"/>
      <c r="U621" s="72"/>
      <c r="V621" s="72"/>
      <c r="W621" s="72"/>
      <c r="X621" s="72"/>
      <c r="Y621" s="72"/>
      <c r="Z621" s="72"/>
      <c r="AA621" s="72"/>
      <c r="AB621" s="72"/>
      <c r="AC621" s="73"/>
      <c r="AD621" s="73"/>
      <c r="AE621" s="73"/>
      <c r="AF621" s="73"/>
      <c r="AG621" s="73"/>
      <c r="AH621" s="73"/>
      <c r="AI621" s="73"/>
      <c r="AJ621" s="73"/>
      <c r="AK621" s="73"/>
      <c r="AL621" s="73"/>
      <c r="AM621" s="73"/>
      <c r="AN621" s="73"/>
      <c r="AO621" s="73"/>
      <c r="AP621" s="73"/>
      <c r="AQ621" s="73"/>
      <c r="AR621" s="73"/>
      <c r="AS621" s="73"/>
      <c r="AT621" s="73"/>
      <c r="AU621" s="73"/>
      <c r="AV621" s="73"/>
      <c r="AW621" s="73"/>
      <c r="AX621" s="73"/>
    </row>
    <row r="622" spans="1:50" s="22" customFormat="1" ht="34" x14ac:dyDescent="0.2">
      <c r="A622" s="21" t="s">
        <v>272</v>
      </c>
      <c r="B622" s="21" t="s">
        <v>276</v>
      </c>
      <c r="D622" s="2"/>
      <c r="E622" s="2"/>
      <c r="H622" s="22" t="s">
        <v>28</v>
      </c>
      <c r="I622" s="65" t="s">
        <v>1005</v>
      </c>
      <c r="J622" s="4">
        <v>91</v>
      </c>
      <c r="K622" s="4">
        <v>1.1000000000000001</v>
      </c>
      <c r="L622" s="4">
        <v>11.9</v>
      </c>
      <c r="M622" s="4">
        <v>0.53</v>
      </c>
      <c r="N622" s="4">
        <v>22.3</v>
      </c>
      <c r="O622" s="4"/>
      <c r="P622" s="4" t="s">
        <v>0</v>
      </c>
      <c r="Q622" s="4"/>
      <c r="R622" s="4">
        <v>19</v>
      </c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23"/>
      <c r="AD622" s="23"/>
      <c r="AE622" s="23"/>
      <c r="AF622" s="23"/>
      <c r="AG622" s="23"/>
      <c r="AH622" s="23"/>
      <c r="AI622" s="23"/>
      <c r="AJ622" s="23"/>
      <c r="AK622" s="23"/>
      <c r="AL622" s="23"/>
      <c r="AM622" s="23"/>
      <c r="AN622" s="23"/>
      <c r="AO622" s="23"/>
      <c r="AP622" s="23"/>
      <c r="AQ622" s="23"/>
      <c r="AR622" s="23"/>
      <c r="AS622" s="23"/>
      <c r="AT622" s="23"/>
      <c r="AU622" s="23"/>
      <c r="AV622" s="23"/>
      <c r="AW622" s="23"/>
      <c r="AX622" s="23"/>
    </row>
    <row r="623" spans="1:50" s="71" customFormat="1" ht="15" customHeight="1" x14ac:dyDescent="0.2">
      <c r="A623" s="70" t="s">
        <v>272</v>
      </c>
      <c r="B623" s="70" t="s">
        <v>276</v>
      </c>
      <c r="C623" s="71" t="s">
        <v>870</v>
      </c>
      <c r="D623" s="71" t="s">
        <v>56</v>
      </c>
      <c r="E623" s="71" t="s">
        <v>42</v>
      </c>
      <c r="F623" s="71" t="s">
        <v>784</v>
      </c>
      <c r="H623" s="71" t="s">
        <v>28</v>
      </c>
      <c r="I623" s="87"/>
      <c r="J623" s="72">
        <f t="shared" ref="J623" si="168">AVERAGEIF(J622, "&lt;&gt;0")</f>
        <v>91</v>
      </c>
      <c r="K623" s="72">
        <f>AVERAGEIF(K622, "&lt;&gt;0")</f>
        <v>1.1000000000000001</v>
      </c>
      <c r="L623" s="72">
        <f>AVERAGEIF(L622, "&lt;&gt;0")</f>
        <v>11.9</v>
      </c>
      <c r="M623" s="72">
        <f>AVERAGEIF(M622, "&lt;&gt;0")</f>
        <v>0.53</v>
      </c>
      <c r="N623" s="72">
        <f>AVERAGEIF(N622, "&lt;&gt;0")</f>
        <v>22.3</v>
      </c>
      <c r="O623" s="72"/>
      <c r="P623" s="72"/>
      <c r="Q623" s="72"/>
      <c r="R623" s="72">
        <f>AVERAGEIF(R622, "&lt;&gt;0")</f>
        <v>19</v>
      </c>
      <c r="S623" s="72"/>
      <c r="T623" s="72"/>
      <c r="U623" s="72"/>
      <c r="V623" s="72"/>
      <c r="W623" s="72"/>
      <c r="X623" s="72"/>
      <c r="Y623" s="72"/>
      <c r="Z623" s="72"/>
      <c r="AA623" s="72"/>
      <c r="AB623" s="72"/>
      <c r="AC623" s="73"/>
      <c r="AD623" s="73"/>
      <c r="AE623" s="73"/>
      <c r="AF623" s="73"/>
      <c r="AG623" s="73"/>
      <c r="AH623" s="73"/>
      <c r="AI623" s="73"/>
      <c r="AJ623" s="73"/>
      <c r="AK623" s="73"/>
      <c r="AL623" s="73"/>
      <c r="AM623" s="73"/>
      <c r="AN623" s="73"/>
      <c r="AO623" s="73"/>
      <c r="AP623" s="73"/>
      <c r="AQ623" s="73"/>
      <c r="AR623" s="73"/>
      <c r="AS623" s="73"/>
      <c r="AT623" s="73"/>
      <c r="AU623" s="73"/>
      <c r="AV623" s="73"/>
      <c r="AW623" s="73"/>
      <c r="AX623" s="73"/>
    </row>
    <row r="624" spans="1:50" ht="17" x14ac:dyDescent="0.2">
      <c r="A624" s="24" t="s">
        <v>272</v>
      </c>
      <c r="B624" s="24" t="s">
        <v>277</v>
      </c>
      <c r="C624" s="32" t="s">
        <v>0</v>
      </c>
      <c r="H624" s="2" t="s">
        <v>27</v>
      </c>
      <c r="I624" s="243" t="s">
        <v>1007</v>
      </c>
      <c r="J624" s="3">
        <v>95.2</v>
      </c>
      <c r="K624" s="3">
        <v>0.5</v>
      </c>
      <c r="L624" s="3">
        <v>16</v>
      </c>
      <c r="M624" s="3">
        <v>0.28000000000000003</v>
      </c>
      <c r="N624" s="3">
        <v>13</v>
      </c>
      <c r="O624" s="3">
        <v>0.2</v>
      </c>
      <c r="P624" s="4">
        <f t="shared" ref="P624:P629" si="169">AN624</f>
        <v>0</v>
      </c>
      <c r="Q624" s="3">
        <v>7</v>
      </c>
      <c r="R624" s="3">
        <v>2.8</v>
      </c>
      <c r="S624" s="3">
        <v>0.03</v>
      </c>
      <c r="AI624" s="23"/>
      <c r="AN624" s="23"/>
    </row>
    <row r="625" spans="1:50" ht="34" x14ac:dyDescent="0.2">
      <c r="A625" s="31" t="s">
        <v>272</v>
      </c>
      <c r="B625" s="31" t="s">
        <v>277</v>
      </c>
      <c r="H625" s="2" t="s">
        <v>27</v>
      </c>
      <c r="I625" s="243" t="s">
        <v>1009</v>
      </c>
      <c r="K625" s="3">
        <v>0.37</v>
      </c>
      <c r="L625" s="3">
        <v>28</v>
      </c>
      <c r="M625" s="3">
        <v>1.97</v>
      </c>
      <c r="O625" s="3">
        <v>0.87</v>
      </c>
      <c r="P625" s="4">
        <f t="shared" si="169"/>
        <v>0</v>
      </c>
      <c r="R625" s="3">
        <v>16</v>
      </c>
      <c r="S625" s="3">
        <v>0.16</v>
      </c>
      <c r="AN625" s="23"/>
    </row>
    <row r="626" spans="1:50" ht="34" x14ac:dyDescent="0.2">
      <c r="A626" s="31" t="s">
        <v>272</v>
      </c>
      <c r="B626" s="31" t="s">
        <v>277</v>
      </c>
      <c r="H626" s="2" t="s">
        <v>27</v>
      </c>
      <c r="I626" s="243" t="s">
        <v>1009</v>
      </c>
      <c r="K626" s="3">
        <v>0.42</v>
      </c>
      <c r="L626" s="3">
        <v>34</v>
      </c>
      <c r="M626" s="3">
        <v>1.33</v>
      </c>
      <c r="O626" s="3">
        <v>0.47</v>
      </c>
      <c r="P626" s="4">
        <f t="shared" si="169"/>
        <v>0</v>
      </c>
      <c r="R626" s="3">
        <v>9</v>
      </c>
      <c r="S626" s="3">
        <v>0.03</v>
      </c>
      <c r="AN626" s="23"/>
    </row>
    <row r="627" spans="1:50" ht="34" x14ac:dyDescent="0.2">
      <c r="A627" s="24" t="s">
        <v>272</v>
      </c>
      <c r="B627" s="24" t="s">
        <v>277</v>
      </c>
      <c r="H627" s="2" t="s">
        <v>27</v>
      </c>
      <c r="I627" s="243" t="s">
        <v>1010</v>
      </c>
      <c r="J627" s="3">
        <v>96.3</v>
      </c>
      <c r="K627" s="3">
        <v>0.6</v>
      </c>
      <c r="L627" s="3">
        <v>19</v>
      </c>
      <c r="M627" s="3">
        <v>0.9</v>
      </c>
      <c r="N627" s="3">
        <v>11</v>
      </c>
      <c r="P627" s="4">
        <f t="shared" si="169"/>
        <v>0</v>
      </c>
      <c r="R627" s="3">
        <v>11</v>
      </c>
      <c r="AI627" s="23"/>
      <c r="AN627" s="23"/>
    </row>
    <row r="628" spans="1:50" ht="34" x14ac:dyDescent="0.2">
      <c r="A628" s="31" t="s">
        <v>272</v>
      </c>
      <c r="B628" s="24" t="s">
        <v>277</v>
      </c>
      <c r="H628" s="2" t="s">
        <v>27</v>
      </c>
      <c r="I628" s="243" t="s">
        <v>1009</v>
      </c>
      <c r="K628" s="3">
        <v>0.35</v>
      </c>
      <c r="L628" s="3">
        <v>35</v>
      </c>
      <c r="M628" s="3">
        <v>0.41</v>
      </c>
      <c r="O628" s="3">
        <v>0.14000000000000001</v>
      </c>
      <c r="P628" s="4">
        <f t="shared" si="169"/>
        <v>0</v>
      </c>
      <c r="R628" s="3">
        <v>11</v>
      </c>
      <c r="S628" s="3">
        <v>0.16</v>
      </c>
      <c r="AN628" s="23"/>
    </row>
    <row r="629" spans="1:50" ht="34" x14ac:dyDescent="0.2">
      <c r="A629" s="24" t="s">
        <v>272</v>
      </c>
      <c r="B629" s="24" t="s">
        <v>277</v>
      </c>
      <c r="H629" s="2" t="s">
        <v>27</v>
      </c>
      <c r="I629" s="243" t="s">
        <v>1009</v>
      </c>
      <c r="K629" s="3">
        <v>0.42</v>
      </c>
      <c r="L629" s="3">
        <v>27</v>
      </c>
      <c r="M629" s="3">
        <v>0.36</v>
      </c>
      <c r="O629" s="3">
        <v>0.14000000000000001</v>
      </c>
      <c r="P629" s="4">
        <f t="shared" si="169"/>
        <v>0</v>
      </c>
      <c r="R629" s="3">
        <v>15</v>
      </c>
      <c r="S629" s="3">
        <v>0.16</v>
      </c>
      <c r="AN629" s="23"/>
    </row>
    <row r="630" spans="1:50" ht="34" x14ac:dyDescent="0.2">
      <c r="A630" s="31" t="s">
        <v>272</v>
      </c>
      <c r="B630" s="24" t="s">
        <v>277</v>
      </c>
      <c r="H630" s="2" t="s">
        <v>27</v>
      </c>
      <c r="I630" s="243" t="s">
        <v>1009</v>
      </c>
      <c r="K630" s="3">
        <v>0.32</v>
      </c>
      <c r="L630" s="3">
        <v>22.2</v>
      </c>
      <c r="M630" s="3">
        <v>0.24</v>
      </c>
      <c r="O630" s="3">
        <v>7.0000000000000007E-2</v>
      </c>
      <c r="P630" s="4" t="s">
        <v>0</v>
      </c>
      <c r="R630" s="3">
        <v>7</v>
      </c>
      <c r="S630" s="3">
        <v>0.1</v>
      </c>
    </row>
    <row r="631" spans="1:50" ht="34" x14ac:dyDescent="0.2">
      <c r="A631" s="24" t="s">
        <v>272</v>
      </c>
      <c r="B631" s="24" t="s">
        <v>277</v>
      </c>
      <c r="H631" s="2" t="s">
        <v>27</v>
      </c>
      <c r="I631" s="243" t="s">
        <v>1009</v>
      </c>
      <c r="K631" s="3">
        <v>0.35</v>
      </c>
      <c r="L631" s="3">
        <v>23</v>
      </c>
      <c r="M631" s="3">
        <v>0.17</v>
      </c>
      <c r="O631" s="3">
        <v>0.09</v>
      </c>
      <c r="P631" s="4" t="s">
        <v>0</v>
      </c>
      <c r="R631" s="3">
        <v>10</v>
      </c>
      <c r="S631" s="3">
        <v>0.04</v>
      </c>
    </row>
    <row r="632" spans="1:50" ht="34" x14ac:dyDescent="0.2">
      <c r="A632" s="31" t="s">
        <v>278</v>
      </c>
      <c r="B632" s="31" t="s">
        <v>277</v>
      </c>
      <c r="H632" s="2" t="s">
        <v>27</v>
      </c>
      <c r="I632" s="243" t="s">
        <v>1009</v>
      </c>
      <c r="K632" s="3">
        <v>0.36</v>
      </c>
      <c r="L632" s="3">
        <v>27</v>
      </c>
      <c r="M632" s="3">
        <v>0.96</v>
      </c>
      <c r="O632" s="3">
        <v>0.22</v>
      </c>
      <c r="P632" s="4" t="s">
        <v>0</v>
      </c>
      <c r="R632" s="3">
        <v>13</v>
      </c>
      <c r="S632" s="3">
        <v>0.2</v>
      </c>
    </row>
    <row r="633" spans="1:50" ht="34" x14ac:dyDescent="0.2">
      <c r="A633" s="31" t="s">
        <v>278</v>
      </c>
      <c r="B633" s="31" t="s">
        <v>277</v>
      </c>
      <c r="H633" s="2" t="s">
        <v>27</v>
      </c>
      <c r="I633" s="243" t="s">
        <v>1009</v>
      </c>
      <c r="K633" s="3">
        <v>0.27</v>
      </c>
      <c r="L633" s="3">
        <v>20</v>
      </c>
      <c r="M633" s="3">
        <v>0.57999999999999996</v>
      </c>
      <c r="O633" s="3">
        <v>0.06</v>
      </c>
      <c r="P633" s="4" t="s">
        <v>0</v>
      </c>
      <c r="R633" s="3">
        <v>6</v>
      </c>
    </row>
    <row r="634" spans="1:50" ht="34" x14ac:dyDescent="0.2">
      <c r="A634" s="31" t="s">
        <v>278</v>
      </c>
      <c r="B634" s="31" t="s">
        <v>277</v>
      </c>
      <c r="H634" s="2" t="s">
        <v>27</v>
      </c>
      <c r="I634" s="243" t="s">
        <v>1009</v>
      </c>
      <c r="K634" s="3">
        <v>0.28999999999999998</v>
      </c>
      <c r="L634" s="3">
        <v>6</v>
      </c>
      <c r="O634" s="3">
        <v>7.0000000000000007E-2</v>
      </c>
      <c r="P634" s="4" t="s">
        <v>0</v>
      </c>
      <c r="R634" s="3">
        <v>11</v>
      </c>
      <c r="S634" s="3">
        <v>0.13</v>
      </c>
    </row>
    <row r="635" spans="1:50" ht="34" x14ac:dyDescent="0.2">
      <c r="A635" s="24" t="s">
        <v>279</v>
      </c>
      <c r="B635" s="24" t="s">
        <v>277</v>
      </c>
      <c r="H635" s="2" t="s">
        <v>27</v>
      </c>
      <c r="I635" s="243" t="s">
        <v>1010</v>
      </c>
      <c r="J635" s="3">
        <v>96</v>
      </c>
      <c r="K635" s="3">
        <v>0.6</v>
      </c>
      <c r="L635" s="3">
        <v>13</v>
      </c>
      <c r="M635" s="3">
        <v>0.6</v>
      </c>
      <c r="N635" s="3">
        <v>14</v>
      </c>
      <c r="P635" s="4">
        <f t="shared" ref="P635" si="170">AN635</f>
        <v>0</v>
      </c>
      <c r="R635" s="3">
        <v>19</v>
      </c>
      <c r="AI635" s="23"/>
      <c r="AN635" s="23"/>
    </row>
    <row r="636" spans="1:50" s="71" customFormat="1" x14ac:dyDescent="0.2">
      <c r="A636" s="70" t="s">
        <v>279</v>
      </c>
      <c r="B636" s="70" t="s">
        <v>277</v>
      </c>
      <c r="C636" s="71" t="s">
        <v>280</v>
      </c>
      <c r="D636" s="71" t="s">
        <v>56</v>
      </c>
      <c r="E636" s="71" t="s">
        <v>42</v>
      </c>
      <c r="F636" s="71" t="s">
        <v>784</v>
      </c>
      <c r="H636" s="71" t="s">
        <v>27</v>
      </c>
      <c r="I636" s="87"/>
      <c r="J636" s="72">
        <f t="shared" ref="J636" si="171">AVERAGEIF(J624:J635, "&lt;&gt;0")</f>
        <v>95.833333333333329</v>
      </c>
      <c r="K636" s="72">
        <f t="shared" ref="K636:O636" si="172">AVERAGEIF(K624:K635, "&lt;&gt;0")</f>
        <v>0.40416666666666662</v>
      </c>
      <c r="L636" s="72">
        <f t="shared" si="172"/>
        <v>22.516666666666666</v>
      </c>
      <c r="M636" s="72">
        <f t="shared" si="172"/>
        <v>0.70909090909090911</v>
      </c>
      <c r="N636" s="72">
        <f t="shared" si="172"/>
        <v>12.666666666666666</v>
      </c>
      <c r="O636" s="72">
        <f t="shared" si="172"/>
        <v>0.23300000000000004</v>
      </c>
      <c r="P636" s="72">
        <f>AVERAGE(P624:P635)</f>
        <v>0</v>
      </c>
      <c r="Q636" s="72">
        <f>AVERAGE(Q624:Q635)</f>
        <v>7</v>
      </c>
      <c r="R636" s="72">
        <f>AVERAGEIF(R624:R635, "&lt;&gt;0")</f>
        <v>10.9</v>
      </c>
      <c r="S636" s="72">
        <f>AVERAGEIF(S624:S635, "&lt;&gt;0")</f>
        <v>0.11222222222222225</v>
      </c>
      <c r="T636" s="72"/>
      <c r="U636" s="72"/>
      <c r="V636" s="72"/>
      <c r="W636" s="72"/>
      <c r="X636" s="72"/>
      <c r="Y636" s="72"/>
      <c r="Z636" s="72"/>
      <c r="AA636" s="72"/>
      <c r="AB636" s="72"/>
      <c r="AC636" s="73"/>
      <c r="AD636" s="73"/>
      <c r="AE636" s="73"/>
      <c r="AF636" s="73"/>
      <c r="AG636" s="73"/>
      <c r="AH636" s="73"/>
      <c r="AI636" s="73"/>
      <c r="AJ636" s="73"/>
      <c r="AK636" s="73"/>
      <c r="AL636" s="73"/>
      <c r="AM636" s="73"/>
      <c r="AN636" s="73"/>
      <c r="AO636" s="73"/>
      <c r="AP636" s="73"/>
      <c r="AQ636" s="73"/>
      <c r="AR636" s="73"/>
      <c r="AS636" s="73"/>
      <c r="AT636" s="73"/>
      <c r="AU636" s="73"/>
      <c r="AV636" s="73"/>
      <c r="AW636" s="73"/>
      <c r="AX636" s="73"/>
    </row>
    <row r="637" spans="1:50" ht="51" x14ac:dyDescent="0.2">
      <c r="A637" s="24" t="s">
        <v>281</v>
      </c>
      <c r="B637" s="24" t="s">
        <v>282</v>
      </c>
      <c r="H637" s="2" t="s">
        <v>214</v>
      </c>
      <c r="I637" s="243" t="s">
        <v>1028</v>
      </c>
      <c r="J637" s="3">
        <v>92.7</v>
      </c>
      <c r="L637" s="3">
        <v>12</v>
      </c>
      <c r="M637" s="3">
        <v>0.2</v>
      </c>
      <c r="P637" s="4" t="s">
        <v>0</v>
      </c>
      <c r="R637" s="3">
        <v>46</v>
      </c>
    </row>
    <row r="638" spans="1:50" ht="85" x14ac:dyDescent="0.2">
      <c r="A638" s="24" t="s">
        <v>281</v>
      </c>
      <c r="B638" s="24" t="s">
        <v>282</v>
      </c>
      <c r="H638" s="2" t="s">
        <v>214</v>
      </c>
      <c r="I638" s="243" t="s">
        <v>1026</v>
      </c>
      <c r="J638" s="3">
        <v>95.5</v>
      </c>
      <c r="K638" s="3">
        <v>0.3</v>
      </c>
      <c r="L638" s="3">
        <v>12</v>
      </c>
      <c r="M638" s="3">
        <v>0.8</v>
      </c>
      <c r="N638" s="3">
        <v>15</v>
      </c>
      <c r="O638" s="3">
        <v>0.79</v>
      </c>
      <c r="P638" s="4">
        <v>3.0000000000000001E-3</v>
      </c>
      <c r="R638" s="3">
        <v>7</v>
      </c>
    </row>
    <row r="639" spans="1:50" s="22" customFormat="1" ht="17" x14ac:dyDescent="0.2">
      <c r="A639" s="25" t="s">
        <v>281</v>
      </c>
      <c r="B639" s="25" t="s">
        <v>282</v>
      </c>
      <c r="C639" s="26" t="s">
        <v>0</v>
      </c>
      <c r="D639" s="2"/>
      <c r="E639" s="2"/>
      <c r="F639" s="26"/>
      <c r="G639" s="26"/>
      <c r="H639" s="26" t="s">
        <v>27</v>
      </c>
      <c r="I639" s="65" t="s">
        <v>1006</v>
      </c>
      <c r="J639" s="4">
        <v>0.92700000000000005</v>
      </c>
      <c r="K639" s="4">
        <v>0.29929999999999984</v>
      </c>
      <c r="L639" s="4">
        <v>12.001199999999994</v>
      </c>
      <c r="M639" s="4">
        <v>0.19709999999999989</v>
      </c>
      <c r="N639" s="4"/>
      <c r="O639" s="4"/>
      <c r="P639" s="4" t="s">
        <v>0</v>
      </c>
      <c r="Q639" s="4"/>
      <c r="R639" s="4">
        <v>45.997299999999974</v>
      </c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23"/>
      <c r="AD639" s="23"/>
      <c r="AE639" s="23"/>
      <c r="AF639" s="23"/>
      <c r="AG639" s="23"/>
      <c r="AH639" s="23"/>
      <c r="AI639" s="23"/>
      <c r="AJ639" s="23"/>
      <c r="AK639" s="23"/>
      <c r="AL639" s="23"/>
      <c r="AM639" s="23"/>
      <c r="AN639" s="23"/>
      <c r="AO639" s="23"/>
      <c r="AP639" s="23"/>
      <c r="AQ639" s="23"/>
      <c r="AR639" s="23"/>
      <c r="AS639" s="23"/>
      <c r="AT639" s="23"/>
      <c r="AU639" s="23"/>
      <c r="AV639" s="23"/>
      <c r="AW639" s="23"/>
      <c r="AX639" s="23"/>
    </row>
    <row r="640" spans="1:50" s="71" customFormat="1" ht="15" customHeight="1" x14ac:dyDescent="0.2">
      <c r="A640" s="77" t="s">
        <v>281</v>
      </c>
      <c r="B640" s="77" t="s">
        <v>282</v>
      </c>
      <c r="C640" s="78" t="s">
        <v>283</v>
      </c>
      <c r="D640" s="71" t="s">
        <v>31</v>
      </c>
      <c r="E640" s="78" t="s">
        <v>42</v>
      </c>
      <c r="F640" s="71" t="s">
        <v>784</v>
      </c>
      <c r="G640" s="78"/>
      <c r="H640" s="78" t="s">
        <v>27</v>
      </c>
      <c r="I640" s="87"/>
      <c r="J640" s="72">
        <f t="shared" ref="J640" si="173">AVERAGEIF(J637:J639, "&lt;&gt;0")</f>
        <v>63.042333333333325</v>
      </c>
      <c r="K640" s="72">
        <f>AVERAGEIF(K637:K639, "&lt;&gt;0")</f>
        <v>0.29964999999999992</v>
      </c>
      <c r="L640" s="72">
        <f>AVERAGEIF(L637:L639, "&lt;&gt;0")</f>
        <v>12.000399999999999</v>
      </c>
      <c r="M640" s="72">
        <f>AVERAGEIF(M637:M639, "&lt;&gt;0")</f>
        <v>0.3990333333333333</v>
      </c>
      <c r="N640" s="72"/>
      <c r="O640" s="72"/>
      <c r="P640" s="72"/>
      <c r="Q640" s="72"/>
      <c r="R640" s="72">
        <f>AVERAGEIF(R637:R639, "&lt;&gt;0")</f>
        <v>32.999099999999991</v>
      </c>
      <c r="S640" s="72"/>
      <c r="T640" s="72"/>
      <c r="U640" s="72"/>
      <c r="V640" s="72"/>
      <c r="W640" s="72"/>
      <c r="X640" s="72"/>
      <c r="Y640" s="72"/>
      <c r="Z640" s="72"/>
      <c r="AA640" s="72"/>
      <c r="AB640" s="72"/>
      <c r="AC640" s="73"/>
      <c r="AD640" s="73"/>
      <c r="AE640" s="73"/>
      <c r="AF640" s="73"/>
      <c r="AG640" s="73"/>
      <c r="AH640" s="73"/>
      <c r="AI640" s="73"/>
      <c r="AJ640" s="73"/>
      <c r="AK640" s="73"/>
      <c r="AL640" s="73"/>
      <c r="AM640" s="73"/>
      <c r="AN640" s="73"/>
      <c r="AO640" s="73"/>
      <c r="AP640" s="73"/>
      <c r="AQ640" s="73"/>
      <c r="AR640" s="73"/>
      <c r="AS640" s="73"/>
      <c r="AT640" s="73"/>
      <c r="AU640" s="73"/>
      <c r="AV640" s="73"/>
      <c r="AW640" s="73"/>
      <c r="AX640" s="73"/>
    </row>
    <row r="641" spans="1:50" ht="51" x14ac:dyDescent="0.2">
      <c r="A641" s="24" t="s">
        <v>281</v>
      </c>
      <c r="B641" s="24" t="s">
        <v>282</v>
      </c>
      <c r="H641" s="2" t="s">
        <v>239</v>
      </c>
      <c r="I641" s="243" t="s">
        <v>1028</v>
      </c>
      <c r="J641" s="3">
        <v>93.6</v>
      </c>
      <c r="L641" s="3">
        <v>15</v>
      </c>
      <c r="M641" s="3">
        <v>0.4</v>
      </c>
      <c r="P641" s="4" t="s">
        <v>0</v>
      </c>
      <c r="R641" s="3">
        <v>11</v>
      </c>
    </row>
    <row r="642" spans="1:50" ht="34" x14ac:dyDescent="0.2">
      <c r="A642" s="24" t="s">
        <v>281</v>
      </c>
      <c r="B642" s="24" t="s">
        <v>282</v>
      </c>
      <c r="H642" s="2" t="s">
        <v>28</v>
      </c>
      <c r="I642" s="243" t="s">
        <v>1004</v>
      </c>
      <c r="J642" s="3">
        <v>91</v>
      </c>
      <c r="L642" s="3">
        <v>48</v>
      </c>
      <c r="M642" s="3">
        <v>1</v>
      </c>
      <c r="P642" s="4">
        <f t="shared" ref="P642" si="174">AN642</f>
        <v>0</v>
      </c>
      <c r="R642" s="3">
        <v>21</v>
      </c>
      <c r="AI642" s="23"/>
      <c r="AN642" s="23"/>
    </row>
    <row r="643" spans="1:50" ht="17" x14ac:dyDescent="0.2">
      <c r="A643" s="31" t="s">
        <v>281</v>
      </c>
      <c r="B643" s="31" t="s">
        <v>282</v>
      </c>
      <c r="C643" s="1"/>
      <c r="F643" s="1"/>
      <c r="G643" s="1"/>
      <c r="H643" s="1" t="s">
        <v>284</v>
      </c>
      <c r="I643" s="243" t="s">
        <v>1006</v>
      </c>
      <c r="J643" s="3">
        <v>94</v>
      </c>
      <c r="K643" s="3">
        <v>0.40319999999999967</v>
      </c>
      <c r="L643" s="3">
        <v>15.001599999999987</v>
      </c>
      <c r="M643" s="3">
        <v>0.40319999999999967</v>
      </c>
      <c r="P643" s="4" t="s">
        <v>0</v>
      </c>
      <c r="R643" s="3">
        <v>11.001599999999991</v>
      </c>
    </row>
    <row r="644" spans="1:50" ht="34" x14ac:dyDescent="0.2">
      <c r="A644" s="24" t="s">
        <v>281</v>
      </c>
      <c r="B644" s="24" t="s">
        <v>282</v>
      </c>
      <c r="H644" s="2" t="s">
        <v>28</v>
      </c>
      <c r="I644" s="243" t="s">
        <v>1010</v>
      </c>
      <c r="J644" s="3">
        <v>93.6</v>
      </c>
      <c r="K644" s="3">
        <v>0.4</v>
      </c>
      <c r="L644" s="3">
        <v>19</v>
      </c>
      <c r="M644" s="3">
        <v>0.4</v>
      </c>
      <c r="P644" s="4">
        <f t="shared" ref="P644:P645" si="175">AN644</f>
        <v>0</v>
      </c>
      <c r="R644" s="3">
        <v>11</v>
      </c>
      <c r="AI644" s="23"/>
      <c r="AN644" s="23"/>
    </row>
    <row r="645" spans="1:50" ht="34" x14ac:dyDescent="0.2">
      <c r="A645" s="24" t="s">
        <v>281</v>
      </c>
      <c r="B645" s="24" t="s">
        <v>282</v>
      </c>
      <c r="H645" s="2" t="s">
        <v>28</v>
      </c>
      <c r="I645" s="243" t="s">
        <v>1004</v>
      </c>
      <c r="J645" s="3">
        <v>85</v>
      </c>
      <c r="L645" s="3">
        <v>14</v>
      </c>
      <c r="P645" s="4">
        <f t="shared" si="175"/>
        <v>0</v>
      </c>
      <c r="R645" s="3">
        <v>6</v>
      </c>
      <c r="AI645" s="23"/>
      <c r="AN645" s="23"/>
    </row>
    <row r="646" spans="1:50" s="71" customFormat="1" ht="15" customHeight="1" x14ac:dyDescent="0.2">
      <c r="A646" s="70" t="s">
        <v>281</v>
      </c>
      <c r="B646" s="70" t="s">
        <v>282</v>
      </c>
      <c r="C646" s="71" t="s">
        <v>283</v>
      </c>
      <c r="D646" s="71" t="s">
        <v>31</v>
      </c>
      <c r="E646" s="71" t="s">
        <v>42</v>
      </c>
      <c r="F646" s="71" t="s">
        <v>784</v>
      </c>
      <c r="H646" s="71" t="s">
        <v>28</v>
      </c>
      <c r="I646" s="87"/>
      <c r="J646" s="72">
        <f t="shared" ref="J646" si="176">AVERAGEIF(J641:J645, "&lt;&gt;0")</f>
        <v>91.440000000000012</v>
      </c>
      <c r="K646" s="72">
        <f>AVERAGEIF(K641:K645, "&lt;&gt;0")</f>
        <v>0.40159999999999985</v>
      </c>
      <c r="L646" s="72">
        <f>AVERAGEIF(L641:L645, "&lt;&gt;0")</f>
        <v>22.200319999999998</v>
      </c>
      <c r="M646" s="72">
        <f>AVERAGEIF(M641:M645, "&lt;&gt;0")</f>
        <v>0.55079999999999985</v>
      </c>
      <c r="N646" s="72"/>
      <c r="O646" s="72"/>
      <c r="P646" s="72">
        <f>AVERAGE(P641:P645)</f>
        <v>0</v>
      </c>
      <c r="Q646" s="72"/>
      <c r="R646" s="72">
        <f>AVERAGEIF(R641:R645, "&lt;&gt;0")</f>
        <v>12.000319999999999</v>
      </c>
      <c r="S646" s="72"/>
      <c r="T646" s="72"/>
      <c r="U646" s="72"/>
      <c r="V646" s="72"/>
      <c r="W646" s="72"/>
      <c r="X646" s="72"/>
      <c r="Y646" s="72"/>
      <c r="Z646" s="72"/>
      <c r="AA646" s="72"/>
      <c r="AB646" s="72"/>
      <c r="AC646" s="73"/>
      <c r="AD646" s="73"/>
      <c r="AE646" s="73"/>
      <c r="AF646" s="73"/>
      <c r="AG646" s="73"/>
      <c r="AH646" s="73"/>
      <c r="AI646" s="73"/>
      <c r="AJ646" s="73"/>
      <c r="AK646" s="73"/>
      <c r="AL646" s="73"/>
      <c r="AM646" s="73"/>
      <c r="AN646" s="73"/>
      <c r="AO646" s="73"/>
      <c r="AP646" s="73"/>
      <c r="AQ646" s="73"/>
      <c r="AR646" s="73"/>
      <c r="AS646" s="73"/>
      <c r="AT646" s="73"/>
      <c r="AU646" s="73"/>
      <c r="AV646" s="73"/>
      <c r="AW646" s="73"/>
      <c r="AX646" s="73"/>
    </row>
    <row r="647" spans="1:50" s="22" customFormat="1" ht="34" x14ac:dyDescent="0.2">
      <c r="A647" s="21" t="s">
        <v>281</v>
      </c>
      <c r="B647" s="21" t="s">
        <v>285</v>
      </c>
      <c r="C647" s="22" t="s">
        <v>0</v>
      </c>
      <c r="D647" s="2"/>
      <c r="E647" s="2"/>
      <c r="H647" s="22" t="s">
        <v>286</v>
      </c>
      <c r="I647" s="65" t="s">
        <v>1009</v>
      </c>
      <c r="J647" s="4"/>
      <c r="K647" s="4">
        <v>0.75</v>
      </c>
      <c r="L647" s="4">
        <v>92</v>
      </c>
      <c r="M647" s="4">
        <v>1.03</v>
      </c>
      <c r="N647" s="4"/>
      <c r="O647" s="4">
        <v>0.45</v>
      </c>
      <c r="P647" s="4">
        <f t="shared" ref="P647:P679" si="177">AN647</f>
        <v>0</v>
      </c>
      <c r="Q647" s="4">
        <v>30</v>
      </c>
      <c r="R647" s="4">
        <v>14</v>
      </c>
      <c r="S647" s="4">
        <v>4.16</v>
      </c>
      <c r="T647" s="4"/>
      <c r="U647" s="4"/>
      <c r="V647" s="4"/>
      <c r="W647" s="4"/>
      <c r="X647" s="4"/>
      <c r="Y647" s="4"/>
      <c r="Z647" s="4"/>
      <c r="AA647" s="4"/>
      <c r="AB647" s="4"/>
      <c r="AC647" s="23"/>
      <c r="AD647" s="23"/>
      <c r="AE647" s="23"/>
      <c r="AF647" s="23"/>
      <c r="AG647" s="5"/>
      <c r="AH647" s="23"/>
      <c r="AI647" s="23"/>
      <c r="AJ647" s="23"/>
      <c r="AK647" s="23"/>
      <c r="AL647" s="23"/>
      <c r="AM647" s="23"/>
      <c r="AN647" s="23"/>
      <c r="AO647" s="23"/>
      <c r="AP647" s="23"/>
      <c r="AQ647" s="23"/>
      <c r="AR647" s="23"/>
      <c r="AS647" s="23"/>
      <c r="AT647" s="23"/>
      <c r="AU647" s="23"/>
      <c r="AV647" s="23"/>
      <c r="AW647" s="23"/>
      <c r="AX647" s="23"/>
    </row>
    <row r="648" spans="1:50" s="71" customFormat="1" ht="15" customHeight="1" x14ac:dyDescent="0.2">
      <c r="A648" s="70" t="s">
        <v>281</v>
      </c>
      <c r="B648" s="70" t="s">
        <v>285</v>
      </c>
      <c r="C648" s="71" t="s">
        <v>287</v>
      </c>
      <c r="D648" s="71" t="s">
        <v>56</v>
      </c>
      <c r="E648" s="71" t="s">
        <v>42</v>
      </c>
      <c r="F648" s="71" t="s">
        <v>784</v>
      </c>
      <c r="H648" s="71" t="s">
        <v>286</v>
      </c>
      <c r="I648" s="87"/>
      <c r="J648" s="72"/>
      <c r="K648" s="72">
        <f>AVERAGEIF(K647, "&lt;&gt;0")</f>
        <v>0.75</v>
      </c>
      <c r="L648" s="72">
        <f>AVERAGEIF(L647, "&lt;&gt;0")</f>
        <v>92</v>
      </c>
      <c r="M648" s="72">
        <f>AVERAGEIF(M647, "&lt;&gt;0")</f>
        <v>1.03</v>
      </c>
      <c r="N648" s="72"/>
      <c r="O648" s="72">
        <f t="shared" ref="O648:S648" si="178">AVERAGEIF(O647, "&lt;&gt;0")</f>
        <v>0.45</v>
      </c>
      <c r="P648" s="72">
        <f>P647</f>
        <v>0</v>
      </c>
      <c r="Q648" s="72">
        <f t="shared" si="178"/>
        <v>30</v>
      </c>
      <c r="R648" s="72">
        <f t="shared" si="178"/>
        <v>14</v>
      </c>
      <c r="S648" s="72">
        <f t="shared" si="178"/>
        <v>4.16</v>
      </c>
      <c r="T648" s="72"/>
      <c r="U648" s="72"/>
      <c r="V648" s="72"/>
      <c r="W648" s="72"/>
      <c r="X648" s="72"/>
      <c r="Y648" s="72"/>
      <c r="Z648" s="72"/>
      <c r="AA648" s="72"/>
      <c r="AB648" s="72"/>
      <c r="AC648" s="73"/>
      <c r="AD648" s="73"/>
      <c r="AE648" s="73"/>
      <c r="AF648" s="73"/>
      <c r="AG648" s="73"/>
      <c r="AH648" s="73"/>
      <c r="AI648" s="73"/>
      <c r="AJ648" s="73"/>
      <c r="AK648" s="73"/>
      <c r="AL648" s="73"/>
      <c r="AM648" s="73"/>
      <c r="AN648" s="73"/>
      <c r="AO648" s="73"/>
      <c r="AP648" s="73"/>
      <c r="AQ648" s="73"/>
      <c r="AR648" s="73"/>
      <c r="AS648" s="73"/>
      <c r="AT648" s="73"/>
      <c r="AU648" s="73"/>
      <c r="AV648" s="73"/>
      <c r="AW648" s="73"/>
      <c r="AX648" s="73"/>
    </row>
    <row r="649" spans="1:50" s="22" customFormat="1" ht="34" x14ac:dyDescent="0.2">
      <c r="A649" s="21" t="s">
        <v>281</v>
      </c>
      <c r="B649" s="21" t="s">
        <v>285</v>
      </c>
      <c r="C649" s="22" t="s">
        <v>0</v>
      </c>
      <c r="D649" s="2"/>
      <c r="E649" s="2"/>
      <c r="H649" s="22" t="s">
        <v>27</v>
      </c>
      <c r="I649" s="65" t="s">
        <v>1009</v>
      </c>
      <c r="J649" s="4"/>
      <c r="K649" s="4">
        <v>0.69</v>
      </c>
      <c r="L649" s="4">
        <v>20</v>
      </c>
      <c r="M649" s="4">
        <v>0.56999999999999995</v>
      </c>
      <c r="N649" s="48"/>
      <c r="O649" s="4">
        <v>0.31</v>
      </c>
      <c r="P649" s="4">
        <f t="shared" si="177"/>
        <v>0</v>
      </c>
      <c r="Q649" s="4">
        <v>10</v>
      </c>
      <c r="R649" s="4">
        <v>8</v>
      </c>
      <c r="S649" s="4">
        <v>0.47</v>
      </c>
      <c r="T649" s="4"/>
      <c r="U649" s="4"/>
      <c r="V649" s="4"/>
      <c r="W649" s="4"/>
      <c r="X649" s="48"/>
      <c r="Y649" s="4"/>
      <c r="Z649" s="4"/>
      <c r="AA649" s="4"/>
      <c r="AB649" s="4"/>
      <c r="AC649" s="23"/>
      <c r="AD649" s="23"/>
      <c r="AE649" s="23"/>
      <c r="AF649" s="23"/>
      <c r="AG649" s="5"/>
      <c r="AH649" s="23"/>
      <c r="AI649" s="23"/>
      <c r="AJ649" s="23"/>
      <c r="AK649" s="23"/>
      <c r="AL649" s="23"/>
      <c r="AM649" s="23"/>
      <c r="AN649" s="23"/>
      <c r="AO649" s="23"/>
      <c r="AP649" s="23"/>
      <c r="AQ649" s="23"/>
      <c r="AR649" s="23"/>
      <c r="AS649" s="23"/>
      <c r="AT649" s="23"/>
      <c r="AU649" s="23"/>
      <c r="AV649" s="23"/>
      <c r="AW649" s="23"/>
      <c r="AX649" s="23"/>
    </row>
    <row r="650" spans="1:50" s="71" customFormat="1" ht="15" customHeight="1" x14ac:dyDescent="0.2">
      <c r="A650" s="70" t="s">
        <v>281</v>
      </c>
      <c r="B650" s="70" t="s">
        <v>285</v>
      </c>
      <c r="C650" s="71" t="s">
        <v>287</v>
      </c>
      <c r="D650" s="71" t="s">
        <v>56</v>
      </c>
      <c r="E650" s="71" t="s">
        <v>42</v>
      </c>
      <c r="F650" s="71" t="s">
        <v>784</v>
      </c>
      <c r="H650" s="71" t="s">
        <v>27</v>
      </c>
      <c r="I650" s="87"/>
      <c r="J650" s="72"/>
      <c r="K650" s="72">
        <f>AVERAGEIF(K649, "&lt;&gt;0")</f>
        <v>0.69</v>
      </c>
      <c r="L650" s="72">
        <f>AVERAGEIF(L649, "&lt;&gt;0")</f>
        <v>20</v>
      </c>
      <c r="M650" s="72">
        <f>AVERAGEIF(M649, "&lt;&gt;0")</f>
        <v>0.56999999999999995</v>
      </c>
      <c r="N650" s="72"/>
      <c r="O650" s="72"/>
      <c r="P650" s="72">
        <f>P649</f>
        <v>0</v>
      </c>
      <c r="Q650" s="72">
        <f t="shared" ref="Q650:S650" si="179">AVERAGEIF(Q649, "&lt;&gt;0")</f>
        <v>10</v>
      </c>
      <c r="R650" s="72">
        <f t="shared" si="179"/>
        <v>8</v>
      </c>
      <c r="S650" s="72">
        <f t="shared" si="179"/>
        <v>0.47</v>
      </c>
      <c r="T650" s="72"/>
      <c r="U650" s="72"/>
      <c r="V650" s="72"/>
      <c r="W650" s="72"/>
      <c r="X650" s="72"/>
      <c r="Y650" s="72"/>
      <c r="Z650" s="72"/>
      <c r="AA650" s="72"/>
      <c r="AB650" s="72"/>
      <c r="AC650" s="73"/>
      <c r="AD650" s="73"/>
      <c r="AE650" s="73"/>
      <c r="AF650" s="73"/>
      <c r="AG650" s="73"/>
      <c r="AH650" s="73"/>
      <c r="AI650" s="73"/>
      <c r="AJ650" s="73"/>
      <c r="AK650" s="73"/>
      <c r="AL650" s="73"/>
      <c r="AM650" s="73"/>
      <c r="AN650" s="73"/>
      <c r="AO650" s="73"/>
      <c r="AP650" s="73"/>
      <c r="AQ650" s="73"/>
      <c r="AR650" s="73"/>
      <c r="AS650" s="73"/>
      <c r="AT650" s="73"/>
      <c r="AU650" s="73"/>
      <c r="AV650" s="73"/>
      <c r="AW650" s="73"/>
      <c r="AX650" s="73"/>
    </row>
    <row r="651" spans="1:50" ht="34" x14ac:dyDescent="0.2">
      <c r="A651" s="24" t="s">
        <v>281</v>
      </c>
      <c r="B651" s="24" t="s">
        <v>285</v>
      </c>
      <c r="H651" s="2" t="s">
        <v>28</v>
      </c>
      <c r="I651" s="243" t="s">
        <v>1009</v>
      </c>
      <c r="K651" s="3">
        <v>0.84</v>
      </c>
      <c r="L651" s="3">
        <v>9</v>
      </c>
      <c r="M651" s="3">
        <v>0.73</v>
      </c>
      <c r="O651" s="3">
        <v>0.28000000000000003</v>
      </c>
      <c r="P651" s="4">
        <f t="shared" si="177"/>
        <v>0</v>
      </c>
      <c r="Q651" s="3">
        <v>12</v>
      </c>
      <c r="R651" s="3">
        <v>9</v>
      </c>
      <c r="S651" s="3">
        <v>1.2</v>
      </c>
      <c r="AN651" s="23"/>
    </row>
    <row r="652" spans="1:50" ht="17" x14ac:dyDescent="0.2">
      <c r="A652" s="24" t="s">
        <v>281</v>
      </c>
      <c r="B652" s="24" t="s">
        <v>285</v>
      </c>
      <c r="C652" s="32" t="s">
        <v>0</v>
      </c>
      <c r="H652" s="2" t="s">
        <v>28</v>
      </c>
      <c r="I652" s="243" t="s">
        <v>1007</v>
      </c>
      <c r="J652" s="3">
        <v>88</v>
      </c>
      <c r="K652" s="3">
        <v>3.9</v>
      </c>
      <c r="L652" s="3">
        <v>14</v>
      </c>
      <c r="M652" s="3">
        <v>0.4</v>
      </c>
      <c r="N652" s="36">
        <v>19</v>
      </c>
      <c r="O652" s="3">
        <v>0.13</v>
      </c>
      <c r="P652" s="4">
        <f t="shared" si="177"/>
        <v>0</v>
      </c>
      <c r="Q652" s="3">
        <v>16</v>
      </c>
      <c r="R652" s="3">
        <v>11</v>
      </c>
      <c r="S652" s="3">
        <v>0.16</v>
      </c>
      <c r="X652" s="36"/>
      <c r="AI652" s="23"/>
      <c r="AN652" s="23"/>
    </row>
    <row r="653" spans="1:50" s="71" customFormat="1" ht="15" customHeight="1" x14ac:dyDescent="0.2">
      <c r="A653" s="70" t="s">
        <v>281</v>
      </c>
      <c r="B653" s="70" t="s">
        <v>285</v>
      </c>
      <c r="C653" s="71" t="s">
        <v>287</v>
      </c>
      <c r="D653" s="71" t="s">
        <v>56</v>
      </c>
      <c r="E653" s="71" t="s">
        <v>42</v>
      </c>
      <c r="F653" s="71" t="s">
        <v>784</v>
      </c>
      <c r="H653" s="71" t="s">
        <v>28</v>
      </c>
      <c r="I653" s="87"/>
      <c r="J653" s="72">
        <f t="shared" ref="J653" si="180">AVERAGEIF(J651:J652, "&lt;&gt;0")</f>
        <v>88</v>
      </c>
      <c r="K653" s="72">
        <f t="shared" ref="K653:S653" si="181">AVERAGEIF(K651:K652, "&lt;&gt;0")</f>
        <v>2.37</v>
      </c>
      <c r="L653" s="72">
        <f t="shared" si="181"/>
        <v>11.5</v>
      </c>
      <c r="M653" s="72">
        <f t="shared" si="181"/>
        <v>0.56499999999999995</v>
      </c>
      <c r="N653" s="72">
        <f t="shared" si="181"/>
        <v>19</v>
      </c>
      <c r="O653" s="72">
        <f t="shared" si="181"/>
        <v>0.20500000000000002</v>
      </c>
      <c r="P653" s="72">
        <f>AVERAGE(P651:P652)</f>
        <v>0</v>
      </c>
      <c r="Q653" s="72">
        <f t="shared" si="181"/>
        <v>14</v>
      </c>
      <c r="R653" s="72">
        <f t="shared" si="181"/>
        <v>10</v>
      </c>
      <c r="S653" s="72">
        <f t="shared" si="181"/>
        <v>0.67999999999999994</v>
      </c>
      <c r="T653" s="72"/>
      <c r="U653" s="72"/>
      <c r="V653" s="72"/>
      <c r="W653" s="72"/>
      <c r="X653" s="72"/>
      <c r="Y653" s="72"/>
      <c r="Z653" s="72"/>
      <c r="AA653" s="72"/>
      <c r="AB653" s="72"/>
      <c r="AC653" s="73"/>
      <c r="AD653" s="73"/>
      <c r="AE653" s="73"/>
      <c r="AF653" s="73"/>
      <c r="AG653" s="73"/>
      <c r="AH653" s="73"/>
      <c r="AI653" s="73"/>
      <c r="AJ653" s="73"/>
      <c r="AK653" s="73"/>
      <c r="AL653" s="73"/>
      <c r="AM653" s="73"/>
      <c r="AN653" s="73"/>
      <c r="AO653" s="73"/>
      <c r="AP653" s="73"/>
      <c r="AQ653" s="73"/>
      <c r="AR653" s="73"/>
      <c r="AS653" s="73"/>
      <c r="AT653" s="73"/>
      <c r="AU653" s="73"/>
      <c r="AV653" s="73"/>
      <c r="AW653" s="73"/>
      <c r="AX653" s="73"/>
    </row>
    <row r="654" spans="1:50" ht="34" x14ac:dyDescent="0.2">
      <c r="A654" s="24" t="s">
        <v>281</v>
      </c>
      <c r="B654" s="24" t="s">
        <v>285</v>
      </c>
      <c r="H654" s="2" t="s">
        <v>33</v>
      </c>
      <c r="I654" s="243" t="s">
        <v>1009</v>
      </c>
      <c r="K654" s="3">
        <v>1.19</v>
      </c>
      <c r="L654" s="3">
        <v>119</v>
      </c>
      <c r="M654" s="3">
        <v>2.1</v>
      </c>
      <c r="O654" s="3">
        <v>0.61</v>
      </c>
      <c r="P654" s="4">
        <f t="shared" si="177"/>
        <v>0</v>
      </c>
      <c r="Q654" s="3">
        <v>57</v>
      </c>
      <c r="R654" s="3">
        <v>38</v>
      </c>
      <c r="S654" s="3">
        <v>3.26</v>
      </c>
      <c r="AN654" s="23"/>
    </row>
    <row r="655" spans="1:50" ht="34" x14ac:dyDescent="0.2">
      <c r="A655" s="24" t="s">
        <v>281</v>
      </c>
      <c r="B655" s="24" t="s">
        <v>285</v>
      </c>
      <c r="H655" s="2" t="s">
        <v>33</v>
      </c>
      <c r="I655" s="243" t="s">
        <v>1009</v>
      </c>
      <c r="K655" s="3">
        <v>1.07</v>
      </c>
      <c r="L655" s="3">
        <v>85</v>
      </c>
      <c r="M655" s="3">
        <v>1.25</v>
      </c>
      <c r="O655" s="3">
        <v>0.65</v>
      </c>
      <c r="P655" s="4">
        <f t="shared" si="177"/>
        <v>0</v>
      </c>
      <c r="Q655" s="3">
        <v>72</v>
      </c>
      <c r="R655" s="3">
        <v>18</v>
      </c>
      <c r="S655" s="3">
        <v>1.96</v>
      </c>
      <c r="AN655" s="23"/>
    </row>
    <row r="656" spans="1:50" s="71" customFormat="1" x14ac:dyDescent="0.2">
      <c r="A656" s="70" t="s">
        <v>281</v>
      </c>
      <c r="B656" s="70" t="s">
        <v>285</v>
      </c>
      <c r="C656" s="71" t="s">
        <v>287</v>
      </c>
      <c r="D656" s="71" t="s">
        <v>56</v>
      </c>
      <c r="E656" s="71" t="s">
        <v>42</v>
      </c>
      <c r="F656" s="71" t="s">
        <v>784</v>
      </c>
      <c r="H656" s="71" t="s">
        <v>33</v>
      </c>
      <c r="I656" s="87"/>
      <c r="J656" s="72"/>
      <c r="K656" s="72">
        <f>AVERAGEIF(K654:K655, "&lt;&gt;0")</f>
        <v>1.1299999999999999</v>
      </c>
      <c r="L656" s="72">
        <f>AVERAGEIF(L654:L655, "&lt;&gt;0")</f>
        <v>102</v>
      </c>
      <c r="M656" s="72">
        <f>AVERAGEIF(M654:M655, "&lt;&gt;0")</f>
        <v>1.675</v>
      </c>
      <c r="N656" s="72"/>
      <c r="O656" s="72">
        <f t="shared" ref="O656:S656" si="182">AVERAGEIF(O654:O655, "&lt;&gt;0")</f>
        <v>0.63</v>
      </c>
      <c r="P656" s="72">
        <f>AVERAGE(P654:P655)</f>
        <v>0</v>
      </c>
      <c r="Q656" s="72">
        <f t="shared" si="182"/>
        <v>64.5</v>
      </c>
      <c r="R656" s="72">
        <f t="shared" si="182"/>
        <v>28</v>
      </c>
      <c r="S656" s="72">
        <f t="shared" si="182"/>
        <v>2.61</v>
      </c>
      <c r="T656" s="72"/>
      <c r="U656" s="72"/>
      <c r="V656" s="72"/>
      <c r="W656" s="72"/>
      <c r="X656" s="72"/>
      <c r="Y656" s="72"/>
      <c r="Z656" s="72"/>
      <c r="AA656" s="72"/>
      <c r="AB656" s="72"/>
      <c r="AC656" s="73"/>
      <c r="AD656" s="73"/>
      <c r="AE656" s="73"/>
      <c r="AF656" s="73"/>
      <c r="AG656" s="73"/>
      <c r="AH656" s="73"/>
      <c r="AI656" s="73"/>
      <c r="AJ656" s="73"/>
      <c r="AK656" s="73"/>
      <c r="AL656" s="73"/>
      <c r="AM656" s="73"/>
      <c r="AN656" s="73"/>
      <c r="AO656" s="73"/>
      <c r="AP656" s="73"/>
      <c r="AQ656" s="73"/>
      <c r="AR656" s="73"/>
      <c r="AS656" s="73"/>
      <c r="AT656" s="73"/>
      <c r="AU656" s="73"/>
      <c r="AV656" s="73"/>
      <c r="AW656" s="73"/>
      <c r="AX656" s="73"/>
    </row>
    <row r="657" spans="1:50" s="22" customFormat="1" ht="17" x14ac:dyDescent="0.2">
      <c r="A657" s="21" t="s">
        <v>281</v>
      </c>
      <c r="B657" s="21" t="s">
        <v>288</v>
      </c>
      <c r="C657" s="22" t="s">
        <v>0</v>
      </c>
      <c r="D657" s="2"/>
      <c r="E657" s="2"/>
      <c r="H657" s="22" t="s">
        <v>28</v>
      </c>
      <c r="I657" s="65" t="s">
        <v>1007</v>
      </c>
      <c r="J657" s="4">
        <v>86.4</v>
      </c>
      <c r="K657" s="4">
        <v>2</v>
      </c>
      <c r="L657" s="4">
        <v>48</v>
      </c>
      <c r="M657" s="4">
        <v>0.7</v>
      </c>
      <c r="N657" s="4">
        <v>34</v>
      </c>
      <c r="O657" s="4">
        <v>0.15</v>
      </c>
      <c r="P657" s="4">
        <f t="shared" si="177"/>
        <v>0</v>
      </c>
      <c r="Q657" s="4">
        <v>27</v>
      </c>
      <c r="R657" s="4">
        <v>21</v>
      </c>
      <c r="S657" s="4">
        <v>1.44</v>
      </c>
      <c r="T657" s="4"/>
      <c r="U657" s="4"/>
      <c r="V657" s="4"/>
      <c r="W657" s="4"/>
      <c r="X657" s="4"/>
      <c r="Y657" s="4"/>
      <c r="Z657" s="4"/>
      <c r="AA657" s="4"/>
      <c r="AB657" s="4"/>
      <c r="AC657" s="23"/>
      <c r="AD657" s="23"/>
      <c r="AE657" s="23"/>
      <c r="AF657" s="23"/>
      <c r="AG657" s="23"/>
      <c r="AH657" s="23"/>
      <c r="AI657" s="23"/>
      <c r="AJ657" s="23"/>
      <c r="AK657" s="23"/>
      <c r="AL657" s="23"/>
      <c r="AM657" s="23"/>
      <c r="AN657" s="23"/>
      <c r="AO657" s="23"/>
      <c r="AP657" s="23"/>
      <c r="AQ657" s="23"/>
      <c r="AR657" s="23"/>
      <c r="AS657" s="23"/>
      <c r="AT657" s="23"/>
      <c r="AU657" s="23"/>
      <c r="AV657" s="23"/>
      <c r="AW657" s="23"/>
      <c r="AX657" s="23"/>
    </row>
    <row r="658" spans="1:50" s="71" customFormat="1" ht="15" customHeight="1" x14ac:dyDescent="0.2">
      <c r="A658" s="70" t="s">
        <v>281</v>
      </c>
      <c r="B658" s="70" t="s">
        <v>288</v>
      </c>
      <c r="C658" s="71" t="s">
        <v>287</v>
      </c>
      <c r="D658" s="71" t="s">
        <v>56</v>
      </c>
      <c r="E658" s="71" t="s">
        <v>42</v>
      </c>
      <c r="F658" s="71" t="s">
        <v>784</v>
      </c>
      <c r="H658" s="71" t="s">
        <v>28</v>
      </c>
      <c r="I658" s="87"/>
      <c r="J658" s="72">
        <f t="shared" ref="J658" si="183">AVERAGEIF(J657, "&lt;&gt;0")</f>
        <v>86.4</v>
      </c>
      <c r="K658" s="72">
        <f t="shared" ref="K658:S658" si="184">AVERAGEIF(K657, "&lt;&gt;0")</f>
        <v>2</v>
      </c>
      <c r="L658" s="72">
        <f t="shared" si="184"/>
        <v>48</v>
      </c>
      <c r="M658" s="72">
        <f t="shared" si="184"/>
        <v>0.7</v>
      </c>
      <c r="N658" s="72">
        <f t="shared" si="184"/>
        <v>34</v>
      </c>
      <c r="O658" s="72">
        <f t="shared" si="184"/>
        <v>0.15</v>
      </c>
      <c r="P658" s="72">
        <f>P657</f>
        <v>0</v>
      </c>
      <c r="Q658" s="72">
        <f t="shared" si="184"/>
        <v>27</v>
      </c>
      <c r="R658" s="72">
        <f t="shared" si="184"/>
        <v>21</v>
      </c>
      <c r="S658" s="72">
        <f t="shared" si="184"/>
        <v>1.44</v>
      </c>
      <c r="T658" s="72"/>
      <c r="U658" s="72"/>
      <c r="V658" s="72"/>
      <c r="W658" s="72"/>
      <c r="X658" s="72"/>
      <c r="Y658" s="72"/>
      <c r="Z658" s="72"/>
      <c r="AA658" s="72"/>
      <c r="AB658" s="72"/>
      <c r="AC658" s="73"/>
      <c r="AD658" s="73"/>
      <c r="AE658" s="73"/>
      <c r="AF658" s="73"/>
      <c r="AG658" s="73"/>
      <c r="AH658" s="73"/>
      <c r="AI658" s="73"/>
      <c r="AJ658" s="73"/>
      <c r="AK658" s="73"/>
      <c r="AL658" s="73"/>
      <c r="AM658" s="73"/>
      <c r="AN658" s="73"/>
      <c r="AO658" s="73"/>
      <c r="AP658" s="73"/>
      <c r="AQ658" s="73"/>
      <c r="AR658" s="73"/>
      <c r="AS658" s="73"/>
      <c r="AT658" s="73"/>
      <c r="AU658" s="73"/>
      <c r="AV658" s="73"/>
      <c r="AW658" s="73"/>
      <c r="AX658" s="73"/>
    </row>
    <row r="659" spans="1:50" s="22" customFormat="1" ht="34" x14ac:dyDescent="0.2">
      <c r="A659" s="21" t="s">
        <v>281</v>
      </c>
      <c r="B659" s="21" t="s">
        <v>288</v>
      </c>
      <c r="C659" s="22" t="s">
        <v>0</v>
      </c>
      <c r="D659" s="2"/>
      <c r="E659" s="2"/>
      <c r="H659" s="22" t="s">
        <v>33</v>
      </c>
      <c r="I659" s="65" t="s">
        <v>1009</v>
      </c>
      <c r="J659" s="4"/>
      <c r="K659" s="4">
        <v>1.1100000000000001</v>
      </c>
      <c r="L659" s="4">
        <v>31</v>
      </c>
      <c r="M659" s="4">
        <v>1.69</v>
      </c>
      <c r="N659" s="4"/>
      <c r="O659" s="4">
        <v>0.37</v>
      </c>
      <c r="P659" s="4">
        <f t="shared" si="177"/>
        <v>0</v>
      </c>
      <c r="Q659" s="4"/>
      <c r="R659" s="4">
        <v>9</v>
      </c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23"/>
      <c r="AD659" s="23"/>
      <c r="AE659" s="23"/>
      <c r="AF659" s="23"/>
      <c r="AG659" s="5"/>
      <c r="AH659" s="23"/>
      <c r="AI659" s="23"/>
      <c r="AJ659" s="23"/>
      <c r="AK659" s="23"/>
      <c r="AL659" s="23"/>
      <c r="AM659" s="23"/>
      <c r="AN659" s="23"/>
      <c r="AO659" s="23"/>
      <c r="AP659" s="23"/>
      <c r="AQ659" s="23"/>
      <c r="AR659" s="23"/>
      <c r="AS659" s="23"/>
      <c r="AT659" s="23"/>
      <c r="AU659" s="23"/>
      <c r="AV659" s="23"/>
      <c r="AW659" s="23"/>
      <c r="AX659" s="23"/>
    </row>
    <row r="660" spans="1:50" s="71" customFormat="1" ht="15" customHeight="1" x14ac:dyDescent="0.2">
      <c r="A660" s="70" t="s">
        <v>281</v>
      </c>
      <c r="B660" s="70" t="s">
        <v>288</v>
      </c>
      <c r="C660" s="71" t="s">
        <v>287</v>
      </c>
      <c r="D660" s="71" t="s">
        <v>56</v>
      </c>
      <c r="E660" s="71" t="s">
        <v>42</v>
      </c>
      <c r="F660" s="71" t="s">
        <v>784</v>
      </c>
      <c r="H660" s="71" t="s">
        <v>33</v>
      </c>
      <c r="I660" s="87"/>
      <c r="J660" s="72"/>
      <c r="K660" s="72">
        <f>AVERAGEIF(K659, "&lt;&gt;0")</f>
        <v>1.1100000000000001</v>
      </c>
      <c r="L660" s="72">
        <f>AVERAGEIF(L659, "&lt;&gt;0")</f>
        <v>31</v>
      </c>
      <c r="M660" s="72">
        <f>AVERAGEIF(M659, "&lt;&gt;0")</f>
        <v>1.69</v>
      </c>
      <c r="N660" s="72"/>
      <c r="O660" s="72">
        <f>AVERAGEIF(O659, "&lt;&gt;0")</f>
        <v>0.37</v>
      </c>
      <c r="P660" s="72">
        <f>P659</f>
        <v>0</v>
      </c>
      <c r="Q660" s="72"/>
      <c r="R660" s="72">
        <f>AVERAGEIF(R659, "&lt;&gt;0")</f>
        <v>9</v>
      </c>
      <c r="S660" s="72"/>
      <c r="T660" s="72"/>
      <c r="U660" s="72"/>
      <c r="V660" s="72"/>
      <c r="W660" s="72"/>
      <c r="X660" s="72"/>
      <c r="Y660" s="72"/>
      <c r="Z660" s="72"/>
      <c r="AA660" s="72"/>
      <c r="AB660" s="72"/>
      <c r="AC660" s="73"/>
      <c r="AD660" s="73"/>
      <c r="AE660" s="73"/>
      <c r="AF660" s="73"/>
      <c r="AG660" s="73"/>
      <c r="AH660" s="73"/>
      <c r="AI660" s="73"/>
      <c r="AJ660" s="73"/>
      <c r="AK660" s="73"/>
      <c r="AL660" s="73"/>
      <c r="AM660" s="73"/>
      <c r="AN660" s="73"/>
      <c r="AO660" s="73"/>
      <c r="AP660" s="73"/>
      <c r="AQ660" s="73"/>
      <c r="AR660" s="73"/>
      <c r="AS660" s="73"/>
      <c r="AT660" s="73"/>
      <c r="AU660" s="73"/>
      <c r="AV660" s="73"/>
      <c r="AW660" s="73"/>
      <c r="AX660" s="73"/>
    </row>
    <row r="661" spans="1:50" s="41" customFormat="1" ht="17" x14ac:dyDescent="0.2">
      <c r="A661" s="40" t="s">
        <v>281</v>
      </c>
      <c r="B661" s="40" t="s">
        <v>289</v>
      </c>
      <c r="C661" s="45" t="s">
        <v>0</v>
      </c>
      <c r="D661" s="2"/>
      <c r="E661" s="2"/>
      <c r="H661" s="2" t="s">
        <v>27</v>
      </c>
      <c r="I661" s="248" t="s">
        <v>1007</v>
      </c>
      <c r="J661" s="43">
        <v>94.79</v>
      </c>
      <c r="K661" s="43">
        <v>1</v>
      </c>
      <c r="L661" s="43">
        <v>16</v>
      </c>
      <c r="M661" s="43">
        <v>0.37</v>
      </c>
      <c r="N661" s="43">
        <v>18</v>
      </c>
      <c r="O661" s="43">
        <v>0.32</v>
      </c>
      <c r="P661" s="4">
        <f t="shared" si="177"/>
        <v>0</v>
      </c>
      <c r="Q661" s="43">
        <v>24</v>
      </c>
      <c r="R661" s="43">
        <v>17.899999999999999</v>
      </c>
      <c r="S661" s="43">
        <v>0.12</v>
      </c>
      <c r="T661" s="43"/>
      <c r="U661" s="43"/>
      <c r="V661" s="43"/>
      <c r="W661" s="43"/>
      <c r="X661" s="43"/>
      <c r="Y661" s="43"/>
      <c r="Z661" s="43"/>
      <c r="AA661" s="43"/>
      <c r="AB661" s="43"/>
      <c r="AC661" s="44"/>
      <c r="AD661" s="44"/>
      <c r="AE661" s="44"/>
      <c r="AF661" s="44"/>
      <c r="AG661" s="44"/>
      <c r="AH661" s="44"/>
      <c r="AI661" s="23"/>
      <c r="AJ661" s="44"/>
      <c r="AK661" s="44"/>
      <c r="AL661" s="44"/>
      <c r="AM661" s="44"/>
      <c r="AN661" s="23"/>
      <c r="AO661" s="44"/>
      <c r="AP661" s="44"/>
      <c r="AQ661" s="44"/>
      <c r="AR661" s="44"/>
      <c r="AS661" s="44"/>
      <c r="AT661" s="44"/>
      <c r="AU661" s="44"/>
      <c r="AV661" s="44"/>
      <c r="AW661" s="44"/>
      <c r="AX661" s="44"/>
    </row>
    <row r="662" spans="1:50" ht="34" x14ac:dyDescent="0.2">
      <c r="A662" s="24" t="s">
        <v>281</v>
      </c>
      <c r="B662" s="24" t="s">
        <v>289</v>
      </c>
      <c r="C662" s="2" t="s">
        <v>0</v>
      </c>
      <c r="F662" s="41"/>
      <c r="G662" s="41"/>
      <c r="H662" s="2" t="s">
        <v>27</v>
      </c>
      <c r="I662" s="243" t="s">
        <v>1010</v>
      </c>
      <c r="J662" s="3">
        <v>93.5</v>
      </c>
      <c r="K662" s="3">
        <v>0.65</v>
      </c>
      <c r="L662" s="3">
        <v>22</v>
      </c>
      <c r="M662" s="3">
        <v>0.5</v>
      </c>
      <c r="N662" s="3">
        <v>19</v>
      </c>
      <c r="P662" s="4">
        <f t="shared" si="177"/>
        <v>0</v>
      </c>
      <c r="R662" s="3">
        <v>19</v>
      </c>
      <c r="AI662" s="23"/>
      <c r="AN662" s="23"/>
    </row>
    <row r="663" spans="1:50" s="71" customFormat="1" x14ac:dyDescent="0.2">
      <c r="A663" s="70" t="s">
        <v>281</v>
      </c>
      <c r="B663" s="70" t="s">
        <v>289</v>
      </c>
      <c r="C663" s="71" t="s">
        <v>290</v>
      </c>
      <c r="D663" s="71" t="s">
        <v>56</v>
      </c>
      <c r="E663" s="71" t="s">
        <v>42</v>
      </c>
      <c r="F663" s="71" t="s">
        <v>784</v>
      </c>
      <c r="H663" s="71" t="s">
        <v>27</v>
      </c>
      <c r="I663" s="87"/>
      <c r="J663" s="72">
        <f t="shared" ref="J663" si="185">AVERAGEIF(J661:J662, "&lt;&gt;0")</f>
        <v>94.14500000000001</v>
      </c>
      <c r="K663" s="72">
        <f>AVERAGEIF(K661:K662, "&lt;&gt;0")</f>
        <v>0.82499999999999996</v>
      </c>
      <c r="L663" s="72">
        <f>AVERAGEIF(L661:L662, "&lt;&gt;0")</f>
        <v>19</v>
      </c>
      <c r="M663" s="72">
        <f>AVERAGEIF(M661:M662, "&lt;&gt;0")</f>
        <v>0.435</v>
      </c>
      <c r="N663" s="72">
        <f>AVERAGEIF(N661:N662, "&lt;&gt;0")</f>
        <v>18.5</v>
      </c>
      <c r="O663" s="72"/>
      <c r="P663" s="85">
        <v>0</v>
      </c>
      <c r="Q663" s="72"/>
      <c r="R663" s="72">
        <f>AVERAGEIF(R661:R662, "&lt;&gt;0")</f>
        <v>18.45</v>
      </c>
      <c r="S663" s="72">
        <f>AVERAGEIF(S661:S662, "&lt;&gt;0")</f>
        <v>0.12</v>
      </c>
      <c r="T663" s="72"/>
      <c r="U663" s="72"/>
      <c r="V663" s="72"/>
      <c r="W663" s="72"/>
      <c r="X663" s="72"/>
      <c r="Y663" s="72"/>
      <c r="Z663" s="72"/>
      <c r="AA663" s="72"/>
      <c r="AB663" s="72"/>
      <c r="AC663" s="73"/>
      <c r="AD663" s="73"/>
      <c r="AE663" s="73"/>
      <c r="AF663" s="73"/>
      <c r="AG663" s="73"/>
      <c r="AH663" s="73"/>
      <c r="AI663" s="73"/>
      <c r="AJ663" s="73"/>
      <c r="AK663" s="73"/>
      <c r="AL663" s="73"/>
      <c r="AM663" s="73"/>
      <c r="AN663" s="73"/>
      <c r="AO663" s="73"/>
      <c r="AP663" s="73"/>
      <c r="AQ663" s="73"/>
      <c r="AR663" s="73"/>
      <c r="AS663" s="73"/>
      <c r="AT663" s="73"/>
      <c r="AU663" s="73"/>
      <c r="AV663" s="73"/>
      <c r="AW663" s="73"/>
      <c r="AX663" s="73"/>
    </row>
    <row r="664" spans="1:50" ht="17" x14ac:dyDescent="0.2">
      <c r="A664" s="24" t="s">
        <v>281</v>
      </c>
      <c r="B664" s="24" t="s">
        <v>289</v>
      </c>
      <c r="C664" s="32" t="s">
        <v>0</v>
      </c>
      <c r="H664" s="2" t="s">
        <v>28</v>
      </c>
      <c r="I664" s="243" t="s">
        <v>1007</v>
      </c>
      <c r="J664" s="3">
        <v>87.78</v>
      </c>
      <c r="K664" s="3">
        <v>1.5</v>
      </c>
      <c r="L664" s="3">
        <v>33</v>
      </c>
      <c r="M664" s="3">
        <v>0.7</v>
      </c>
      <c r="N664" s="36">
        <v>32</v>
      </c>
      <c r="O664" s="3">
        <v>0.13</v>
      </c>
      <c r="P664" s="4">
        <f t="shared" si="177"/>
        <v>0</v>
      </c>
      <c r="Q664" s="3">
        <v>17</v>
      </c>
      <c r="R664" s="3">
        <v>11</v>
      </c>
      <c r="X664" s="36"/>
      <c r="AI664" s="23"/>
      <c r="AN664" s="23"/>
    </row>
    <row r="665" spans="1:50" ht="34" x14ac:dyDescent="0.2">
      <c r="A665" s="24" t="s">
        <v>281</v>
      </c>
      <c r="B665" s="24" t="s">
        <v>289</v>
      </c>
      <c r="C665" s="2" t="s">
        <v>0</v>
      </c>
      <c r="H665" s="2" t="s">
        <v>28</v>
      </c>
      <c r="I665" s="243" t="s">
        <v>1010</v>
      </c>
      <c r="J665" s="3">
        <v>91.4</v>
      </c>
      <c r="K665" s="3">
        <v>1.2</v>
      </c>
      <c r="L665" s="3">
        <v>22</v>
      </c>
      <c r="M665" s="3">
        <v>0.8</v>
      </c>
      <c r="N665" s="3">
        <v>10</v>
      </c>
      <c r="P665" s="4">
        <f t="shared" si="177"/>
        <v>0</v>
      </c>
      <c r="R665" s="3">
        <v>9</v>
      </c>
      <c r="AI665" s="23"/>
      <c r="AN665" s="23"/>
    </row>
    <row r="666" spans="1:50" s="71" customFormat="1" x14ac:dyDescent="0.2">
      <c r="A666" s="70" t="s">
        <v>281</v>
      </c>
      <c r="B666" s="70" t="s">
        <v>289</v>
      </c>
      <c r="C666" s="71" t="s">
        <v>287</v>
      </c>
      <c r="D666" s="71" t="s">
        <v>56</v>
      </c>
      <c r="E666" s="71" t="s">
        <v>42</v>
      </c>
      <c r="F666" s="71" t="s">
        <v>784</v>
      </c>
      <c r="H666" s="71" t="s">
        <v>28</v>
      </c>
      <c r="I666" s="87"/>
      <c r="J666" s="72">
        <f t="shared" ref="J666" si="186">AVERAGE(J664:J665)</f>
        <v>89.59</v>
      </c>
      <c r="K666" s="72">
        <f t="shared" ref="K666:R666" si="187">AVERAGE(K664:K665)</f>
        <v>1.35</v>
      </c>
      <c r="L666" s="72">
        <f t="shared" si="187"/>
        <v>27.5</v>
      </c>
      <c r="M666" s="72">
        <f t="shared" si="187"/>
        <v>0.75</v>
      </c>
      <c r="N666" s="72">
        <f t="shared" si="187"/>
        <v>21</v>
      </c>
      <c r="O666" s="72">
        <f t="shared" si="187"/>
        <v>0.13</v>
      </c>
      <c r="P666" s="72">
        <f t="shared" si="187"/>
        <v>0</v>
      </c>
      <c r="Q666" s="72">
        <f t="shared" si="187"/>
        <v>17</v>
      </c>
      <c r="R666" s="72">
        <f t="shared" si="187"/>
        <v>10</v>
      </c>
      <c r="S666" s="72"/>
      <c r="T666" s="72"/>
      <c r="U666" s="72"/>
      <c r="V666" s="72"/>
      <c r="W666" s="72"/>
      <c r="X666" s="72"/>
      <c r="Y666" s="72"/>
      <c r="Z666" s="72"/>
      <c r="AA666" s="72"/>
      <c r="AB666" s="72"/>
      <c r="AC666" s="73"/>
      <c r="AD666" s="73"/>
      <c r="AE666" s="73"/>
      <c r="AF666" s="73"/>
      <c r="AG666" s="73"/>
      <c r="AH666" s="73"/>
      <c r="AI666" s="73"/>
      <c r="AJ666" s="73"/>
      <c r="AK666" s="73"/>
      <c r="AL666" s="73"/>
      <c r="AM666" s="73"/>
      <c r="AN666" s="73"/>
      <c r="AO666" s="73"/>
      <c r="AP666" s="73"/>
      <c r="AQ666" s="73"/>
      <c r="AR666" s="73"/>
      <c r="AS666" s="73"/>
      <c r="AT666" s="73"/>
      <c r="AU666" s="73"/>
      <c r="AV666" s="73"/>
      <c r="AW666" s="73"/>
      <c r="AX666" s="73"/>
    </row>
    <row r="667" spans="1:50" ht="34" x14ac:dyDescent="0.2">
      <c r="A667" s="24" t="s">
        <v>281</v>
      </c>
      <c r="B667" s="24" t="s">
        <v>130</v>
      </c>
      <c r="H667" s="2" t="s">
        <v>286</v>
      </c>
      <c r="I667" s="243" t="s">
        <v>1010</v>
      </c>
      <c r="J667" s="3">
        <v>92.2</v>
      </c>
      <c r="K667" s="3">
        <v>0.65</v>
      </c>
      <c r="L667" s="3">
        <v>80</v>
      </c>
      <c r="M667" s="3">
        <v>0.7</v>
      </c>
      <c r="N667" s="3">
        <v>24</v>
      </c>
      <c r="P667" s="4">
        <f t="shared" si="177"/>
        <v>0</v>
      </c>
      <c r="R667" s="3">
        <v>28</v>
      </c>
      <c r="AI667" s="23"/>
      <c r="AN667" s="23"/>
    </row>
    <row r="668" spans="1:50" ht="17" x14ac:dyDescent="0.2">
      <c r="A668" s="24" t="s">
        <v>281</v>
      </c>
      <c r="B668" s="24" t="s">
        <v>79</v>
      </c>
      <c r="C668" s="32" t="s">
        <v>0</v>
      </c>
      <c r="H668" s="2" t="s">
        <v>286</v>
      </c>
      <c r="I668" s="243" t="s">
        <v>1007</v>
      </c>
      <c r="J668" s="3">
        <v>95.1</v>
      </c>
      <c r="L668" s="3">
        <v>39</v>
      </c>
      <c r="M668" s="3">
        <v>0.7</v>
      </c>
      <c r="N668" s="3">
        <v>24</v>
      </c>
      <c r="P668" s="4">
        <f t="shared" si="177"/>
        <v>0</v>
      </c>
      <c r="Q668" s="3">
        <v>59</v>
      </c>
      <c r="R668" s="3">
        <v>28</v>
      </c>
      <c r="AI668" s="23"/>
      <c r="AN668" s="23"/>
    </row>
    <row r="669" spans="1:50" s="71" customFormat="1" ht="17" x14ac:dyDescent="0.2">
      <c r="A669" s="70" t="s">
        <v>281</v>
      </c>
      <c r="B669" s="70" t="s">
        <v>79</v>
      </c>
      <c r="C669" s="84" t="s">
        <v>287</v>
      </c>
      <c r="D669" s="71" t="s">
        <v>56</v>
      </c>
      <c r="E669" s="71" t="s">
        <v>42</v>
      </c>
      <c r="F669" s="71" t="s">
        <v>784</v>
      </c>
      <c r="H669" s="71" t="s">
        <v>286</v>
      </c>
      <c r="I669" s="87"/>
      <c r="J669" s="72">
        <f t="shared" ref="J669" si="188">AVERAGE(J667:J668)</f>
        <v>93.65</v>
      </c>
      <c r="K669" s="72">
        <f>AVERAGE(K667:K668)</f>
        <v>0.65</v>
      </c>
      <c r="L669" s="72">
        <f>AVERAGE(L667:L668)</f>
        <v>59.5</v>
      </c>
      <c r="M669" s="72">
        <f>AVERAGE(M667:M668)</f>
        <v>0.7</v>
      </c>
      <c r="N669" s="72">
        <f>AVERAGE(N667:N668)</f>
        <v>24</v>
      </c>
      <c r="O669" s="72"/>
      <c r="P669" s="72">
        <f>AVERAGE(P667:P668)</f>
        <v>0</v>
      </c>
      <c r="Q669" s="72">
        <f>AVERAGE(Q667:Q668)</f>
        <v>59</v>
      </c>
      <c r="R669" s="72">
        <f>AVERAGE(R667:R668)</f>
        <v>28</v>
      </c>
      <c r="S669" s="72"/>
      <c r="T669" s="72"/>
      <c r="U669" s="72"/>
      <c r="V669" s="72"/>
      <c r="W669" s="72"/>
      <c r="X669" s="72"/>
      <c r="Y669" s="72"/>
      <c r="Z669" s="72"/>
      <c r="AA669" s="72"/>
      <c r="AB669" s="72"/>
      <c r="AC669" s="73"/>
      <c r="AD669" s="73"/>
      <c r="AE669" s="73"/>
      <c r="AF669" s="73"/>
      <c r="AG669" s="73"/>
      <c r="AH669" s="73"/>
      <c r="AI669" s="73"/>
      <c r="AJ669" s="73"/>
      <c r="AK669" s="73"/>
      <c r="AL669" s="73"/>
      <c r="AM669" s="73"/>
      <c r="AN669" s="73"/>
      <c r="AO669" s="73"/>
      <c r="AP669" s="73"/>
      <c r="AQ669" s="73"/>
      <c r="AR669" s="73"/>
      <c r="AS669" s="73"/>
      <c r="AT669" s="73"/>
      <c r="AU669" s="73"/>
      <c r="AV669" s="73"/>
      <c r="AW669" s="73"/>
      <c r="AX669" s="73"/>
    </row>
    <row r="670" spans="1:50" ht="17" x14ac:dyDescent="0.2">
      <c r="A670" s="24" t="s">
        <v>281</v>
      </c>
      <c r="B670" s="24" t="s">
        <v>79</v>
      </c>
      <c r="C670" s="32" t="s">
        <v>0</v>
      </c>
      <c r="H670" s="2" t="s">
        <v>27</v>
      </c>
      <c r="I670" s="243" t="s">
        <v>1007</v>
      </c>
      <c r="J670" s="3">
        <v>94.6</v>
      </c>
      <c r="K670" s="3">
        <v>1.1000000000000001</v>
      </c>
      <c r="L670" s="3">
        <v>15</v>
      </c>
      <c r="M670" s="3">
        <v>0.35</v>
      </c>
      <c r="N670" s="3">
        <v>17</v>
      </c>
      <c r="O670" s="3">
        <v>0.28999999999999998</v>
      </c>
      <c r="P670" s="4">
        <f t="shared" si="177"/>
        <v>0</v>
      </c>
      <c r="Q670" s="3">
        <v>29</v>
      </c>
      <c r="R670" s="3">
        <v>17</v>
      </c>
      <c r="S670" s="3">
        <v>0.12</v>
      </c>
      <c r="AI670" s="23"/>
      <c r="AN670" s="23"/>
    </row>
    <row r="671" spans="1:50" ht="17" x14ac:dyDescent="0.2">
      <c r="A671" s="24" t="s">
        <v>281</v>
      </c>
      <c r="B671" s="24" t="s">
        <v>79</v>
      </c>
      <c r="C671" s="32" t="s">
        <v>0</v>
      </c>
      <c r="H671" s="2" t="s">
        <v>27</v>
      </c>
      <c r="I671" s="243" t="s">
        <v>1007</v>
      </c>
      <c r="J671" s="3">
        <v>94.3</v>
      </c>
      <c r="K671" s="3">
        <v>1</v>
      </c>
      <c r="L671" s="3">
        <v>21</v>
      </c>
      <c r="M671" s="3">
        <v>0.44</v>
      </c>
      <c r="N671" s="3">
        <v>20</v>
      </c>
      <c r="O671" s="3">
        <v>0.28999999999999998</v>
      </c>
      <c r="P671" s="4">
        <f t="shared" si="177"/>
        <v>0</v>
      </c>
      <c r="Q671" s="3">
        <v>19</v>
      </c>
      <c r="R671" s="3">
        <v>19.3</v>
      </c>
      <c r="S671" s="3">
        <v>0.13</v>
      </c>
      <c r="AI671" s="23"/>
      <c r="AN671" s="23"/>
    </row>
    <row r="672" spans="1:50" s="71" customFormat="1" ht="15" customHeight="1" x14ac:dyDescent="0.2">
      <c r="A672" s="70" t="s">
        <v>291</v>
      </c>
      <c r="B672" s="70" t="s">
        <v>79</v>
      </c>
      <c r="C672" s="71" t="s">
        <v>290</v>
      </c>
      <c r="D672" s="71" t="s">
        <v>56</v>
      </c>
      <c r="E672" s="71" t="s">
        <v>42</v>
      </c>
      <c r="F672" s="71" t="s">
        <v>784</v>
      </c>
      <c r="H672" s="71" t="s">
        <v>27</v>
      </c>
      <c r="I672" s="87"/>
      <c r="J672" s="72">
        <f t="shared" ref="J672" si="189">AVERAGE(J670:J671)</f>
        <v>94.449999999999989</v>
      </c>
      <c r="K672" s="72">
        <f t="shared" ref="K672:S672" si="190">AVERAGE(K670:K671)</f>
        <v>1.05</v>
      </c>
      <c r="L672" s="72">
        <f t="shared" si="190"/>
        <v>18</v>
      </c>
      <c r="M672" s="72">
        <f t="shared" si="190"/>
        <v>0.39500000000000002</v>
      </c>
      <c r="N672" s="72">
        <f t="shared" si="190"/>
        <v>18.5</v>
      </c>
      <c r="O672" s="72">
        <f t="shared" si="190"/>
        <v>0.28999999999999998</v>
      </c>
      <c r="P672" s="72">
        <f t="shared" si="190"/>
        <v>0</v>
      </c>
      <c r="Q672" s="72">
        <f t="shared" si="190"/>
        <v>24</v>
      </c>
      <c r="R672" s="72">
        <f t="shared" si="190"/>
        <v>18.149999999999999</v>
      </c>
      <c r="S672" s="72">
        <f t="shared" si="190"/>
        <v>0.125</v>
      </c>
      <c r="T672" s="72"/>
      <c r="U672" s="72"/>
      <c r="V672" s="72"/>
      <c r="W672" s="72"/>
      <c r="X672" s="72"/>
      <c r="Y672" s="72"/>
      <c r="Z672" s="72"/>
      <c r="AA672" s="72"/>
      <c r="AB672" s="72"/>
      <c r="AC672" s="73"/>
      <c r="AD672" s="73"/>
      <c r="AE672" s="73"/>
      <c r="AF672" s="73"/>
      <c r="AG672" s="73"/>
      <c r="AH672" s="73"/>
      <c r="AI672" s="73"/>
      <c r="AJ672" s="73"/>
      <c r="AK672" s="73"/>
      <c r="AL672" s="73"/>
      <c r="AM672" s="73"/>
      <c r="AN672" s="73"/>
      <c r="AO672" s="73"/>
      <c r="AP672" s="73"/>
      <c r="AQ672" s="73"/>
      <c r="AR672" s="73"/>
      <c r="AS672" s="73"/>
      <c r="AT672" s="73"/>
      <c r="AU672" s="73"/>
      <c r="AV672" s="73"/>
      <c r="AW672" s="73"/>
      <c r="AX672" s="73"/>
    </row>
    <row r="673" spans="1:50" s="22" customFormat="1" ht="34" x14ac:dyDescent="0.2">
      <c r="A673" s="21" t="s">
        <v>281</v>
      </c>
      <c r="B673" s="21" t="s">
        <v>130</v>
      </c>
      <c r="C673" s="27" t="s">
        <v>0</v>
      </c>
      <c r="D673" s="2"/>
      <c r="E673" s="2"/>
      <c r="H673" s="22" t="s">
        <v>28</v>
      </c>
      <c r="I673" s="65" t="s">
        <v>1010</v>
      </c>
      <c r="J673" s="4">
        <v>88.8</v>
      </c>
      <c r="K673" s="4">
        <v>1.32</v>
      </c>
      <c r="L673" s="4">
        <v>25</v>
      </c>
      <c r="M673" s="4">
        <v>0.7</v>
      </c>
      <c r="N673" s="4">
        <v>22</v>
      </c>
      <c r="O673" s="4"/>
      <c r="P673" s="4">
        <f t="shared" si="177"/>
        <v>0</v>
      </c>
      <c r="Q673" s="4"/>
      <c r="R673" s="4">
        <v>10</v>
      </c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23"/>
      <c r="AD673" s="23"/>
      <c r="AE673" s="23"/>
      <c r="AF673" s="23"/>
      <c r="AG673" s="23"/>
      <c r="AH673" s="23"/>
      <c r="AI673" s="23"/>
      <c r="AJ673" s="23"/>
      <c r="AK673" s="23"/>
      <c r="AL673" s="23"/>
      <c r="AM673" s="23"/>
      <c r="AN673" s="23"/>
      <c r="AO673" s="23"/>
      <c r="AP673" s="23"/>
      <c r="AQ673" s="23"/>
      <c r="AR673" s="23"/>
      <c r="AS673" s="23"/>
      <c r="AT673" s="23"/>
      <c r="AU673" s="23"/>
      <c r="AV673" s="23"/>
      <c r="AW673" s="23"/>
      <c r="AX673" s="23"/>
    </row>
    <row r="674" spans="1:50" s="71" customFormat="1" ht="15" customHeight="1" x14ac:dyDescent="0.2">
      <c r="A674" s="70" t="s">
        <v>281</v>
      </c>
      <c r="B674" s="70" t="s">
        <v>130</v>
      </c>
      <c r="C674" s="84" t="s">
        <v>287</v>
      </c>
      <c r="D674" s="71" t="s">
        <v>56</v>
      </c>
      <c r="E674" s="71" t="s">
        <v>42</v>
      </c>
      <c r="F674" s="71" t="s">
        <v>784</v>
      </c>
      <c r="H674" s="71" t="s">
        <v>28</v>
      </c>
      <c r="I674" s="87"/>
      <c r="J674" s="72">
        <f t="shared" ref="J674" si="191">J673</f>
        <v>88.8</v>
      </c>
      <c r="K674" s="72">
        <f>K673</f>
        <v>1.32</v>
      </c>
      <c r="L674" s="72">
        <f>L673</f>
        <v>25</v>
      </c>
      <c r="M674" s="72">
        <f>M673</f>
        <v>0.7</v>
      </c>
      <c r="N674" s="72">
        <f>N673</f>
        <v>22</v>
      </c>
      <c r="O674" s="72"/>
      <c r="P674" s="72">
        <f>P673</f>
        <v>0</v>
      </c>
      <c r="Q674" s="72"/>
      <c r="R674" s="72">
        <f>R673</f>
        <v>10</v>
      </c>
      <c r="S674" s="72"/>
      <c r="T674" s="72"/>
      <c r="U674" s="72"/>
      <c r="V674" s="72"/>
      <c r="W674" s="72"/>
      <c r="X674" s="72"/>
      <c r="Y674" s="72"/>
      <c r="Z674" s="72"/>
      <c r="AA674" s="72"/>
      <c r="AB674" s="72"/>
      <c r="AC674" s="73"/>
      <c r="AD674" s="73"/>
      <c r="AE674" s="73"/>
      <c r="AF674" s="73"/>
      <c r="AG674" s="73"/>
      <c r="AH674" s="73"/>
      <c r="AI674" s="73"/>
      <c r="AJ674" s="73"/>
      <c r="AK674" s="73"/>
      <c r="AL674" s="73"/>
      <c r="AM674" s="73"/>
      <c r="AN674" s="73"/>
      <c r="AO674" s="73"/>
      <c r="AP674" s="73"/>
      <c r="AQ674" s="73"/>
      <c r="AR674" s="73"/>
      <c r="AS674" s="73"/>
      <c r="AT674" s="73"/>
      <c r="AU674" s="73"/>
      <c r="AV674" s="73"/>
      <c r="AW674" s="73"/>
      <c r="AX674" s="73"/>
    </row>
    <row r="675" spans="1:50" ht="34" x14ac:dyDescent="0.2">
      <c r="A675" s="24" t="s">
        <v>281</v>
      </c>
      <c r="B675" s="24" t="s">
        <v>130</v>
      </c>
      <c r="H675" s="2" t="s">
        <v>33</v>
      </c>
      <c r="I675" s="243" t="s">
        <v>1010</v>
      </c>
      <c r="J675" s="3">
        <v>88</v>
      </c>
      <c r="K675" s="3">
        <v>1.8</v>
      </c>
      <c r="L675" s="3">
        <v>303</v>
      </c>
      <c r="M675" s="3">
        <v>1.5</v>
      </c>
      <c r="N675" s="3">
        <v>38</v>
      </c>
      <c r="P675" s="4">
        <f t="shared" si="177"/>
        <v>0</v>
      </c>
      <c r="R675" s="3">
        <v>45</v>
      </c>
      <c r="AI675" s="23"/>
      <c r="AN675" s="23"/>
    </row>
    <row r="676" spans="1:50" ht="17" x14ac:dyDescent="0.2">
      <c r="A676" s="24" t="s">
        <v>281</v>
      </c>
      <c r="B676" s="24" t="s">
        <v>79</v>
      </c>
      <c r="C676" s="32" t="s">
        <v>0</v>
      </c>
      <c r="H676" s="2" t="s">
        <v>33</v>
      </c>
      <c r="I676" s="243" t="s">
        <v>1007</v>
      </c>
      <c r="J676" s="3">
        <v>92.9</v>
      </c>
      <c r="L676" s="3">
        <v>39</v>
      </c>
      <c r="M676" s="3">
        <v>2.2000000000000002</v>
      </c>
      <c r="N676" s="3">
        <v>38</v>
      </c>
      <c r="O676" s="3">
        <v>0.2</v>
      </c>
      <c r="P676" s="4">
        <f t="shared" si="177"/>
        <v>0</v>
      </c>
      <c r="Q676" s="3">
        <v>36</v>
      </c>
      <c r="R676" s="3">
        <v>11</v>
      </c>
      <c r="AI676" s="23"/>
      <c r="AN676" s="23"/>
    </row>
    <row r="677" spans="1:50" s="71" customFormat="1" ht="15" customHeight="1" x14ac:dyDescent="0.2">
      <c r="A677" s="70" t="s">
        <v>281</v>
      </c>
      <c r="B677" s="70" t="s">
        <v>79</v>
      </c>
      <c r="C677" s="84" t="s">
        <v>287</v>
      </c>
      <c r="D677" s="71" t="s">
        <v>56</v>
      </c>
      <c r="E677" s="71" t="s">
        <v>42</v>
      </c>
      <c r="F677" s="71" t="s">
        <v>784</v>
      </c>
      <c r="H677" s="71" t="s">
        <v>33</v>
      </c>
      <c r="I677" s="87"/>
      <c r="J677" s="72">
        <f t="shared" ref="J677" si="192">AVERAGE(J675:J676)</f>
        <v>90.45</v>
      </c>
      <c r="K677" s="72">
        <f t="shared" ref="K677:R677" si="193">AVERAGE(K675:K676)</f>
        <v>1.8</v>
      </c>
      <c r="L677" s="72">
        <f t="shared" si="193"/>
        <v>171</v>
      </c>
      <c r="M677" s="72">
        <f t="shared" si="193"/>
        <v>1.85</v>
      </c>
      <c r="N677" s="72">
        <f t="shared" si="193"/>
        <v>38</v>
      </c>
      <c r="O677" s="72">
        <f t="shared" si="193"/>
        <v>0.2</v>
      </c>
      <c r="P677" s="72">
        <f t="shared" si="193"/>
        <v>0</v>
      </c>
      <c r="Q677" s="72">
        <f t="shared" si="193"/>
        <v>36</v>
      </c>
      <c r="R677" s="72">
        <f t="shared" si="193"/>
        <v>28</v>
      </c>
      <c r="S677" s="72"/>
      <c r="T677" s="72"/>
      <c r="U677" s="72"/>
      <c r="V677" s="72"/>
      <c r="W677" s="72"/>
      <c r="X677" s="72"/>
      <c r="Y677" s="72"/>
      <c r="Z677" s="72"/>
      <c r="AA677" s="72"/>
      <c r="AB677" s="72"/>
      <c r="AC677" s="73"/>
      <c r="AD677" s="73"/>
      <c r="AE677" s="73"/>
      <c r="AF677" s="73"/>
      <c r="AG677" s="73"/>
      <c r="AH677" s="73"/>
      <c r="AI677" s="73"/>
      <c r="AJ677" s="73"/>
      <c r="AK677" s="73"/>
      <c r="AL677" s="73"/>
      <c r="AM677" s="73"/>
      <c r="AN677" s="73"/>
      <c r="AO677" s="73"/>
      <c r="AP677" s="73"/>
      <c r="AQ677" s="73"/>
      <c r="AR677" s="73"/>
      <c r="AS677" s="73"/>
      <c r="AT677" s="73"/>
      <c r="AU677" s="73"/>
      <c r="AV677" s="73"/>
      <c r="AW677" s="73"/>
      <c r="AX677" s="73"/>
    </row>
    <row r="678" spans="1:50" ht="34" x14ac:dyDescent="0.2">
      <c r="A678" s="21" t="s">
        <v>292</v>
      </c>
      <c r="B678" s="21" t="s">
        <v>293</v>
      </c>
      <c r="F678" s="41"/>
      <c r="G678" s="41"/>
      <c r="H678" s="22" t="s">
        <v>27</v>
      </c>
      <c r="I678" s="65" t="s">
        <v>1009</v>
      </c>
      <c r="K678" s="4">
        <v>1.59</v>
      </c>
      <c r="L678" s="4">
        <v>116</v>
      </c>
      <c r="M678" s="4">
        <v>2.81</v>
      </c>
      <c r="O678" s="4">
        <v>0.65</v>
      </c>
      <c r="P678" s="4">
        <f t="shared" si="177"/>
        <v>0</v>
      </c>
      <c r="Q678" s="4">
        <v>116</v>
      </c>
      <c r="R678" s="4">
        <v>55</v>
      </c>
      <c r="S678" s="4">
        <v>1.05</v>
      </c>
      <c r="T678" s="4"/>
      <c r="U678" s="4"/>
      <c r="AN678" s="23"/>
    </row>
    <row r="679" spans="1:50" ht="34" x14ac:dyDescent="0.2">
      <c r="A679" s="24" t="s">
        <v>292</v>
      </c>
      <c r="B679" s="24" t="s">
        <v>293</v>
      </c>
      <c r="F679" s="41"/>
      <c r="G679" s="41"/>
      <c r="H679" s="22" t="s">
        <v>27</v>
      </c>
      <c r="I679" s="243" t="s">
        <v>1010</v>
      </c>
      <c r="J679" s="3">
        <v>81</v>
      </c>
      <c r="P679" s="4">
        <f t="shared" si="177"/>
        <v>0</v>
      </c>
      <c r="R679" s="3">
        <v>47</v>
      </c>
      <c r="AI679" s="23"/>
      <c r="AN679" s="23"/>
    </row>
    <row r="680" spans="1:50" s="71" customFormat="1" ht="15" customHeight="1" x14ac:dyDescent="0.2">
      <c r="A680" s="70" t="s">
        <v>292</v>
      </c>
      <c r="B680" s="70" t="s">
        <v>293</v>
      </c>
      <c r="C680" s="71" t="s">
        <v>294</v>
      </c>
      <c r="D680" s="71" t="s">
        <v>56</v>
      </c>
      <c r="E680" s="71" t="s">
        <v>42</v>
      </c>
      <c r="F680" s="71" t="s">
        <v>784</v>
      </c>
      <c r="H680" s="71" t="s">
        <v>27</v>
      </c>
      <c r="I680" s="87"/>
      <c r="J680" s="72">
        <f>AVERAGE(J678:J679)</f>
        <v>81</v>
      </c>
      <c r="K680" s="72">
        <f>AVERAGE(K678:K679)</f>
        <v>1.59</v>
      </c>
      <c r="L680" s="72">
        <f>AVERAGE(L678:L679)</f>
        <v>116</v>
      </c>
      <c r="M680" s="72">
        <f>AVERAGE(M678:M679)</f>
        <v>2.81</v>
      </c>
      <c r="N680" s="72"/>
      <c r="O680" s="72">
        <f t="shared" ref="O680:S680" si="194">AVERAGE(O678:O679)</f>
        <v>0.65</v>
      </c>
      <c r="P680" s="72">
        <f t="shared" si="194"/>
        <v>0</v>
      </c>
      <c r="Q680" s="72">
        <f t="shared" si="194"/>
        <v>116</v>
      </c>
      <c r="R680" s="72">
        <f t="shared" si="194"/>
        <v>51</v>
      </c>
      <c r="S680" s="72">
        <f t="shared" si="194"/>
        <v>1.05</v>
      </c>
      <c r="T680" s="72"/>
      <c r="U680" s="72"/>
      <c r="V680" s="72"/>
      <c r="W680" s="72"/>
      <c r="X680" s="72"/>
      <c r="Y680" s="72"/>
      <c r="Z680" s="72"/>
      <c r="AA680" s="72"/>
      <c r="AB680" s="72"/>
      <c r="AC680" s="73"/>
      <c r="AD680" s="73"/>
      <c r="AE680" s="73"/>
      <c r="AF680" s="73"/>
      <c r="AG680" s="73"/>
      <c r="AH680" s="73"/>
      <c r="AI680" s="73"/>
      <c r="AJ680" s="73"/>
      <c r="AK680" s="73"/>
      <c r="AL680" s="73"/>
      <c r="AM680" s="73"/>
      <c r="AN680" s="73"/>
      <c r="AO680" s="73"/>
      <c r="AP680" s="73"/>
      <c r="AQ680" s="73"/>
      <c r="AR680" s="73"/>
      <c r="AS680" s="73"/>
      <c r="AT680" s="73"/>
      <c r="AU680" s="73"/>
      <c r="AV680" s="73"/>
      <c r="AW680" s="73"/>
      <c r="AX680" s="73"/>
    </row>
    <row r="681" spans="1:50" s="22" customFormat="1" ht="34" x14ac:dyDescent="0.2">
      <c r="A681" s="47" t="s">
        <v>295</v>
      </c>
      <c r="B681" s="47" t="s">
        <v>296</v>
      </c>
      <c r="C681" s="28" t="s">
        <v>0</v>
      </c>
      <c r="D681" s="2"/>
      <c r="E681" s="2"/>
      <c r="F681" s="28"/>
      <c r="G681" s="28"/>
      <c r="H681" s="28" t="s">
        <v>27</v>
      </c>
      <c r="I681" s="242" t="s">
        <v>1010</v>
      </c>
      <c r="J681" s="48">
        <v>94.1</v>
      </c>
      <c r="K681" s="48">
        <v>0.7</v>
      </c>
      <c r="L681" s="48">
        <v>14</v>
      </c>
      <c r="M681" s="48">
        <v>0.8</v>
      </c>
      <c r="N681" s="48"/>
      <c r="O681" s="4"/>
      <c r="P681" s="4" t="s">
        <v>0</v>
      </c>
      <c r="Q681" s="48"/>
      <c r="R681" s="48">
        <v>14</v>
      </c>
      <c r="S681" s="4"/>
      <c r="T681" s="48"/>
      <c r="U681" s="48"/>
      <c r="V681" s="48"/>
      <c r="W681" s="48"/>
      <c r="X681" s="48"/>
      <c r="Y681" s="48"/>
      <c r="Z681" s="48"/>
      <c r="AA681" s="48"/>
      <c r="AB681" s="48"/>
      <c r="AC681" s="23"/>
      <c r="AD681" s="23"/>
      <c r="AE681" s="23"/>
      <c r="AF681" s="23"/>
      <c r="AG681" s="23"/>
      <c r="AH681" s="23"/>
      <c r="AI681" s="23"/>
      <c r="AJ681" s="23"/>
      <c r="AK681" s="23"/>
      <c r="AL681" s="23"/>
      <c r="AM681" s="23"/>
      <c r="AN681" s="23"/>
      <c r="AO681" s="23"/>
      <c r="AP681" s="23"/>
      <c r="AQ681" s="23"/>
      <c r="AR681" s="23"/>
      <c r="AS681" s="23"/>
      <c r="AT681" s="23"/>
      <c r="AU681" s="23"/>
      <c r="AV681" s="23"/>
      <c r="AW681" s="23"/>
      <c r="AX681" s="23"/>
    </row>
    <row r="682" spans="1:50" s="71" customFormat="1" ht="15" customHeight="1" x14ac:dyDescent="0.2">
      <c r="A682" s="82" t="s">
        <v>295</v>
      </c>
      <c r="B682" s="82" t="s">
        <v>296</v>
      </c>
      <c r="C682" s="79" t="s">
        <v>297</v>
      </c>
      <c r="D682" s="71" t="s">
        <v>56</v>
      </c>
      <c r="E682" s="79" t="s">
        <v>42</v>
      </c>
      <c r="F682" s="71" t="s">
        <v>784</v>
      </c>
      <c r="G682" s="79"/>
      <c r="H682" s="79" t="s">
        <v>27</v>
      </c>
      <c r="I682" s="87"/>
      <c r="J682" s="72">
        <f t="shared" ref="J682" si="195">J681</f>
        <v>94.1</v>
      </c>
      <c r="K682" s="72">
        <f>K681</f>
        <v>0.7</v>
      </c>
      <c r="L682" s="72">
        <f>L681</f>
        <v>14</v>
      </c>
      <c r="M682" s="72">
        <f>M681</f>
        <v>0.8</v>
      </c>
      <c r="N682" s="72"/>
      <c r="O682" s="72"/>
      <c r="P682" s="72"/>
      <c r="Q682" s="72"/>
      <c r="R682" s="72">
        <f>R681</f>
        <v>14</v>
      </c>
      <c r="S682" s="72"/>
      <c r="T682" s="72"/>
      <c r="U682" s="72"/>
      <c r="V682" s="72"/>
      <c r="W682" s="72"/>
      <c r="X682" s="72"/>
      <c r="Y682" s="72"/>
      <c r="Z682" s="72"/>
      <c r="AA682" s="72"/>
      <c r="AB682" s="72"/>
      <c r="AC682" s="73"/>
      <c r="AD682" s="73"/>
      <c r="AE682" s="73"/>
      <c r="AF682" s="73"/>
      <c r="AG682" s="73"/>
      <c r="AH682" s="73"/>
      <c r="AI682" s="73"/>
      <c r="AJ682" s="73"/>
      <c r="AK682" s="73"/>
      <c r="AL682" s="73"/>
      <c r="AM682" s="73"/>
      <c r="AN682" s="73"/>
      <c r="AO682" s="73"/>
      <c r="AP682" s="73"/>
      <c r="AQ682" s="73"/>
      <c r="AR682" s="73"/>
      <c r="AS682" s="73"/>
      <c r="AT682" s="73"/>
      <c r="AU682" s="73"/>
      <c r="AV682" s="73"/>
      <c r="AW682" s="73"/>
      <c r="AX682" s="73"/>
    </row>
    <row r="683" spans="1:50" ht="17" x14ac:dyDescent="0.2">
      <c r="A683" s="24" t="s">
        <v>298</v>
      </c>
      <c r="B683" s="24" t="s">
        <v>299</v>
      </c>
      <c r="C683" s="32" t="s">
        <v>0</v>
      </c>
      <c r="H683" s="2" t="s">
        <v>91</v>
      </c>
      <c r="I683" s="243" t="s">
        <v>1007</v>
      </c>
      <c r="J683" s="3">
        <v>94</v>
      </c>
      <c r="K683" s="3">
        <v>1.6</v>
      </c>
      <c r="L683" s="3">
        <v>70</v>
      </c>
      <c r="M683" s="3">
        <v>0.7</v>
      </c>
      <c r="N683" s="3">
        <v>42</v>
      </c>
      <c r="O683" s="3">
        <v>0.17</v>
      </c>
      <c r="P683" s="4">
        <f t="shared" ref="P683:P685" si="196">AN683</f>
        <v>0</v>
      </c>
      <c r="Q683" s="3">
        <v>68</v>
      </c>
      <c r="R683" s="3">
        <v>2</v>
      </c>
      <c r="AI683" s="23"/>
      <c r="AN683" s="23"/>
    </row>
    <row r="684" spans="1:50" ht="34" x14ac:dyDescent="0.2">
      <c r="A684" s="24" t="s">
        <v>298</v>
      </c>
      <c r="B684" s="24" t="s">
        <v>299</v>
      </c>
      <c r="H684" s="2" t="s">
        <v>91</v>
      </c>
      <c r="I684" s="243" t="s">
        <v>1010</v>
      </c>
      <c r="J684" s="3">
        <v>94</v>
      </c>
      <c r="L684" s="3">
        <v>23</v>
      </c>
      <c r="N684" s="3">
        <v>0.7</v>
      </c>
      <c r="P684" s="4">
        <f t="shared" si="196"/>
        <v>0</v>
      </c>
      <c r="R684" s="3">
        <v>2</v>
      </c>
      <c r="AI684" s="23"/>
      <c r="AN684" s="23"/>
    </row>
    <row r="685" spans="1:50" ht="17" x14ac:dyDescent="0.2">
      <c r="A685" s="31" t="s">
        <v>300</v>
      </c>
      <c r="B685" s="31" t="s">
        <v>299</v>
      </c>
      <c r="C685" s="1"/>
      <c r="H685" s="2" t="s">
        <v>91</v>
      </c>
      <c r="I685" s="243" t="s">
        <v>1006</v>
      </c>
      <c r="J685" s="3">
        <v>94</v>
      </c>
      <c r="K685" s="3">
        <v>0.99820000000000098</v>
      </c>
      <c r="L685" s="3">
        <v>113.99940000000011</v>
      </c>
      <c r="M685" s="3">
        <v>1.5004000000000013</v>
      </c>
      <c r="P685" s="4">
        <f t="shared" si="196"/>
        <v>0</v>
      </c>
      <c r="R685" s="3">
        <v>0.99820000000000098</v>
      </c>
      <c r="AE685" s="23"/>
      <c r="AI685" s="23"/>
      <c r="AN685" s="23"/>
    </row>
    <row r="686" spans="1:50" s="71" customFormat="1" ht="15" customHeight="1" x14ac:dyDescent="0.2">
      <c r="A686" s="77" t="s">
        <v>300</v>
      </c>
      <c r="B686" s="77" t="s">
        <v>299</v>
      </c>
      <c r="C686" s="71" t="s">
        <v>301</v>
      </c>
      <c r="D686" s="71" t="s">
        <v>25</v>
      </c>
      <c r="E686" s="71" t="s">
        <v>46</v>
      </c>
      <c r="F686" s="71" t="s">
        <v>782</v>
      </c>
      <c r="H686" s="71" t="s">
        <v>91</v>
      </c>
      <c r="I686" s="87"/>
      <c r="J686" s="72">
        <f t="shared" ref="J686" si="197">AVERAGEIF(J683:J685, "&lt;&gt;0")</f>
        <v>94</v>
      </c>
      <c r="K686" s="72">
        <f t="shared" ref="K686:R686" si="198">AVERAGEIF(K683:K685, "&lt;&gt;0")</f>
        <v>1.2991000000000006</v>
      </c>
      <c r="L686" s="72">
        <f t="shared" si="198"/>
        <v>68.999800000000036</v>
      </c>
      <c r="M686" s="72">
        <f t="shared" si="198"/>
        <v>1.1002000000000005</v>
      </c>
      <c r="N686" s="72">
        <f t="shared" si="198"/>
        <v>21.35</v>
      </c>
      <c r="O686" s="72">
        <f t="shared" si="198"/>
        <v>0.17</v>
      </c>
      <c r="P686" s="72">
        <f>AVERAGE(P683:P685)</f>
        <v>0</v>
      </c>
      <c r="Q686" s="72">
        <f t="shared" si="198"/>
        <v>68</v>
      </c>
      <c r="R686" s="72">
        <f t="shared" si="198"/>
        <v>1.6660666666666668</v>
      </c>
      <c r="S686" s="72"/>
      <c r="T686" s="72"/>
      <c r="U686" s="72"/>
      <c r="V686" s="72"/>
      <c r="W686" s="72"/>
      <c r="X686" s="72"/>
      <c r="Y686" s="72"/>
      <c r="Z686" s="72"/>
      <c r="AA686" s="72"/>
      <c r="AB686" s="72"/>
      <c r="AC686" s="73"/>
      <c r="AD686" s="73"/>
      <c r="AE686" s="73"/>
      <c r="AF686" s="73"/>
      <c r="AG686" s="73"/>
      <c r="AH686" s="73"/>
      <c r="AI686" s="73"/>
      <c r="AJ686" s="73"/>
      <c r="AK686" s="73"/>
      <c r="AL686" s="73"/>
      <c r="AM686" s="73"/>
      <c r="AN686" s="73"/>
      <c r="AO686" s="73"/>
      <c r="AP686" s="73"/>
      <c r="AQ686" s="73"/>
      <c r="AR686" s="73"/>
      <c r="AS686" s="73"/>
      <c r="AT686" s="73"/>
      <c r="AU686" s="73"/>
      <c r="AV686" s="73"/>
      <c r="AW686" s="73"/>
      <c r="AX686" s="73"/>
    </row>
    <row r="687" spans="1:50" ht="17" x14ac:dyDescent="0.2">
      <c r="A687" s="24" t="s">
        <v>298</v>
      </c>
      <c r="B687" s="24" t="s">
        <v>302</v>
      </c>
      <c r="C687" s="32" t="s">
        <v>0</v>
      </c>
      <c r="H687" s="2" t="s">
        <v>166</v>
      </c>
      <c r="I687" s="243" t="s">
        <v>1007</v>
      </c>
      <c r="J687" s="3">
        <v>84.9</v>
      </c>
      <c r="K687" s="3">
        <v>5.4</v>
      </c>
      <c r="L687" s="3">
        <v>44</v>
      </c>
      <c r="M687" s="3">
        <v>1.28</v>
      </c>
      <c r="N687" s="3">
        <v>60</v>
      </c>
      <c r="O687" s="3">
        <v>0.49</v>
      </c>
      <c r="P687" s="4" t="s">
        <v>0</v>
      </c>
      <c r="Q687" s="3">
        <v>68</v>
      </c>
      <c r="R687" s="3">
        <v>11.7</v>
      </c>
      <c r="S687" s="3">
        <v>0.19</v>
      </c>
    </row>
    <row r="688" spans="1:50" ht="34" x14ac:dyDescent="0.2">
      <c r="A688" s="24" t="s">
        <v>298</v>
      </c>
      <c r="B688" s="24" t="s">
        <v>302</v>
      </c>
      <c r="H688" s="2" t="s">
        <v>166</v>
      </c>
      <c r="I688" s="243" t="s">
        <v>1010</v>
      </c>
      <c r="J688" s="3">
        <v>85.7</v>
      </c>
      <c r="K688" s="3">
        <v>2</v>
      </c>
      <c r="L688" s="3">
        <v>50</v>
      </c>
      <c r="M688" s="3">
        <v>1.3</v>
      </c>
      <c r="N688" s="3">
        <v>41</v>
      </c>
      <c r="P688" s="4" t="s">
        <v>0</v>
      </c>
      <c r="R688" s="3">
        <v>10</v>
      </c>
    </row>
    <row r="689" spans="1:50" ht="17" x14ac:dyDescent="0.2">
      <c r="A689" s="31" t="s">
        <v>300</v>
      </c>
      <c r="B689" s="31" t="s">
        <v>302</v>
      </c>
      <c r="C689" s="1"/>
      <c r="H689" s="2" t="s">
        <v>166</v>
      </c>
      <c r="I689" s="243" t="s">
        <v>1006</v>
      </c>
      <c r="J689" s="3">
        <v>77</v>
      </c>
      <c r="K689" s="3">
        <v>1.2030999999999998</v>
      </c>
      <c r="L689" s="3">
        <v>119.9922</v>
      </c>
      <c r="M689" s="3">
        <v>2.2926999999999995</v>
      </c>
      <c r="P689" s="4">
        <f t="shared" ref="P689:P692" si="199">AN689</f>
        <v>0</v>
      </c>
      <c r="R689" s="3" t="s">
        <v>55</v>
      </c>
      <c r="AE689" s="23"/>
      <c r="AN689" s="23"/>
    </row>
    <row r="690" spans="1:50" ht="34" x14ac:dyDescent="0.2">
      <c r="A690" s="46" t="s">
        <v>300</v>
      </c>
      <c r="B690" s="46" t="s">
        <v>302</v>
      </c>
      <c r="C690" s="1"/>
      <c r="H690" s="2" t="s">
        <v>166</v>
      </c>
      <c r="I690" s="243" t="s">
        <v>1016</v>
      </c>
      <c r="J690" s="3">
        <v>82.5</v>
      </c>
      <c r="K690" s="3">
        <v>10.8</v>
      </c>
      <c r="L690" s="3">
        <v>53</v>
      </c>
      <c r="M690" s="3">
        <v>1.5</v>
      </c>
      <c r="N690" s="3">
        <v>26</v>
      </c>
      <c r="P690" s="4">
        <f t="shared" si="199"/>
        <v>0</v>
      </c>
      <c r="R690" s="3">
        <v>7.6</v>
      </c>
      <c r="S690" s="3">
        <v>0.19</v>
      </c>
      <c r="AI690" s="23"/>
      <c r="AN690" s="23"/>
    </row>
    <row r="691" spans="1:50" ht="17" x14ac:dyDescent="0.2">
      <c r="A691" s="46" t="s">
        <v>300</v>
      </c>
      <c r="B691" s="46" t="s">
        <v>302</v>
      </c>
      <c r="C691" s="1"/>
      <c r="H691" s="2" t="s">
        <v>166</v>
      </c>
      <c r="I691" s="243" t="s">
        <v>1006</v>
      </c>
      <c r="J691" s="3">
        <v>77</v>
      </c>
      <c r="K691" s="3">
        <v>3.7968000000000002</v>
      </c>
      <c r="L691" s="3">
        <v>80.003999999999991</v>
      </c>
      <c r="M691" s="36">
        <v>1.9887999999999999</v>
      </c>
      <c r="P691" s="4">
        <f t="shared" si="199"/>
        <v>0</v>
      </c>
      <c r="R691" s="3">
        <v>0</v>
      </c>
      <c r="W691" s="36"/>
      <c r="AE691" s="23"/>
      <c r="AN691" s="23"/>
    </row>
    <row r="692" spans="1:50" ht="17" x14ac:dyDescent="0.2">
      <c r="A692" s="31" t="s">
        <v>300</v>
      </c>
      <c r="B692" s="31" t="s">
        <v>302</v>
      </c>
      <c r="C692" s="1"/>
      <c r="H692" s="2" t="s">
        <v>166</v>
      </c>
      <c r="I692" s="243" t="s">
        <v>1006</v>
      </c>
      <c r="J692" s="3">
        <v>86</v>
      </c>
      <c r="K692" s="3">
        <v>2.4070000000000005</v>
      </c>
      <c r="L692" s="3">
        <v>50.996500000000005</v>
      </c>
      <c r="M692" s="3">
        <v>1.3050000000000002</v>
      </c>
      <c r="P692" s="4">
        <f t="shared" si="199"/>
        <v>0</v>
      </c>
      <c r="R692" s="3">
        <v>12.006</v>
      </c>
      <c r="AE692" s="23"/>
      <c r="AN692" s="23"/>
    </row>
    <row r="693" spans="1:50" ht="17" x14ac:dyDescent="0.2">
      <c r="A693" s="31" t="s">
        <v>300</v>
      </c>
      <c r="B693" s="31" t="s">
        <v>302</v>
      </c>
      <c r="C693" s="1"/>
      <c r="H693" s="2" t="s">
        <v>166</v>
      </c>
      <c r="I693" s="243" t="s">
        <v>1006</v>
      </c>
      <c r="J693" s="3">
        <v>90</v>
      </c>
      <c r="K693" s="3">
        <v>2.1951999999999994</v>
      </c>
      <c r="L693" s="3">
        <v>44.001999999999988</v>
      </c>
      <c r="M693" s="3">
        <v>0.80359999999999976</v>
      </c>
      <c r="P693" s="4" t="s">
        <v>0</v>
      </c>
      <c r="R693" s="3">
        <v>4.9979999999999984</v>
      </c>
    </row>
    <row r="694" spans="1:50" ht="17" x14ac:dyDescent="0.2">
      <c r="A694" s="31" t="s">
        <v>300</v>
      </c>
      <c r="B694" s="31" t="s">
        <v>302</v>
      </c>
      <c r="C694" s="1"/>
      <c r="H694" s="2" t="s">
        <v>166</v>
      </c>
      <c r="I694" s="243" t="s">
        <v>1006</v>
      </c>
      <c r="J694" s="3">
        <v>86</v>
      </c>
      <c r="K694" s="3">
        <v>0.80370000000000008</v>
      </c>
      <c r="L694" s="3">
        <v>63.999900000000004</v>
      </c>
      <c r="M694" s="3">
        <v>0.19740000000000002</v>
      </c>
      <c r="N694" s="36"/>
      <c r="P694" s="4" t="s">
        <v>0</v>
      </c>
      <c r="R694" s="3" t="s">
        <v>55</v>
      </c>
      <c r="X694" s="36"/>
    </row>
    <row r="695" spans="1:50" s="71" customFormat="1" ht="15" customHeight="1" x14ac:dyDescent="0.2">
      <c r="A695" s="70" t="s">
        <v>298</v>
      </c>
      <c r="B695" s="70" t="s">
        <v>302</v>
      </c>
      <c r="C695" s="71" t="s">
        <v>303</v>
      </c>
      <c r="D695" s="71" t="s">
        <v>31</v>
      </c>
      <c r="E695" s="71" t="s">
        <v>46</v>
      </c>
      <c r="F695" s="71" t="s">
        <v>782</v>
      </c>
      <c r="H695" s="71" t="s">
        <v>166</v>
      </c>
      <c r="I695" s="87"/>
      <c r="J695" s="72">
        <f t="shared" ref="J695" si="200">AVERAGE(J687:J694)</f>
        <v>83.637500000000003</v>
      </c>
      <c r="K695" s="72">
        <f t="shared" ref="K695:S695" si="201">AVERAGE(K687:K694)</f>
        <v>3.5757250000000003</v>
      </c>
      <c r="L695" s="72">
        <f t="shared" si="201"/>
        <v>63.249325000000013</v>
      </c>
      <c r="M695" s="72">
        <f t="shared" si="201"/>
        <v>1.3334374999999998</v>
      </c>
      <c r="N695" s="72">
        <f t="shared" si="201"/>
        <v>42.333333333333336</v>
      </c>
      <c r="O695" s="72">
        <f t="shared" si="201"/>
        <v>0.49</v>
      </c>
      <c r="P695" s="72">
        <f t="shared" si="201"/>
        <v>0</v>
      </c>
      <c r="Q695" s="72">
        <f t="shared" si="201"/>
        <v>68</v>
      </c>
      <c r="R695" s="72">
        <f t="shared" si="201"/>
        <v>7.7173333333333325</v>
      </c>
      <c r="S695" s="72">
        <f t="shared" si="201"/>
        <v>0.19</v>
      </c>
      <c r="T695" s="72"/>
      <c r="U695" s="72"/>
      <c r="V695" s="72"/>
      <c r="W695" s="72"/>
      <c r="X695" s="72"/>
      <c r="Y695" s="72"/>
      <c r="Z695" s="72"/>
      <c r="AA695" s="72"/>
      <c r="AB695" s="72"/>
      <c r="AC695" s="73"/>
      <c r="AD695" s="73"/>
      <c r="AE695" s="73"/>
      <c r="AF695" s="73"/>
      <c r="AG695" s="73"/>
      <c r="AH695" s="73"/>
      <c r="AI695" s="73"/>
      <c r="AJ695" s="73"/>
      <c r="AK695" s="73"/>
      <c r="AL695" s="73"/>
      <c r="AM695" s="73"/>
      <c r="AN695" s="73"/>
      <c r="AO695" s="73"/>
      <c r="AP695" s="73"/>
      <c r="AQ695" s="73"/>
      <c r="AR695" s="73"/>
      <c r="AS695" s="73"/>
      <c r="AT695" s="73"/>
      <c r="AU695" s="73"/>
      <c r="AV695" s="73"/>
      <c r="AW695" s="73"/>
      <c r="AX695" s="73"/>
    </row>
    <row r="696" spans="1:50" ht="51" x14ac:dyDescent="0.2">
      <c r="A696" s="24" t="s">
        <v>304</v>
      </c>
      <c r="B696" s="24" t="s">
        <v>305</v>
      </c>
      <c r="H696" s="2" t="s">
        <v>28</v>
      </c>
      <c r="I696" s="243" t="s">
        <v>1014</v>
      </c>
      <c r="J696" s="3">
        <v>85.9</v>
      </c>
      <c r="K696" s="3">
        <v>2.2000000000000002</v>
      </c>
      <c r="L696" s="3">
        <v>13</v>
      </c>
      <c r="M696" s="3">
        <v>0.8</v>
      </c>
      <c r="P696" s="4" t="s">
        <v>0</v>
      </c>
      <c r="R696" s="3">
        <v>17</v>
      </c>
    </row>
    <row r="697" spans="1:50" ht="34" x14ac:dyDescent="0.2">
      <c r="A697" s="24" t="s">
        <v>304</v>
      </c>
      <c r="B697" s="24" t="s">
        <v>305</v>
      </c>
      <c r="H697" s="2" t="s">
        <v>28</v>
      </c>
      <c r="I697" s="243" t="s">
        <v>1016</v>
      </c>
      <c r="J697" s="3">
        <v>86</v>
      </c>
      <c r="L697" s="3">
        <v>12</v>
      </c>
      <c r="M697" s="3">
        <v>0.7</v>
      </c>
      <c r="N697" s="3">
        <v>21</v>
      </c>
      <c r="P697" s="4" t="s">
        <v>0</v>
      </c>
      <c r="R697" s="3">
        <v>24</v>
      </c>
    </row>
    <row r="698" spans="1:50" ht="51" x14ac:dyDescent="0.2">
      <c r="A698" s="24" t="s">
        <v>304</v>
      </c>
      <c r="B698" s="24" t="s">
        <v>305</v>
      </c>
      <c r="H698" s="2" t="s">
        <v>28</v>
      </c>
      <c r="I698" s="243" t="s">
        <v>1028</v>
      </c>
      <c r="J698" s="3">
        <v>85.9</v>
      </c>
      <c r="K698" s="3" t="s">
        <v>0</v>
      </c>
      <c r="L698" s="3">
        <v>9</v>
      </c>
      <c r="M698" s="3">
        <v>0.8</v>
      </c>
      <c r="P698" s="4" t="s">
        <v>0</v>
      </c>
      <c r="R698" s="3">
        <v>29</v>
      </c>
    </row>
    <row r="699" spans="1:50" ht="51" x14ac:dyDescent="0.2">
      <c r="A699" s="24" t="s">
        <v>304</v>
      </c>
      <c r="B699" s="24" t="s">
        <v>305</v>
      </c>
      <c r="H699" s="2" t="s">
        <v>28</v>
      </c>
      <c r="I699" s="243" t="s">
        <v>1027</v>
      </c>
      <c r="J699" s="3">
        <f>100-18.3</f>
        <v>81.7</v>
      </c>
      <c r="L699" s="3">
        <v>26</v>
      </c>
      <c r="M699" s="3">
        <v>0.41</v>
      </c>
      <c r="N699" s="3">
        <v>20</v>
      </c>
      <c r="O699" s="3">
        <v>0.02</v>
      </c>
      <c r="P699" s="4" t="s">
        <v>0</v>
      </c>
    </row>
    <row r="700" spans="1:50" ht="17" x14ac:dyDescent="0.2">
      <c r="A700" s="31" t="s">
        <v>304</v>
      </c>
      <c r="B700" s="31" t="s">
        <v>305</v>
      </c>
      <c r="C700" s="1"/>
      <c r="F700" s="1"/>
      <c r="G700" s="1"/>
      <c r="H700" s="1" t="s">
        <v>28</v>
      </c>
      <c r="I700" s="243" t="s">
        <v>1006</v>
      </c>
      <c r="J700" s="3">
        <v>86</v>
      </c>
      <c r="K700" s="3">
        <v>2.1996000000000002</v>
      </c>
      <c r="L700" s="3">
        <v>13.000200000000001</v>
      </c>
      <c r="M700" s="3">
        <v>0.80370000000000008</v>
      </c>
      <c r="P700" s="4">
        <f t="shared" ref="P700:P703" si="202">AN700</f>
        <v>0</v>
      </c>
      <c r="R700" s="3">
        <v>29.003700000000002</v>
      </c>
      <c r="AE700" s="23"/>
      <c r="AN700" s="23"/>
    </row>
    <row r="701" spans="1:50" ht="17" x14ac:dyDescent="0.2">
      <c r="A701" s="31" t="s">
        <v>304</v>
      </c>
      <c r="B701" s="31" t="s">
        <v>305</v>
      </c>
      <c r="C701" s="1"/>
      <c r="F701" s="1"/>
      <c r="G701" s="1"/>
      <c r="H701" s="1" t="s">
        <v>28</v>
      </c>
      <c r="I701" s="243" t="s">
        <v>1006</v>
      </c>
      <c r="J701" s="3">
        <v>86</v>
      </c>
      <c r="K701" s="3">
        <v>1.5933000000000002</v>
      </c>
      <c r="L701" s="3">
        <v>8.9958000000000009</v>
      </c>
      <c r="M701" s="3">
        <v>0.80370000000000008</v>
      </c>
      <c r="P701" s="4">
        <f t="shared" si="202"/>
        <v>0</v>
      </c>
      <c r="R701" s="3" t="s">
        <v>55</v>
      </c>
      <c r="AE701" s="23"/>
      <c r="AN701" s="23"/>
    </row>
    <row r="702" spans="1:50" ht="34" x14ac:dyDescent="0.2">
      <c r="A702" s="24" t="s">
        <v>304</v>
      </c>
      <c r="B702" s="24" t="s">
        <v>305</v>
      </c>
      <c r="F702" s="1"/>
      <c r="G702" s="1"/>
      <c r="H702" s="1" t="s">
        <v>28</v>
      </c>
      <c r="I702" s="243" t="s">
        <v>1010</v>
      </c>
      <c r="J702" s="3">
        <v>85.5</v>
      </c>
      <c r="K702" s="3">
        <v>2.6</v>
      </c>
      <c r="L702" s="3">
        <v>33</v>
      </c>
      <c r="M702" s="3">
        <v>0.7</v>
      </c>
      <c r="N702" s="36"/>
      <c r="P702" s="4">
        <f t="shared" si="202"/>
        <v>0</v>
      </c>
      <c r="R702" s="3">
        <v>22</v>
      </c>
      <c r="X702" s="36"/>
      <c r="AE702" s="23"/>
      <c r="AI702" s="23"/>
      <c r="AN702" s="23"/>
    </row>
    <row r="703" spans="1:50" ht="17" x14ac:dyDescent="0.2">
      <c r="A703" s="31" t="s">
        <v>304</v>
      </c>
      <c r="B703" s="31" t="s">
        <v>305</v>
      </c>
      <c r="C703" s="1"/>
      <c r="F703" s="1"/>
      <c r="G703" s="1"/>
      <c r="H703" s="1" t="s">
        <v>28</v>
      </c>
      <c r="I703" s="243" t="s">
        <v>1006</v>
      </c>
      <c r="J703" s="3">
        <v>83</v>
      </c>
      <c r="K703" s="3">
        <v>4.2039000000000009</v>
      </c>
      <c r="L703" s="3">
        <v>70.999200000000016</v>
      </c>
      <c r="M703" s="3">
        <v>0.69200000000000017</v>
      </c>
      <c r="P703" s="4">
        <f t="shared" si="202"/>
        <v>0</v>
      </c>
      <c r="R703" s="3">
        <v>20.863800000000005</v>
      </c>
      <c r="AN703" s="23"/>
    </row>
    <row r="704" spans="1:50" s="71" customFormat="1" ht="15" customHeight="1" x14ac:dyDescent="0.2">
      <c r="A704" s="77" t="s">
        <v>304</v>
      </c>
      <c r="B704" s="77" t="s">
        <v>305</v>
      </c>
      <c r="C704" s="71" t="s">
        <v>306</v>
      </c>
      <c r="D704" s="71" t="s">
        <v>31</v>
      </c>
      <c r="E704" s="78" t="s">
        <v>32</v>
      </c>
      <c r="F704" s="78" t="s">
        <v>783</v>
      </c>
      <c r="G704" s="78"/>
      <c r="H704" s="78" t="s">
        <v>28</v>
      </c>
      <c r="I704" s="87"/>
      <c r="J704" s="72">
        <f t="shared" ref="J704" si="203">AVERAGE(J696:J703)</f>
        <v>85</v>
      </c>
      <c r="K704" s="72">
        <f t="shared" ref="K704:P704" si="204">AVERAGE(K696:K703)</f>
        <v>2.5593600000000003</v>
      </c>
      <c r="L704" s="72">
        <f t="shared" si="204"/>
        <v>23.249400000000001</v>
      </c>
      <c r="M704" s="72">
        <f t="shared" si="204"/>
        <v>0.71367500000000006</v>
      </c>
      <c r="N704" s="72">
        <f t="shared" si="204"/>
        <v>20.5</v>
      </c>
      <c r="O704" s="72">
        <f t="shared" si="204"/>
        <v>0.02</v>
      </c>
      <c r="P704" s="72">
        <f t="shared" si="204"/>
        <v>0</v>
      </c>
      <c r="Q704" s="72" t="s">
        <v>0</v>
      </c>
      <c r="R704" s="72">
        <f>AVERAGE(R696:R703)</f>
        <v>23.644583333333333</v>
      </c>
      <c r="S704" s="72" t="s">
        <v>0</v>
      </c>
      <c r="T704" s="72"/>
      <c r="U704" s="72"/>
      <c r="V704" s="72"/>
      <c r="W704" s="72"/>
      <c r="X704" s="72"/>
      <c r="Y704" s="72"/>
      <c r="Z704" s="72"/>
      <c r="AA704" s="72"/>
      <c r="AB704" s="72"/>
      <c r="AC704" s="73"/>
      <c r="AD704" s="73"/>
      <c r="AE704" s="73"/>
      <c r="AF704" s="73"/>
      <c r="AG704" s="73"/>
      <c r="AH704" s="73"/>
      <c r="AI704" s="73"/>
      <c r="AJ704" s="73"/>
      <c r="AK704" s="73"/>
      <c r="AL704" s="73"/>
      <c r="AM704" s="73"/>
      <c r="AN704" s="73"/>
      <c r="AO704" s="73"/>
      <c r="AP704" s="73"/>
      <c r="AQ704" s="73"/>
      <c r="AR704" s="73"/>
      <c r="AS704" s="73"/>
      <c r="AT704" s="73"/>
      <c r="AU704" s="73"/>
      <c r="AV704" s="73"/>
      <c r="AW704" s="73"/>
      <c r="AX704" s="73"/>
    </row>
    <row r="705" spans="1:50" s="22" customFormat="1" ht="34" x14ac:dyDescent="0.2">
      <c r="A705" s="21" t="s">
        <v>307</v>
      </c>
      <c r="B705" s="21" t="s">
        <v>308</v>
      </c>
      <c r="C705" s="22" t="s">
        <v>0</v>
      </c>
      <c r="D705" s="2"/>
      <c r="E705" s="2"/>
      <c r="H705" s="22" t="s">
        <v>33</v>
      </c>
      <c r="I705" s="65" t="s">
        <v>1010</v>
      </c>
      <c r="J705" s="4">
        <v>86</v>
      </c>
      <c r="K705" s="4">
        <v>1.5</v>
      </c>
      <c r="L705" s="4"/>
      <c r="M705" s="4"/>
      <c r="N705" s="4"/>
      <c r="O705" s="4"/>
      <c r="P705" s="4" t="s">
        <v>0</v>
      </c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23"/>
      <c r="AD705" s="23"/>
      <c r="AE705" s="23"/>
      <c r="AF705" s="23"/>
      <c r="AG705" s="23"/>
      <c r="AH705" s="23"/>
      <c r="AI705" s="23"/>
      <c r="AJ705" s="23"/>
      <c r="AK705" s="23"/>
      <c r="AL705" s="23"/>
      <c r="AM705" s="23"/>
      <c r="AN705" s="23"/>
      <c r="AO705" s="23"/>
      <c r="AP705" s="23"/>
      <c r="AQ705" s="23"/>
      <c r="AR705" s="23"/>
      <c r="AS705" s="23"/>
      <c r="AT705" s="23"/>
      <c r="AU705" s="23"/>
      <c r="AV705" s="23"/>
      <c r="AW705" s="23"/>
      <c r="AX705" s="23"/>
    </row>
    <row r="706" spans="1:50" s="71" customFormat="1" ht="15" customHeight="1" x14ac:dyDescent="0.2">
      <c r="A706" s="70" t="s">
        <v>307</v>
      </c>
      <c r="B706" s="70" t="s">
        <v>308</v>
      </c>
      <c r="C706" s="71" t="s">
        <v>68</v>
      </c>
      <c r="D706" s="71" t="s">
        <v>31</v>
      </c>
      <c r="E706" s="71" t="s">
        <v>46</v>
      </c>
      <c r="F706" s="71" t="s">
        <v>782</v>
      </c>
      <c r="H706" s="71" t="s">
        <v>33</v>
      </c>
      <c r="I706" s="87"/>
      <c r="J706" s="72">
        <f>J705</f>
        <v>86</v>
      </c>
      <c r="K706" s="72">
        <f>K705</f>
        <v>1.5</v>
      </c>
      <c r="L706" s="72"/>
      <c r="M706" s="72"/>
      <c r="N706" s="72"/>
      <c r="O706" s="72"/>
      <c r="P706" s="72"/>
      <c r="Q706" s="72"/>
      <c r="R706" s="72"/>
      <c r="S706" s="72"/>
      <c r="T706" s="72"/>
      <c r="U706" s="72"/>
      <c r="V706" s="72"/>
      <c r="W706" s="72"/>
      <c r="X706" s="72"/>
      <c r="Y706" s="72"/>
      <c r="Z706" s="72"/>
      <c r="AA706" s="72"/>
      <c r="AB706" s="72"/>
      <c r="AC706" s="73"/>
      <c r="AD706" s="73"/>
      <c r="AE706" s="73"/>
      <c r="AF706" s="73"/>
      <c r="AG706" s="73"/>
      <c r="AH706" s="73"/>
      <c r="AI706" s="73"/>
      <c r="AJ706" s="73"/>
      <c r="AK706" s="73"/>
      <c r="AL706" s="73"/>
      <c r="AM706" s="73"/>
      <c r="AN706" s="73"/>
      <c r="AO706" s="73"/>
      <c r="AP706" s="73"/>
      <c r="AQ706" s="73"/>
      <c r="AR706" s="73"/>
      <c r="AS706" s="73"/>
      <c r="AT706" s="73"/>
      <c r="AU706" s="73"/>
      <c r="AV706" s="73"/>
      <c r="AW706" s="73"/>
      <c r="AX706" s="73"/>
    </row>
    <row r="707" spans="1:50" s="22" customFormat="1" ht="17" x14ac:dyDescent="0.2">
      <c r="A707" s="25" t="s">
        <v>309</v>
      </c>
      <c r="B707" s="25" t="s">
        <v>310</v>
      </c>
      <c r="C707" s="26" t="s">
        <v>0</v>
      </c>
      <c r="D707" s="2"/>
      <c r="E707" s="2"/>
      <c r="F707" s="26"/>
      <c r="G707" s="26"/>
      <c r="H707" s="26" t="s">
        <v>28</v>
      </c>
      <c r="I707" s="65" t="s">
        <v>1006</v>
      </c>
      <c r="J707" s="4">
        <v>56</v>
      </c>
      <c r="K707" s="4">
        <v>8.1905999999999999</v>
      </c>
      <c r="L707" s="4">
        <v>43.011599999999994</v>
      </c>
      <c r="M707" s="4">
        <v>0.78839999999999988</v>
      </c>
      <c r="N707" s="4"/>
      <c r="O707" s="4"/>
      <c r="P707" s="4" t="s">
        <v>0</v>
      </c>
      <c r="Q707" s="4"/>
      <c r="R707" s="4">
        <v>19.009199999999996</v>
      </c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23"/>
      <c r="AD707" s="23"/>
      <c r="AE707" s="23"/>
      <c r="AF707" s="23"/>
      <c r="AG707" s="23"/>
      <c r="AH707" s="23"/>
      <c r="AI707" s="23"/>
      <c r="AJ707" s="23"/>
      <c r="AK707" s="23"/>
      <c r="AL707" s="23"/>
      <c r="AM707" s="23"/>
      <c r="AN707" s="23"/>
      <c r="AO707" s="23"/>
      <c r="AP707" s="23"/>
      <c r="AQ707" s="23"/>
      <c r="AR707" s="23"/>
      <c r="AS707" s="23"/>
      <c r="AT707" s="23"/>
      <c r="AU707" s="23"/>
      <c r="AV707" s="23"/>
      <c r="AW707" s="23"/>
      <c r="AX707" s="23"/>
    </row>
    <row r="708" spans="1:50" s="71" customFormat="1" ht="15" customHeight="1" x14ac:dyDescent="0.2">
      <c r="A708" s="77" t="s">
        <v>309</v>
      </c>
      <c r="B708" s="77" t="s">
        <v>310</v>
      </c>
      <c r="C708" s="78" t="s">
        <v>311</v>
      </c>
      <c r="D708" s="71" t="s">
        <v>31</v>
      </c>
      <c r="E708" s="78" t="s">
        <v>32</v>
      </c>
      <c r="F708" s="78" t="s">
        <v>781</v>
      </c>
      <c r="G708" s="78"/>
      <c r="H708" s="78" t="s">
        <v>28</v>
      </c>
      <c r="I708" s="87"/>
      <c r="J708" s="72">
        <f>J707</f>
        <v>56</v>
      </c>
      <c r="K708" s="72">
        <f>K707</f>
        <v>8.1905999999999999</v>
      </c>
      <c r="L708" s="72">
        <f>L707</f>
        <v>43.011599999999994</v>
      </c>
      <c r="M708" s="72">
        <f>M707</f>
        <v>0.78839999999999988</v>
      </c>
      <c r="N708" s="72"/>
      <c r="O708" s="72"/>
      <c r="P708" s="72"/>
      <c r="Q708" s="72"/>
      <c r="R708" s="72">
        <f>R707</f>
        <v>19.009199999999996</v>
      </c>
      <c r="S708" s="72"/>
      <c r="T708" s="72"/>
      <c r="U708" s="72"/>
      <c r="V708" s="72"/>
      <c r="W708" s="72"/>
      <c r="X708" s="72"/>
      <c r="Y708" s="72"/>
      <c r="Z708" s="72"/>
      <c r="AA708" s="72"/>
      <c r="AB708" s="72"/>
      <c r="AC708" s="73"/>
      <c r="AD708" s="73"/>
      <c r="AE708" s="73"/>
      <c r="AF708" s="73"/>
      <c r="AG708" s="73"/>
      <c r="AH708" s="73"/>
      <c r="AI708" s="73"/>
      <c r="AJ708" s="73"/>
      <c r="AK708" s="73"/>
      <c r="AL708" s="73"/>
      <c r="AM708" s="73"/>
      <c r="AN708" s="73"/>
      <c r="AO708" s="73"/>
      <c r="AP708" s="73"/>
      <c r="AQ708" s="73"/>
      <c r="AR708" s="73"/>
      <c r="AS708" s="73"/>
      <c r="AT708" s="73"/>
      <c r="AU708" s="73"/>
      <c r="AV708" s="73"/>
      <c r="AW708" s="73"/>
      <c r="AX708" s="73"/>
    </row>
    <row r="709" spans="1:50" s="22" customFormat="1" ht="15" customHeight="1" x14ac:dyDescent="0.2">
      <c r="A709" s="21" t="s">
        <v>791</v>
      </c>
      <c r="B709" s="21" t="s">
        <v>792</v>
      </c>
      <c r="D709" s="2"/>
      <c r="E709" s="2"/>
      <c r="F709" s="28" t="s">
        <v>0</v>
      </c>
      <c r="G709" s="28"/>
      <c r="H709" s="28" t="s">
        <v>131</v>
      </c>
      <c r="I709" s="65" t="s">
        <v>788</v>
      </c>
      <c r="J709" s="4">
        <v>89.4</v>
      </c>
      <c r="K709" s="4">
        <v>3.54</v>
      </c>
      <c r="L709" s="4"/>
      <c r="M709" s="4"/>
      <c r="N709" s="4"/>
      <c r="O709" s="4"/>
      <c r="P709" s="4"/>
      <c r="Q709" s="4"/>
      <c r="R709" s="4">
        <v>3.2</v>
      </c>
      <c r="S709" s="4">
        <v>0.91</v>
      </c>
      <c r="T709" s="4"/>
      <c r="U709" s="4"/>
      <c r="V709" s="4"/>
      <c r="W709" s="4"/>
      <c r="X709" s="4"/>
      <c r="Y709" s="4"/>
      <c r="Z709" s="4"/>
      <c r="AA709" s="4"/>
      <c r="AB709" s="4"/>
      <c r="AC709" s="23"/>
      <c r="AD709" s="23"/>
      <c r="AE709" s="23"/>
      <c r="AF709" s="23"/>
      <c r="AG709" s="23"/>
      <c r="AH709" s="23"/>
      <c r="AI709" s="23"/>
      <c r="AJ709" s="23"/>
      <c r="AK709" s="23"/>
      <c r="AL709" s="23"/>
      <c r="AM709" s="23"/>
      <c r="AN709" s="23"/>
      <c r="AO709" s="23"/>
      <c r="AP709" s="23"/>
      <c r="AQ709" s="23"/>
      <c r="AR709" s="23"/>
      <c r="AS709" s="23"/>
      <c r="AT709" s="23"/>
      <c r="AU709" s="23"/>
      <c r="AV709" s="23"/>
      <c r="AW709" s="23"/>
      <c r="AX709" s="23"/>
    </row>
    <row r="710" spans="1:50" s="71" customFormat="1" ht="15" customHeight="1" x14ac:dyDescent="0.2">
      <c r="A710" s="70" t="s">
        <v>791</v>
      </c>
      <c r="B710" s="70" t="s">
        <v>792</v>
      </c>
      <c r="C710" s="71" t="s">
        <v>132</v>
      </c>
      <c r="D710" s="71" t="s">
        <v>31</v>
      </c>
      <c r="E710" s="79" t="s">
        <v>32</v>
      </c>
      <c r="F710" s="79" t="s">
        <v>132</v>
      </c>
      <c r="G710" s="79"/>
      <c r="H710" s="79" t="s">
        <v>131</v>
      </c>
      <c r="I710" s="87"/>
      <c r="J710" s="72">
        <f>J709</f>
        <v>89.4</v>
      </c>
      <c r="K710" s="72">
        <f>K709</f>
        <v>3.54</v>
      </c>
      <c r="L710" s="72"/>
      <c r="M710" s="72"/>
      <c r="N710" s="72"/>
      <c r="O710" s="72"/>
      <c r="P710" s="72"/>
      <c r="Q710" s="72"/>
      <c r="R710" s="72">
        <f>R709</f>
        <v>3.2</v>
      </c>
      <c r="S710" s="72">
        <f>S709</f>
        <v>0.91</v>
      </c>
      <c r="T710" s="72"/>
      <c r="U710" s="72"/>
      <c r="V710" s="72"/>
      <c r="W710" s="72"/>
      <c r="X710" s="72"/>
      <c r="Y710" s="72"/>
      <c r="Z710" s="72"/>
      <c r="AA710" s="72"/>
      <c r="AB710" s="72"/>
      <c r="AC710" s="73"/>
      <c r="AD710" s="73"/>
      <c r="AE710" s="73"/>
      <c r="AF710" s="73"/>
      <c r="AG710" s="73"/>
      <c r="AH710" s="73"/>
      <c r="AI710" s="73"/>
      <c r="AJ710" s="73"/>
      <c r="AK710" s="73"/>
      <c r="AL710" s="73"/>
      <c r="AM710" s="73"/>
      <c r="AN710" s="73"/>
      <c r="AO710" s="73"/>
      <c r="AP710" s="73"/>
      <c r="AQ710" s="73"/>
      <c r="AR710" s="73"/>
      <c r="AS710" s="73"/>
      <c r="AT710" s="73"/>
      <c r="AU710" s="73"/>
      <c r="AV710" s="73"/>
      <c r="AW710" s="73"/>
      <c r="AX710" s="73"/>
    </row>
    <row r="711" spans="1:50" s="22" customFormat="1" ht="15" customHeight="1" x14ac:dyDescent="0.2">
      <c r="A711" s="21" t="s">
        <v>791</v>
      </c>
      <c r="B711" s="21" t="s">
        <v>793</v>
      </c>
      <c r="D711" s="2"/>
      <c r="E711" s="2"/>
      <c r="F711" s="28" t="s">
        <v>0</v>
      </c>
      <c r="G711" s="28"/>
      <c r="H711" s="28" t="s">
        <v>131</v>
      </c>
      <c r="I711" s="65" t="s">
        <v>788</v>
      </c>
      <c r="J711" s="4">
        <v>89.8</v>
      </c>
      <c r="K711" s="4">
        <v>4.03</v>
      </c>
      <c r="L711" s="4"/>
      <c r="M711" s="4"/>
      <c r="N711" s="4"/>
      <c r="O711" s="4"/>
      <c r="P711" s="4"/>
      <c r="Q711" s="4"/>
      <c r="R711" s="4">
        <v>1.59</v>
      </c>
      <c r="S711" s="4">
        <v>0.42</v>
      </c>
      <c r="T711" s="4"/>
      <c r="U711" s="4"/>
      <c r="V711" s="4"/>
      <c r="W711" s="4"/>
      <c r="X711" s="4"/>
      <c r="Y711" s="4"/>
      <c r="Z711" s="4"/>
      <c r="AA711" s="4"/>
      <c r="AB711" s="4"/>
      <c r="AC711" s="23"/>
      <c r="AD711" s="23"/>
      <c r="AE711" s="23"/>
      <c r="AF711" s="23"/>
      <c r="AG711" s="23"/>
      <c r="AH711" s="23"/>
      <c r="AI711" s="23"/>
      <c r="AJ711" s="23"/>
      <c r="AK711" s="23"/>
      <c r="AL711" s="23"/>
      <c r="AM711" s="23"/>
      <c r="AN711" s="23"/>
      <c r="AO711" s="23"/>
      <c r="AP711" s="23"/>
      <c r="AQ711" s="23"/>
      <c r="AR711" s="23"/>
      <c r="AS711" s="23"/>
      <c r="AT711" s="23"/>
      <c r="AU711" s="23"/>
      <c r="AV711" s="23"/>
      <c r="AW711" s="23"/>
      <c r="AX711" s="23"/>
    </row>
    <row r="712" spans="1:50" s="71" customFormat="1" ht="15" customHeight="1" x14ac:dyDescent="0.2">
      <c r="A712" s="70" t="s">
        <v>791</v>
      </c>
      <c r="B712" s="70" t="s">
        <v>793</v>
      </c>
      <c r="C712" s="71" t="s">
        <v>132</v>
      </c>
      <c r="D712" s="71" t="s">
        <v>31</v>
      </c>
      <c r="E712" s="79" t="s">
        <v>32</v>
      </c>
      <c r="F712" s="79" t="s">
        <v>132</v>
      </c>
      <c r="G712" s="79"/>
      <c r="H712" s="79" t="s">
        <v>131</v>
      </c>
      <c r="I712" s="87"/>
      <c r="J712" s="72">
        <f>J711</f>
        <v>89.8</v>
      </c>
      <c r="K712" s="72">
        <f>K711</f>
        <v>4.03</v>
      </c>
      <c r="L712" s="72"/>
      <c r="M712" s="72"/>
      <c r="N712" s="72"/>
      <c r="O712" s="72"/>
      <c r="P712" s="72"/>
      <c r="Q712" s="72"/>
      <c r="R712" s="72">
        <f>R711</f>
        <v>1.59</v>
      </c>
      <c r="S712" s="72">
        <f>S711</f>
        <v>0.42</v>
      </c>
      <c r="T712" s="72"/>
      <c r="U712" s="72"/>
      <c r="V712" s="72"/>
      <c r="W712" s="72"/>
      <c r="X712" s="72"/>
      <c r="Y712" s="72"/>
      <c r="Z712" s="72"/>
      <c r="AA712" s="72"/>
      <c r="AB712" s="72"/>
      <c r="AC712" s="73"/>
      <c r="AD712" s="73"/>
      <c r="AE712" s="73"/>
      <c r="AF712" s="73"/>
      <c r="AG712" s="73"/>
      <c r="AH712" s="73"/>
      <c r="AI712" s="73"/>
      <c r="AJ712" s="73"/>
      <c r="AK712" s="73"/>
      <c r="AL712" s="73"/>
      <c r="AM712" s="73"/>
      <c r="AN712" s="73"/>
      <c r="AO712" s="73"/>
      <c r="AP712" s="73"/>
      <c r="AQ712" s="73"/>
      <c r="AR712" s="73"/>
      <c r="AS712" s="73"/>
      <c r="AT712" s="73"/>
      <c r="AU712" s="73"/>
      <c r="AV712" s="73"/>
      <c r="AW712" s="73"/>
      <c r="AX712" s="73"/>
    </row>
    <row r="713" spans="1:50" s="22" customFormat="1" ht="15" customHeight="1" x14ac:dyDescent="0.2">
      <c r="A713" s="21" t="s">
        <v>791</v>
      </c>
      <c r="B713" s="21" t="s">
        <v>794</v>
      </c>
      <c r="D713" s="2"/>
      <c r="E713" s="2"/>
      <c r="F713" s="28" t="s">
        <v>0</v>
      </c>
      <c r="G713" s="28"/>
      <c r="H713" s="28" t="s">
        <v>131</v>
      </c>
      <c r="I713" s="65" t="s">
        <v>788</v>
      </c>
      <c r="J713" s="4">
        <v>90.7</v>
      </c>
      <c r="K713" s="4">
        <v>2.65</v>
      </c>
      <c r="L713" s="4"/>
      <c r="M713" s="4"/>
      <c r="N713" s="4"/>
      <c r="O713" s="4"/>
      <c r="P713" s="4"/>
      <c r="Q713" s="4"/>
      <c r="R713" s="4">
        <v>3.28</v>
      </c>
      <c r="S713" s="4">
        <v>0.69</v>
      </c>
      <c r="T713" s="4"/>
      <c r="U713" s="4"/>
      <c r="V713" s="4"/>
      <c r="W713" s="4"/>
      <c r="X713" s="4"/>
      <c r="Y713" s="4"/>
      <c r="Z713" s="4"/>
      <c r="AA713" s="4"/>
      <c r="AB713" s="4"/>
      <c r="AC713" s="23"/>
      <c r="AD713" s="23"/>
      <c r="AE713" s="23"/>
      <c r="AF713" s="23"/>
      <c r="AG713" s="23"/>
      <c r="AH713" s="23"/>
      <c r="AI713" s="23"/>
      <c r="AJ713" s="23"/>
      <c r="AK713" s="23"/>
      <c r="AL713" s="23"/>
      <c r="AM713" s="23"/>
      <c r="AN713" s="23"/>
      <c r="AO713" s="23"/>
      <c r="AP713" s="23"/>
      <c r="AQ713" s="23"/>
      <c r="AR713" s="23"/>
      <c r="AS713" s="23"/>
      <c r="AT713" s="23"/>
      <c r="AU713" s="23"/>
      <c r="AV713" s="23"/>
      <c r="AW713" s="23"/>
      <c r="AX713" s="23"/>
    </row>
    <row r="714" spans="1:50" s="71" customFormat="1" ht="15" customHeight="1" x14ac:dyDescent="0.2">
      <c r="A714" s="70" t="s">
        <v>791</v>
      </c>
      <c r="B714" s="70" t="s">
        <v>794</v>
      </c>
      <c r="C714" s="71" t="s">
        <v>132</v>
      </c>
      <c r="D714" s="71" t="s">
        <v>31</v>
      </c>
      <c r="E714" s="79" t="s">
        <v>32</v>
      </c>
      <c r="F714" s="79" t="s">
        <v>132</v>
      </c>
      <c r="G714" s="79"/>
      <c r="H714" s="79" t="s">
        <v>131</v>
      </c>
      <c r="I714" s="87"/>
      <c r="J714" s="72">
        <f>J713</f>
        <v>90.7</v>
      </c>
      <c r="K714" s="72">
        <f>K713</f>
        <v>2.65</v>
      </c>
      <c r="L714" s="72"/>
      <c r="M714" s="72"/>
      <c r="N714" s="72"/>
      <c r="O714" s="72"/>
      <c r="P714" s="72"/>
      <c r="Q714" s="72"/>
      <c r="R714" s="72">
        <f>R713</f>
        <v>3.28</v>
      </c>
      <c r="S714" s="72">
        <f>S713</f>
        <v>0.69</v>
      </c>
      <c r="T714" s="72"/>
      <c r="U714" s="72"/>
      <c r="V714" s="72"/>
      <c r="W714" s="72"/>
      <c r="X714" s="72"/>
      <c r="Y714" s="72"/>
      <c r="Z714" s="72"/>
      <c r="AA714" s="72"/>
      <c r="AB714" s="72"/>
      <c r="AC714" s="73"/>
      <c r="AD714" s="73"/>
      <c r="AE714" s="73"/>
      <c r="AF714" s="73"/>
      <c r="AG714" s="73"/>
      <c r="AH714" s="73"/>
      <c r="AI714" s="73"/>
      <c r="AJ714" s="73"/>
      <c r="AK714" s="73"/>
      <c r="AL714" s="73"/>
      <c r="AM714" s="73"/>
      <c r="AN714" s="73"/>
      <c r="AO714" s="73"/>
      <c r="AP714" s="73"/>
      <c r="AQ714" s="73"/>
      <c r="AR714" s="73"/>
      <c r="AS714" s="73"/>
      <c r="AT714" s="73"/>
      <c r="AU714" s="73"/>
      <c r="AV714" s="73"/>
      <c r="AW714" s="73"/>
      <c r="AX714" s="73"/>
    </row>
    <row r="715" spans="1:50" s="22" customFormat="1" ht="15" customHeight="1" x14ac:dyDescent="0.2">
      <c r="A715" s="21" t="s">
        <v>791</v>
      </c>
      <c r="B715" s="21" t="s">
        <v>795</v>
      </c>
      <c r="D715" s="2"/>
      <c r="E715" s="2"/>
      <c r="F715" s="28" t="s">
        <v>0</v>
      </c>
      <c r="G715" s="28"/>
      <c r="H715" s="28" t="s">
        <v>131</v>
      </c>
      <c r="I715" s="65" t="s">
        <v>1020</v>
      </c>
      <c r="J715" s="4">
        <v>93.2</v>
      </c>
      <c r="K715" s="4">
        <v>2.34</v>
      </c>
      <c r="L715" s="4">
        <v>5.72</v>
      </c>
      <c r="M715" s="4">
        <v>0.41</v>
      </c>
      <c r="N715" s="4">
        <v>20.9</v>
      </c>
      <c r="O715" s="4">
        <v>0.46</v>
      </c>
      <c r="P715" s="4"/>
      <c r="Q715" s="4">
        <v>128</v>
      </c>
      <c r="R715" s="4">
        <v>2.84</v>
      </c>
      <c r="S715" s="4">
        <v>0.122</v>
      </c>
      <c r="T715" s="4"/>
      <c r="U715" s="4"/>
      <c r="V715" s="4"/>
      <c r="W715" s="4"/>
      <c r="X715" s="4"/>
      <c r="Y715" s="4"/>
      <c r="Z715" s="4"/>
      <c r="AA715" s="4"/>
      <c r="AB715" s="4"/>
      <c r="AC715" s="23"/>
      <c r="AD715" s="23"/>
      <c r="AE715" s="23"/>
      <c r="AF715" s="23"/>
      <c r="AG715" s="23"/>
      <c r="AH715" s="23"/>
      <c r="AI715" s="23"/>
      <c r="AJ715" s="23"/>
      <c r="AK715" s="23"/>
      <c r="AL715" s="23"/>
      <c r="AM715" s="23"/>
      <c r="AN715" s="23"/>
      <c r="AO715" s="23"/>
      <c r="AP715" s="23"/>
      <c r="AQ715" s="23"/>
      <c r="AR715" s="23"/>
      <c r="AS715" s="23"/>
      <c r="AT715" s="23"/>
      <c r="AU715" s="23"/>
      <c r="AV715" s="23"/>
      <c r="AW715" s="23"/>
      <c r="AX715" s="23"/>
    </row>
    <row r="716" spans="1:50" s="22" customFormat="1" ht="15" customHeight="1" x14ac:dyDescent="0.2">
      <c r="A716" s="21" t="s">
        <v>791</v>
      </c>
      <c r="B716" s="21" t="s">
        <v>795</v>
      </c>
      <c r="D716" s="2"/>
      <c r="E716" s="2"/>
      <c r="F716" s="28" t="s">
        <v>0</v>
      </c>
      <c r="G716" s="28"/>
      <c r="H716" s="28" t="s">
        <v>131</v>
      </c>
      <c r="I716" s="65" t="s">
        <v>788</v>
      </c>
      <c r="J716" s="4">
        <v>92.51</v>
      </c>
      <c r="K716" s="4">
        <v>3.9</v>
      </c>
      <c r="L716" s="4">
        <v>3</v>
      </c>
      <c r="M716" s="4">
        <v>2.69</v>
      </c>
      <c r="N716" s="4">
        <v>6.09</v>
      </c>
      <c r="O716" s="4">
        <v>0.7</v>
      </c>
      <c r="P716" s="4"/>
      <c r="Q716" s="4"/>
      <c r="R716" s="4">
        <v>2.4500000000000002</v>
      </c>
      <c r="S716" s="4">
        <v>0.71</v>
      </c>
      <c r="T716" s="4"/>
      <c r="U716" s="4"/>
      <c r="V716" s="4"/>
      <c r="W716" s="4"/>
      <c r="X716" s="4"/>
      <c r="Y716" s="4"/>
      <c r="Z716" s="4"/>
      <c r="AA716" s="4"/>
      <c r="AB716" s="4"/>
      <c r="AC716" s="23"/>
      <c r="AD716" s="23"/>
      <c r="AE716" s="23"/>
      <c r="AF716" s="23"/>
      <c r="AG716" s="23"/>
      <c r="AH716" s="23"/>
      <c r="AI716" s="23"/>
      <c r="AJ716" s="23"/>
      <c r="AK716" s="23"/>
      <c r="AL716" s="23"/>
      <c r="AM716" s="23"/>
      <c r="AN716" s="23"/>
      <c r="AO716" s="23"/>
      <c r="AP716" s="23"/>
      <c r="AQ716" s="23"/>
      <c r="AR716" s="23"/>
      <c r="AS716" s="23"/>
      <c r="AT716" s="23"/>
      <c r="AU716" s="23"/>
      <c r="AV716" s="23"/>
      <c r="AW716" s="23"/>
      <c r="AX716" s="23"/>
    </row>
    <row r="717" spans="1:50" s="71" customFormat="1" ht="15" customHeight="1" x14ac:dyDescent="0.2">
      <c r="A717" s="70" t="s">
        <v>791</v>
      </c>
      <c r="B717" s="70" t="s">
        <v>795</v>
      </c>
      <c r="C717" s="71" t="s">
        <v>132</v>
      </c>
      <c r="D717" s="71" t="s">
        <v>31</v>
      </c>
      <c r="E717" s="79" t="s">
        <v>32</v>
      </c>
      <c r="F717" s="79" t="s">
        <v>132</v>
      </c>
      <c r="G717" s="79"/>
      <c r="H717" s="79" t="s">
        <v>131</v>
      </c>
      <c r="I717" s="87"/>
      <c r="J717" s="72">
        <f t="shared" ref="J717:O717" si="205">AVERAGE(J715:J716)</f>
        <v>92.855000000000004</v>
      </c>
      <c r="K717" s="72">
        <f t="shared" si="205"/>
        <v>3.12</v>
      </c>
      <c r="L717" s="72">
        <f t="shared" si="205"/>
        <v>4.3599999999999994</v>
      </c>
      <c r="M717" s="72">
        <f t="shared" si="205"/>
        <v>1.55</v>
      </c>
      <c r="N717" s="72">
        <f t="shared" si="205"/>
        <v>13.494999999999999</v>
      </c>
      <c r="O717" s="72">
        <f t="shared" si="205"/>
        <v>0.57999999999999996</v>
      </c>
      <c r="P717" s="72"/>
      <c r="Q717" s="72">
        <f>AVERAGE(Q715:Q716)</f>
        <v>128</v>
      </c>
      <c r="R717" s="72">
        <f>AVERAGE(R715:R716)</f>
        <v>2.645</v>
      </c>
      <c r="S717" s="72">
        <f>AVERAGE(S715:S716)</f>
        <v>0.41599999999999998</v>
      </c>
      <c r="T717" s="72"/>
      <c r="U717" s="72"/>
      <c r="V717" s="72"/>
      <c r="W717" s="72"/>
      <c r="X717" s="72"/>
      <c r="Y717" s="72"/>
      <c r="Z717" s="72"/>
      <c r="AA717" s="72"/>
      <c r="AB717" s="72"/>
      <c r="AC717" s="73"/>
      <c r="AD717" s="73"/>
      <c r="AE717" s="73"/>
      <c r="AF717" s="73"/>
      <c r="AG717" s="73"/>
      <c r="AH717" s="73"/>
      <c r="AI717" s="73"/>
      <c r="AJ717" s="73"/>
      <c r="AK717" s="73"/>
      <c r="AL717" s="73"/>
      <c r="AM717" s="73"/>
      <c r="AN717" s="73"/>
      <c r="AO717" s="73"/>
      <c r="AP717" s="73"/>
      <c r="AQ717" s="73"/>
      <c r="AR717" s="73"/>
      <c r="AS717" s="73"/>
      <c r="AT717" s="73"/>
      <c r="AU717" s="73"/>
      <c r="AV717" s="73"/>
      <c r="AW717" s="73"/>
      <c r="AX717" s="73"/>
    </row>
    <row r="718" spans="1:50" s="22" customFormat="1" ht="15" customHeight="1" x14ac:dyDescent="0.2">
      <c r="A718" s="21" t="s">
        <v>791</v>
      </c>
      <c r="B718" s="21" t="s">
        <v>796</v>
      </c>
      <c r="D718" s="2"/>
      <c r="E718" s="2"/>
      <c r="F718" s="28" t="s">
        <v>0</v>
      </c>
      <c r="G718" s="28"/>
      <c r="H718" s="28" t="s">
        <v>131</v>
      </c>
      <c r="I718" s="65" t="s">
        <v>788</v>
      </c>
      <c r="J718" s="4">
        <v>89.3</v>
      </c>
      <c r="K718" s="4">
        <v>2.91</v>
      </c>
      <c r="L718" s="4"/>
      <c r="M718" s="4"/>
      <c r="N718" s="4"/>
      <c r="O718" s="4"/>
      <c r="P718" s="4"/>
      <c r="Q718" s="4"/>
      <c r="R718" s="4">
        <v>1.58</v>
      </c>
      <c r="S718" s="4">
        <v>0.65</v>
      </c>
      <c r="T718" s="4"/>
      <c r="U718" s="4"/>
      <c r="V718" s="4"/>
      <c r="W718" s="4"/>
      <c r="X718" s="4"/>
      <c r="Y718" s="4"/>
      <c r="Z718" s="4"/>
      <c r="AA718" s="4"/>
      <c r="AB718" s="4"/>
      <c r="AC718" s="23"/>
      <c r="AD718" s="23"/>
      <c r="AE718" s="23"/>
      <c r="AF718" s="23"/>
      <c r="AG718" s="23"/>
      <c r="AH718" s="23"/>
      <c r="AI718" s="23"/>
      <c r="AJ718" s="23"/>
      <c r="AK718" s="23"/>
      <c r="AL718" s="23"/>
      <c r="AM718" s="23"/>
      <c r="AN718" s="23"/>
      <c r="AO718" s="23"/>
      <c r="AP718" s="23"/>
      <c r="AQ718" s="23"/>
      <c r="AR718" s="23"/>
      <c r="AS718" s="23"/>
      <c r="AT718" s="23"/>
      <c r="AU718" s="23"/>
      <c r="AV718" s="23"/>
      <c r="AW718" s="23"/>
      <c r="AX718" s="23"/>
    </row>
    <row r="719" spans="1:50" s="71" customFormat="1" ht="15" customHeight="1" x14ac:dyDescent="0.2">
      <c r="A719" s="70" t="s">
        <v>791</v>
      </c>
      <c r="B719" s="70" t="s">
        <v>796</v>
      </c>
      <c r="C719" s="71" t="s">
        <v>132</v>
      </c>
      <c r="D719" s="71" t="s">
        <v>31</v>
      </c>
      <c r="E719" s="79" t="s">
        <v>32</v>
      </c>
      <c r="F719" s="79" t="s">
        <v>132</v>
      </c>
      <c r="G719" s="79"/>
      <c r="H719" s="79" t="s">
        <v>131</v>
      </c>
      <c r="I719" s="87"/>
      <c r="J719" s="72">
        <f>J718</f>
        <v>89.3</v>
      </c>
      <c r="K719" s="72">
        <f>K718</f>
        <v>2.91</v>
      </c>
      <c r="L719" s="72"/>
      <c r="M719" s="72"/>
      <c r="N719" s="72"/>
      <c r="O719" s="72"/>
      <c r="P719" s="72"/>
      <c r="Q719" s="72"/>
      <c r="R719" s="72">
        <f>R718</f>
        <v>1.58</v>
      </c>
      <c r="S719" s="72">
        <f>S718</f>
        <v>0.65</v>
      </c>
      <c r="T719" s="72"/>
      <c r="U719" s="72"/>
      <c r="V719" s="72"/>
      <c r="W719" s="72"/>
      <c r="X719" s="72"/>
      <c r="Y719" s="72"/>
      <c r="Z719" s="72"/>
      <c r="AA719" s="72"/>
      <c r="AB719" s="72"/>
      <c r="AC719" s="73"/>
      <c r="AD719" s="73"/>
      <c r="AE719" s="73"/>
      <c r="AF719" s="73"/>
      <c r="AG719" s="73"/>
      <c r="AH719" s="73"/>
      <c r="AI719" s="73"/>
      <c r="AJ719" s="73"/>
      <c r="AK719" s="73"/>
      <c r="AL719" s="73"/>
      <c r="AM719" s="73"/>
      <c r="AN719" s="73"/>
      <c r="AO719" s="73"/>
      <c r="AP719" s="73"/>
      <c r="AQ719" s="73"/>
      <c r="AR719" s="73"/>
      <c r="AS719" s="73"/>
      <c r="AT719" s="73"/>
      <c r="AU719" s="73"/>
      <c r="AV719" s="73"/>
      <c r="AW719" s="73"/>
      <c r="AX719" s="73"/>
    </row>
    <row r="720" spans="1:50" ht="34" x14ac:dyDescent="0.2">
      <c r="A720" s="24" t="s">
        <v>312</v>
      </c>
      <c r="B720" s="24" t="s">
        <v>313</v>
      </c>
      <c r="F720" s="28"/>
      <c r="G720" s="28"/>
      <c r="H720" s="2" t="s">
        <v>33</v>
      </c>
      <c r="I720" s="243" t="s">
        <v>1009</v>
      </c>
      <c r="K720" s="3">
        <v>1.7</v>
      </c>
      <c r="L720" s="3">
        <v>464</v>
      </c>
      <c r="M720" s="3">
        <v>2.13</v>
      </c>
      <c r="P720" s="4">
        <f t="shared" ref="P720:P721" si="206">AN720</f>
        <v>0</v>
      </c>
      <c r="Q720" s="3">
        <v>34</v>
      </c>
      <c r="R720" s="3">
        <v>42</v>
      </c>
      <c r="S720" s="3">
        <v>5.0999999999999996</v>
      </c>
      <c r="AN720" s="23"/>
    </row>
    <row r="721" spans="1:50" ht="34" x14ac:dyDescent="0.2">
      <c r="A721" s="24" t="s">
        <v>312</v>
      </c>
      <c r="B721" s="24" t="s">
        <v>313</v>
      </c>
      <c r="F721" s="28"/>
      <c r="G721" s="28"/>
      <c r="H721" s="2" t="s">
        <v>33</v>
      </c>
      <c r="I721" s="243" t="s">
        <v>1009</v>
      </c>
      <c r="K721" s="3">
        <v>1.7</v>
      </c>
      <c r="L721" s="3">
        <v>464</v>
      </c>
      <c r="M721" s="3">
        <v>2.13</v>
      </c>
      <c r="P721" s="4">
        <f t="shared" si="206"/>
        <v>0</v>
      </c>
      <c r="R721" s="3">
        <v>42</v>
      </c>
      <c r="AN721" s="23"/>
    </row>
    <row r="722" spans="1:50" s="71" customFormat="1" ht="15" customHeight="1" x14ac:dyDescent="0.2">
      <c r="A722" s="70" t="s">
        <v>312</v>
      </c>
      <c r="B722" s="70" t="s">
        <v>313</v>
      </c>
      <c r="C722" s="71" t="s">
        <v>314</v>
      </c>
      <c r="D722" s="71" t="s">
        <v>31</v>
      </c>
      <c r="E722" s="79" t="s">
        <v>46</v>
      </c>
      <c r="F722" s="78" t="s">
        <v>782</v>
      </c>
      <c r="G722" s="79"/>
      <c r="H722" s="71" t="s">
        <v>33</v>
      </c>
      <c r="I722" s="87"/>
      <c r="J722" s="72"/>
      <c r="K722" s="72">
        <f>AVERAGE(K720:K721)</f>
        <v>1.7</v>
      </c>
      <c r="L722" s="72">
        <f>AVERAGE(L720:L721)</f>
        <v>464</v>
      </c>
      <c r="M722" s="72">
        <f>AVERAGE(M720:M721)</f>
        <v>2.13</v>
      </c>
      <c r="N722" s="72"/>
      <c r="O722" s="72"/>
      <c r="P722" s="72">
        <f t="shared" ref="P722:S722" si="207">AVERAGE(P720:P721)</f>
        <v>0</v>
      </c>
      <c r="Q722" s="72">
        <f t="shared" si="207"/>
        <v>34</v>
      </c>
      <c r="R722" s="72">
        <f t="shared" si="207"/>
        <v>42</v>
      </c>
      <c r="S722" s="72">
        <f t="shared" si="207"/>
        <v>5.0999999999999996</v>
      </c>
      <c r="T722" s="72"/>
      <c r="U722" s="72"/>
      <c r="V722" s="72"/>
      <c r="W722" s="72"/>
      <c r="X722" s="72"/>
      <c r="Y722" s="72"/>
      <c r="Z722" s="72"/>
      <c r="AA722" s="72"/>
      <c r="AB722" s="72"/>
      <c r="AC722" s="73"/>
      <c r="AD722" s="73"/>
      <c r="AE722" s="73"/>
      <c r="AF722" s="73"/>
      <c r="AG722" s="73"/>
      <c r="AH722" s="73"/>
      <c r="AI722" s="73"/>
      <c r="AJ722" s="73"/>
      <c r="AK722" s="73"/>
      <c r="AL722" s="73"/>
      <c r="AM722" s="73"/>
      <c r="AN722" s="73"/>
      <c r="AO722" s="73"/>
      <c r="AP722" s="73"/>
      <c r="AQ722" s="73"/>
      <c r="AR722" s="73"/>
      <c r="AS722" s="73"/>
      <c r="AT722" s="73"/>
      <c r="AU722" s="73"/>
      <c r="AV722" s="73"/>
      <c r="AW722" s="73"/>
      <c r="AX722" s="73"/>
    </row>
    <row r="723" spans="1:50" ht="17" x14ac:dyDescent="0.2">
      <c r="A723" s="24" t="s">
        <v>315</v>
      </c>
      <c r="B723" s="24" t="s">
        <v>316</v>
      </c>
      <c r="H723" s="2" t="s">
        <v>33</v>
      </c>
      <c r="I723" s="243" t="s">
        <v>1033</v>
      </c>
      <c r="J723" s="3">
        <v>91.8</v>
      </c>
      <c r="M723" s="3">
        <v>4.4000000000000004</v>
      </c>
      <c r="P723" s="4">
        <f t="shared" ref="P723" si="208">AN723</f>
        <v>0</v>
      </c>
      <c r="R723" s="3">
        <v>25</v>
      </c>
      <c r="AN723" s="23"/>
    </row>
    <row r="724" spans="1:50" ht="34" x14ac:dyDescent="0.2">
      <c r="A724" s="24" t="s">
        <v>315</v>
      </c>
      <c r="B724" s="24" t="s">
        <v>316</v>
      </c>
      <c r="H724" s="2" t="s">
        <v>33</v>
      </c>
      <c r="I724" s="243" t="s">
        <v>317</v>
      </c>
      <c r="J724" s="3">
        <v>91.8</v>
      </c>
      <c r="M724" s="3">
        <v>4.4000000000000004</v>
      </c>
      <c r="P724" s="4" t="s">
        <v>0</v>
      </c>
      <c r="R724" s="3">
        <v>25</v>
      </c>
    </row>
    <row r="725" spans="1:50" ht="34" x14ac:dyDescent="0.2">
      <c r="A725" s="24" t="s">
        <v>315</v>
      </c>
      <c r="B725" s="24" t="s">
        <v>316</v>
      </c>
      <c r="H725" s="2" t="s">
        <v>33</v>
      </c>
      <c r="I725" s="243" t="s">
        <v>1009</v>
      </c>
      <c r="K725" s="3">
        <v>1.1100000000000001</v>
      </c>
      <c r="L725" s="3">
        <v>23</v>
      </c>
      <c r="M725" s="3">
        <v>0.94</v>
      </c>
      <c r="O725" s="3">
        <v>0.36</v>
      </c>
      <c r="P725" s="4" t="s">
        <v>0</v>
      </c>
      <c r="R725" s="3">
        <v>3</v>
      </c>
    </row>
    <row r="726" spans="1:50" s="71" customFormat="1" ht="15" customHeight="1" x14ac:dyDescent="0.2">
      <c r="A726" s="70" t="s">
        <v>315</v>
      </c>
      <c r="B726" s="70" t="s">
        <v>316</v>
      </c>
      <c r="C726" s="71" t="s">
        <v>318</v>
      </c>
      <c r="D726" s="71" t="s">
        <v>31</v>
      </c>
      <c r="E726" s="71" t="s">
        <v>46</v>
      </c>
      <c r="F726" s="71" t="s">
        <v>785</v>
      </c>
      <c r="H726" s="71" t="s">
        <v>33</v>
      </c>
      <c r="I726" s="87"/>
      <c r="J726" s="72">
        <f>AVERAGE(J723:J725)</f>
        <v>91.8</v>
      </c>
      <c r="K726" s="72">
        <f>AVERAGE(K723:K725)</f>
        <v>1.1100000000000001</v>
      </c>
      <c r="L726" s="72">
        <f>AVERAGE(L723:L725)</f>
        <v>23</v>
      </c>
      <c r="M726" s="72">
        <f>AVERAGE(M723:M725)</f>
        <v>3.2466666666666666</v>
      </c>
      <c r="N726" s="72"/>
      <c r="O726" s="72">
        <f>AVERAGE(O723:O725)</f>
        <v>0.36</v>
      </c>
      <c r="P726" s="72">
        <f>AVERAGE(P723:P725)</f>
        <v>0</v>
      </c>
      <c r="Q726" s="72"/>
      <c r="R726" s="72">
        <f>AVERAGE(R723:R725)</f>
        <v>17.666666666666668</v>
      </c>
      <c r="S726" s="72"/>
      <c r="T726" s="72"/>
      <c r="U726" s="72"/>
      <c r="V726" s="72"/>
      <c r="W726" s="72"/>
      <c r="X726" s="72"/>
      <c r="Y726" s="72"/>
      <c r="Z726" s="72"/>
      <c r="AA726" s="72"/>
      <c r="AB726" s="72"/>
      <c r="AC726" s="73"/>
      <c r="AD726" s="73"/>
      <c r="AE726" s="73"/>
      <c r="AF726" s="73"/>
      <c r="AG726" s="73"/>
      <c r="AH726" s="73"/>
      <c r="AI726" s="73"/>
      <c r="AJ726" s="73"/>
      <c r="AK726" s="73"/>
      <c r="AL726" s="73"/>
      <c r="AM726" s="73"/>
      <c r="AN726" s="73"/>
      <c r="AO726" s="73"/>
      <c r="AP726" s="73"/>
      <c r="AQ726" s="73"/>
      <c r="AR726" s="73"/>
      <c r="AS726" s="73"/>
      <c r="AT726" s="73"/>
      <c r="AU726" s="73"/>
      <c r="AV726" s="73"/>
      <c r="AW726" s="73"/>
      <c r="AX726" s="73"/>
    </row>
    <row r="727" spans="1:50" ht="15" customHeight="1" x14ac:dyDescent="0.2">
      <c r="A727" s="24" t="s">
        <v>775</v>
      </c>
      <c r="B727" s="24" t="s">
        <v>776</v>
      </c>
      <c r="H727" s="2" t="s">
        <v>33</v>
      </c>
      <c r="I727" s="243" t="s">
        <v>701</v>
      </c>
      <c r="P727" s="4">
        <f t="shared" ref="P727" si="209">AN727</f>
        <v>0</v>
      </c>
      <c r="R727" s="3">
        <v>144</v>
      </c>
      <c r="AN727" s="23"/>
    </row>
    <row r="728" spans="1:50" s="71" customFormat="1" ht="15" customHeight="1" x14ac:dyDescent="0.2">
      <c r="A728" s="70" t="s">
        <v>775</v>
      </c>
      <c r="B728" s="70" t="s">
        <v>776</v>
      </c>
      <c r="C728" s="71" t="s">
        <v>871</v>
      </c>
      <c r="D728" s="71" t="s">
        <v>31</v>
      </c>
      <c r="E728" s="71" t="s">
        <v>46</v>
      </c>
      <c r="F728" s="78" t="s">
        <v>782</v>
      </c>
      <c r="H728" s="71" t="s">
        <v>33</v>
      </c>
      <c r="I728" s="87"/>
      <c r="J728" s="72"/>
      <c r="K728" s="72"/>
      <c r="L728" s="72"/>
      <c r="M728" s="72"/>
      <c r="N728" s="72"/>
      <c r="O728" s="72"/>
      <c r="P728" s="72">
        <f>P727</f>
        <v>0</v>
      </c>
      <c r="Q728" s="72"/>
      <c r="R728" s="72">
        <f>R727</f>
        <v>144</v>
      </c>
      <c r="S728" s="72"/>
      <c r="T728" s="72"/>
      <c r="U728" s="72"/>
      <c r="V728" s="72"/>
      <c r="W728" s="72"/>
      <c r="X728" s="72"/>
      <c r="Y728" s="72"/>
      <c r="Z728" s="72"/>
      <c r="AA728" s="72"/>
      <c r="AB728" s="72"/>
      <c r="AC728" s="73"/>
      <c r="AD728" s="73"/>
      <c r="AE728" s="73"/>
      <c r="AF728" s="73"/>
      <c r="AG728" s="73"/>
      <c r="AH728" s="73"/>
      <c r="AI728" s="73"/>
      <c r="AJ728" s="73"/>
      <c r="AK728" s="73"/>
      <c r="AL728" s="73"/>
      <c r="AM728" s="73"/>
      <c r="AN728" s="73"/>
      <c r="AO728" s="73"/>
      <c r="AP728" s="73"/>
      <c r="AQ728" s="73"/>
      <c r="AR728" s="73"/>
      <c r="AS728" s="73"/>
      <c r="AT728" s="73"/>
      <c r="AU728" s="73"/>
      <c r="AV728" s="73"/>
      <c r="AW728" s="73"/>
      <c r="AX728" s="73"/>
    </row>
    <row r="729" spans="1:50" ht="34" x14ac:dyDescent="0.2">
      <c r="A729" s="24" t="s">
        <v>319</v>
      </c>
      <c r="B729" s="24" t="s">
        <v>320</v>
      </c>
      <c r="H729" s="2" t="s">
        <v>33</v>
      </c>
      <c r="I729" s="243" t="s">
        <v>321</v>
      </c>
      <c r="J729" s="3">
        <v>73.400000000000006</v>
      </c>
      <c r="K729" s="3">
        <v>5.5</v>
      </c>
      <c r="P729" s="4" t="s">
        <v>0</v>
      </c>
    </row>
    <row r="730" spans="1:50" ht="34" x14ac:dyDescent="0.2">
      <c r="A730" s="34" t="s">
        <v>319</v>
      </c>
      <c r="B730" s="34" t="s">
        <v>320</v>
      </c>
      <c r="H730" s="2" t="s">
        <v>33</v>
      </c>
      <c r="I730" s="243" t="s">
        <v>321</v>
      </c>
      <c r="J730" s="3">
        <v>72.599999999999994</v>
      </c>
      <c r="K730" s="3">
        <v>6.2</v>
      </c>
      <c r="M730" s="36"/>
      <c r="P730" s="4" t="s">
        <v>0</v>
      </c>
      <c r="W730" s="36"/>
    </row>
    <row r="731" spans="1:50" s="71" customFormat="1" x14ac:dyDescent="0.2">
      <c r="A731" s="82" t="s">
        <v>319</v>
      </c>
      <c r="B731" s="82" t="s">
        <v>320</v>
      </c>
      <c r="C731" s="71" t="s">
        <v>322</v>
      </c>
      <c r="D731" s="71" t="s">
        <v>31</v>
      </c>
      <c r="E731" s="71" t="s">
        <v>46</v>
      </c>
      <c r="F731" s="78" t="s">
        <v>782</v>
      </c>
      <c r="H731" s="71" t="s">
        <v>33</v>
      </c>
      <c r="I731" s="87"/>
      <c r="J731" s="72">
        <f>AVERAGE(J729:J730)</f>
        <v>73</v>
      </c>
      <c r="K731" s="72">
        <f>AVERAGE(K729:K730)</f>
        <v>5.85</v>
      </c>
      <c r="L731" s="72"/>
      <c r="M731" s="83"/>
      <c r="N731" s="72"/>
      <c r="O731" s="72"/>
      <c r="P731" s="72"/>
      <c r="Q731" s="72"/>
      <c r="R731" s="72"/>
      <c r="S731" s="72"/>
      <c r="T731" s="72"/>
      <c r="U731" s="72"/>
      <c r="V731" s="72"/>
      <c r="W731" s="83"/>
      <c r="X731" s="72"/>
      <c r="Y731" s="72"/>
      <c r="Z731" s="72"/>
      <c r="AA731" s="72"/>
      <c r="AB731" s="72"/>
      <c r="AC731" s="73"/>
      <c r="AD731" s="73"/>
      <c r="AE731" s="73"/>
      <c r="AF731" s="73"/>
      <c r="AG731" s="73"/>
      <c r="AH731" s="73"/>
      <c r="AI731" s="73"/>
      <c r="AJ731" s="73"/>
      <c r="AK731" s="73"/>
      <c r="AL731" s="73"/>
      <c r="AM731" s="73"/>
      <c r="AN731" s="73"/>
      <c r="AO731" s="73"/>
      <c r="AP731" s="73"/>
      <c r="AQ731" s="73"/>
      <c r="AR731" s="73"/>
      <c r="AS731" s="73"/>
      <c r="AT731" s="73"/>
      <c r="AU731" s="73"/>
      <c r="AV731" s="73"/>
      <c r="AW731" s="73"/>
      <c r="AX731" s="73"/>
    </row>
    <row r="732" spans="1:50" s="22" customFormat="1" ht="34" x14ac:dyDescent="0.2">
      <c r="A732" s="21" t="s">
        <v>323</v>
      </c>
      <c r="B732" s="21" t="s">
        <v>324</v>
      </c>
      <c r="D732" s="2"/>
      <c r="E732" s="2"/>
      <c r="F732" s="28"/>
      <c r="G732" s="28"/>
      <c r="H732" s="22" t="s">
        <v>33</v>
      </c>
      <c r="I732" s="65" t="s">
        <v>1009</v>
      </c>
      <c r="J732" s="4"/>
      <c r="K732" s="4">
        <v>1.03</v>
      </c>
      <c r="L732" s="4">
        <v>172</v>
      </c>
      <c r="M732" s="4">
        <v>2.4</v>
      </c>
      <c r="N732" s="4"/>
      <c r="O732" s="4">
        <v>0.86</v>
      </c>
      <c r="P732" s="4">
        <f t="shared" ref="P732" si="210">AN732</f>
        <v>0</v>
      </c>
      <c r="Q732" s="4"/>
      <c r="R732" s="4">
        <v>23</v>
      </c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23"/>
      <c r="AD732" s="23"/>
      <c r="AE732" s="23"/>
      <c r="AF732" s="23"/>
      <c r="AG732" s="5"/>
      <c r="AH732" s="23"/>
      <c r="AI732" s="23"/>
      <c r="AJ732" s="23"/>
      <c r="AK732" s="23"/>
      <c r="AL732" s="23"/>
      <c r="AM732" s="23"/>
      <c r="AN732" s="23"/>
      <c r="AO732" s="23"/>
      <c r="AP732" s="23"/>
      <c r="AQ732" s="23"/>
      <c r="AR732" s="23"/>
      <c r="AS732" s="23"/>
      <c r="AT732" s="23"/>
      <c r="AU732" s="23"/>
      <c r="AV732" s="23"/>
      <c r="AW732" s="23"/>
      <c r="AX732" s="23"/>
    </row>
    <row r="733" spans="1:50" s="71" customFormat="1" ht="15" customHeight="1" x14ac:dyDescent="0.2">
      <c r="A733" s="70" t="s">
        <v>323</v>
      </c>
      <c r="B733" s="70" t="s">
        <v>324</v>
      </c>
      <c r="C733" s="71" t="s">
        <v>872</v>
      </c>
      <c r="D733" s="71" t="s">
        <v>56</v>
      </c>
      <c r="E733" s="79" t="s">
        <v>46</v>
      </c>
      <c r="F733" s="78" t="s">
        <v>782</v>
      </c>
      <c r="G733" s="79"/>
      <c r="H733" s="71" t="s">
        <v>33</v>
      </c>
      <c r="I733" s="87"/>
      <c r="J733" s="72"/>
      <c r="K733" s="72">
        <f>K732</f>
        <v>1.03</v>
      </c>
      <c r="L733" s="72">
        <f>L732</f>
        <v>172</v>
      </c>
      <c r="M733" s="72">
        <f>M732</f>
        <v>2.4</v>
      </c>
      <c r="N733" s="72"/>
      <c r="O733" s="72">
        <f>O732</f>
        <v>0.86</v>
      </c>
      <c r="P733" s="72">
        <f>P732</f>
        <v>0</v>
      </c>
      <c r="Q733" s="72"/>
      <c r="R733" s="72">
        <f>R732</f>
        <v>23</v>
      </c>
      <c r="S733" s="72"/>
      <c r="T733" s="72"/>
      <c r="U733" s="72"/>
      <c r="V733" s="72"/>
      <c r="W733" s="72"/>
      <c r="X733" s="72"/>
      <c r="Y733" s="72"/>
      <c r="Z733" s="72"/>
      <c r="AA733" s="72"/>
      <c r="AB733" s="72"/>
      <c r="AC733" s="73"/>
      <c r="AD733" s="73"/>
      <c r="AE733" s="73"/>
      <c r="AF733" s="73"/>
      <c r="AG733" s="73"/>
      <c r="AH733" s="73"/>
      <c r="AI733" s="73"/>
      <c r="AJ733" s="73"/>
      <c r="AK733" s="73"/>
      <c r="AL733" s="73"/>
      <c r="AM733" s="73"/>
      <c r="AN733" s="73"/>
      <c r="AO733" s="73"/>
      <c r="AP733" s="73"/>
      <c r="AQ733" s="73"/>
      <c r="AR733" s="73"/>
      <c r="AS733" s="73"/>
      <c r="AT733" s="73"/>
      <c r="AU733" s="73"/>
      <c r="AV733" s="73"/>
      <c r="AW733" s="73"/>
      <c r="AX733" s="73"/>
    </row>
    <row r="734" spans="1:50" s="22" customFormat="1" ht="34" x14ac:dyDescent="0.2">
      <c r="A734" s="21" t="s">
        <v>325</v>
      </c>
      <c r="B734" s="21" t="s">
        <v>326</v>
      </c>
      <c r="D734" s="2"/>
      <c r="E734" s="2"/>
      <c r="H734" s="22" t="s">
        <v>33</v>
      </c>
      <c r="I734" s="65" t="s">
        <v>1004</v>
      </c>
      <c r="J734" s="4">
        <v>92.2</v>
      </c>
      <c r="K734" s="4">
        <v>1.3</v>
      </c>
      <c r="L734" s="4"/>
      <c r="M734" s="4">
        <v>5.6</v>
      </c>
      <c r="N734" s="4"/>
      <c r="O734" s="4"/>
      <c r="P734" s="4" t="s">
        <v>0</v>
      </c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23"/>
      <c r="AD734" s="23"/>
      <c r="AE734" s="23"/>
      <c r="AF734" s="23"/>
      <c r="AG734" s="23"/>
      <c r="AH734" s="23"/>
      <c r="AI734" s="23"/>
      <c r="AJ734" s="23"/>
      <c r="AK734" s="23"/>
      <c r="AL734" s="23"/>
      <c r="AM734" s="23"/>
      <c r="AN734" s="23"/>
      <c r="AO734" s="23"/>
      <c r="AP734" s="23"/>
      <c r="AQ734" s="23"/>
      <c r="AR734" s="23"/>
      <c r="AS734" s="23"/>
      <c r="AT734" s="23"/>
      <c r="AU734" s="23"/>
      <c r="AV734" s="23"/>
      <c r="AW734" s="23"/>
      <c r="AX734" s="23"/>
    </row>
    <row r="735" spans="1:50" s="71" customFormat="1" ht="15" customHeight="1" x14ac:dyDescent="0.2">
      <c r="A735" s="70" t="s">
        <v>325</v>
      </c>
      <c r="B735" s="70" t="s">
        <v>326</v>
      </c>
      <c r="C735" s="71" t="s">
        <v>873</v>
      </c>
      <c r="D735" s="71" t="s">
        <v>31</v>
      </c>
      <c r="E735" s="71" t="s">
        <v>46</v>
      </c>
      <c r="F735" s="78" t="s">
        <v>782</v>
      </c>
      <c r="G735" s="78" t="s">
        <v>71</v>
      </c>
      <c r="H735" s="71" t="s">
        <v>33</v>
      </c>
      <c r="I735" s="87"/>
      <c r="J735" s="72">
        <f t="shared" ref="J735" si="211">J734</f>
        <v>92.2</v>
      </c>
      <c r="K735" s="72">
        <f>K734</f>
        <v>1.3</v>
      </c>
      <c r="L735" s="72"/>
      <c r="M735" s="72">
        <f>M734</f>
        <v>5.6</v>
      </c>
      <c r="N735" s="72"/>
      <c r="O735" s="72"/>
      <c r="P735" s="72"/>
      <c r="Q735" s="72"/>
      <c r="R735" s="72"/>
      <c r="S735" s="72"/>
      <c r="T735" s="72"/>
      <c r="U735" s="72"/>
      <c r="V735" s="72"/>
      <c r="W735" s="72"/>
      <c r="X735" s="72"/>
      <c r="Y735" s="72"/>
      <c r="Z735" s="72"/>
      <c r="AA735" s="72"/>
      <c r="AB735" s="72"/>
      <c r="AC735" s="73"/>
      <c r="AD735" s="73"/>
      <c r="AE735" s="73"/>
      <c r="AF735" s="73"/>
      <c r="AG735" s="73"/>
      <c r="AH735" s="73"/>
      <c r="AI735" s="73"/>
      <c r="AJ735" s="73"/>
      <c r="AK735" s="73"/>
      <c r="AL735" s="73"/>
      <c r="AM735" s="73"/>
      <c r="AN735" s="73"/>
      <c r="AO735" s="73"/>
      <c r="AP735" s="73"/>
      <c r="AQ735" s="73"/>
      <c r="AR735" s="73"/>
      <c r="AS735" s="73"/>
      <c r="AT735" s="73"/>
      <c r="AU735" s="73"/>
      <c r="AV735" s="73"/>
      <c r="AW735" s="73"/>
      <c r="AX735" s="73"/>
    </row>
    <row r="736" spans="1:50" ht="51" x14ac:dyDescent="0.2">
      <c r="A736" s="24" t="s">
        <v>327</v>
      </c>
      <c r="B736" s="24" t="s">
        <v>328</v>
      </c>
      <c r="H736" s="2" t="s">
        <v>131</v>
      </c>
      <c r="I736" s="243" t="s">
        <v>1032</v>
      </c>
      <c r="J736" s="3">
        <v>92</v>
      </c>
      <c r="K736" s="3">
        <v>0.8</v>
      </c>
      <c r="L736" s="3">
        <v>32</v>
      </c>
      <c r="M736" s="3">
        <v>0.5</v>
      </c>
      <c r="N736" s="3">
        <v>20</v>
      </c>
      <c r="O736" s="3">
        <v>0.7</v>
      </c>
      <c r="P736" s="4" t="s">
        <v>0</v>
      </c>
    </row>
    <row r="737" spans="1:50" ht="17" x14ac:dyDescent="0.2">
      <c r="A737" s="24" t="s">
        <v>327</v>
      </c>
      <c r="B737" s="24" t="s">
        <v>328</v>
      </c>
      <c r="C737" s="32" t="s">
        <v>0</v>
      </c>
      <c r="H737" s="2" t="s">
        <v>33</v>
      </c>
      <c r="I737" s="243" t="s">
        <v>1007</v>
      </c>
      <c r="J737" s="3">
        <v>70.8</v>
      </c>
      <c r="K737" s="3">
        <v>10.6</v>
      </c>
      <c r="L737" s="3">
        <v>429</v>
      </c>
      <c r="M737" s="3">
        <v>2.4</v>
      </c>
      <c r="N737" s="3">
        <v>156</v>
      </c>
      <c r="O737" s="3">
        <v>2.66</v>
      </c>
      <c r="P737" s="4">
        <f t="shared" ref="P737:P740" si="212">AN737</f>
        <v>0</v>
      </c>
      <c r="Q737" s="3">
        <v>112</v>
      </c>
      <c r="R737" s="3">
        <v>2.2000000000000002</v>
      </c>
      <c r="S737" s="3">
        <v>0</v>
      </c>
      <c r="AI737" s="23"/>
      <c r="AN737" s="23"/>
    </row>
    <row r="738" spans="1:50" ht="85" x14ac:dyDescent="0.2">
      <c r="A738" s="24" t="s">
        <v>327</v>
      </c>
      <c r="B738" s="24" t="s">
        <v>328</v>
      </c>
      <c r="C738" s="32" t="s">
        <v>0</v>
      </c>
      <c r="H738" s="2" t="s">
        <v>33</v>
      </c>
      <c r="I738" s="243" t="s">
        <v>924</v>
      </c>
      <c r="L738" s="3">
        <v>150</v>
      </c>
      <c r="M738" s="3">
        <v>2.7</v>
      </c>
      <c r="N738" s="3">
        <v>81</v>
      </c>
      <c r="R738" s="3">
        <v>351</v>
      </c>
      <c r="AI738" s="23"/>
      <c r="AN738" s="23"/>
    </row>
    <row r="739" spans="1:50" ht="34" x14ac:dyDescent="0.2">
      <c r="A739" s="31" t="s">
        <v>327</v>
      </c>
      <c r="B739" s="31" t="s">
        <v>328</v>
      </c>
      <c r="H739" s="2" t="s">
        <v>33</v>
      </c>
      <c r="I739" s="243" t="s">
        <v>1023</v>
      </c>
      <c r="J739" s="3">
        <v>76</v>
      </c>
      <c r="K739" s="3">
        <v>1.8</v>
      </c>
      <c r="L739" s="3">
        <v>175</v>
      </c>
      <c r="M739" s="3">
        <v>2.7</v>
      </c>
      <c r="P739" s="4">
        <f t="shared" si="212"/>
        <v>0</v>
      </c>
      <c r="R739" s="3">
        <v>88</v>
      </c>
      <c r="AN739" s="23"/>
    </row>
    <row r="740" spans="1:50" ht="34" x14ac:dyDescent="0.2">
      <c r="A740" s="31" t="s">
        <v>327</v>
      </c>
      <c r="B740" s="31" t="s">
        <v>328</v>
      </c>
      <c r="H740" s="2" t="s">
        <v>33</v>
      </c>
      <c r="I740" s="243" t="s">
        <v>1023</v>
      </c>
      <c r="J740" s="3">
        <v>92</v>
      </c>
      <c r="K740" s="3">
        <v>0.9</v>
      </c>
      <c r="L740" s="3">
        <v>32</v>
      </c>
      <c r="M740" s="3">
        <v>0.1</v>
      </c>
      <c r="P740" s="4">
        <f t="shared" si="212"/>
        <v>0</v>
      </c>
      <c r="AN740" s="23"/>
    </row>
    <row r="741" spans="1:50" s="71" customFormat="1" x14ac:dyDescent="0.2">
      <c r="A741" s="77" t="s">
        <v>327</v>
      </c>
      <c r="B741" s="77" t="s">
        <v>328</v>
      </c>
      <c r="C741" s="71" t="s">
        <v>329</v>
      </c>
      <c r="D741" s="71" t="s">
        <v>31</v>
      </c>
      <c r="E741" s="71" t="s">
        <v>46</v>
      </c>
      <c r="F741" s="78" t="s">
        <v>782</v>
      </c>
      <c r="H741" s="71" t="s">
        <v>33</v>
      </c>
      <c r="I741" s="87"/>
      <c r="J741" s="72">
        <f t="shared" ref="J741:S741" si="213">AVERAGE(J736:J740)</f>
        <v>82.7</v>
      </c>
      <c r="K741" s="72">
        <f t="shared" si="213"/>
        <v>3.5250000000000004</v>
      </c>
      <c r="L741" s="72">
        <f t="shared" si="213"/>
        <v>163.6</v>
      </c>
      <c r="M741" s="72">
        <f t="shared" si="213"/>
        <v>1.6800000000000002</v>
      </c>
      <c r="N741" s="72">
        <f t="shared" si="213"/>
        <v>85.666666666666671</v>
      </c>
      <c r="O741" s="72">
        <f t="shared" si="213"/>
        <v>1.6800000000000002</v>
      </c>
      <c r="P741" s="72">
        <f t="shared" si="213"/>
        <v>0</v>
      </c>
      <c r="Q741" s="72">
        <f t="shared" si="213"/>
        <v>112</v>
      </c>
      <c r="R741" s="72">
        <f t="shared" si="213"/>
        <v>147.06666666666666</v>
      </c>
      <c r="S741" s="72">
        <f t="shared" si="213"/>
        <v>0</v>
      </c>
      <c r="T741" s="72"/>
      <c r="U741" s="72"/>
      <c r="V741" s="72"/>
      <c r="W741" s="72"/>
      <c r="X741" s="72"/>
      <c r="Y741" s="72"/>
      <c r="Z741" s="72"/>
      <c r="AA741" s="72"/>
      <c r="AB741" s="72"/>
      <c r="AC741" s="73"/>
      <c r="AD741" s="73"/>
      <c r="AE741" s="73"/>
      <c r="AF741" s="73"/>
      <c r="AG741" s="73"/>
      <c r="AH741" s="73"/>
      <c r="AI741" s="73"/>
      <c r="AJ741" s="73"/>
      <c r="AK741" s="73"/>
      <c r="AL741" s="73"/>
      <c r="AM741" s="73"/>
      <c r="AN741" s="73"/>
      <c r="AO741" s="73"/>
      <c r="AP741" s="73"/>
      <c r="AQ741" s="73"/>
      <c r="AR741" s="73"/>
      <c r="AS741" s="73"/>
      <c r="AT741" s="73"/>
      <c r="AU741" s="73"/>
      <c r="AV741" s="73"/>
      <c r="AW741" s="73"/>
      <c r="AX741" s="73"/>
    </row>
    <row r="742" spans="1:50" ht="17" x14ac:dyDescent="0.2">
      <c r="A742" s="24" t="s">
        <v>330</v>
      </c>
      <c r="B742" s="24" t="s">
        <v>331</v>
      </c>
      <c r="C742" s="32" t="s">
        <v>0</v>
      </c>
      <c r="H742" s="2" t="s">
        <v>33</v>
      </c>
      <c r="I742" s="243" t="s">
        <v>1007</v>
      </c>
      <c r="J742" s="3">
        <v>91.7</v>
      </c>
      <c r="K742" s="3">
        <v>1.6</v>
      </c>
      <c r="L742" s="3">
        <v>160</v>
      </c>
      <c r="M742" s="3">
        <v>1.46</v>
      </c>
      <c r="N742" s="3">
        <v>47</v>
      </c>
      <c r="O742" s="3">
        <v>0.47</v>
      </c>
      <c r="P742" s="4">
        <f t="shared" ref="P742:P744" si="214">AN742</f>
        <v>0</v>
      </c>
      <c r="Q742" s="3">
        <v>97</v>
      </c>
      <c r="R742" s="3">
        <v>0.3</v>
      </c>
      <c r="S742" s="3">
        <v>0.43</v>
      </c>
      <c r="AI742" s="23"/>
      <c r="AN742" s="23"/>
    </row>
    <row r="743" spans="1:50" ht="34" x14ac:dyDescent="0.2">
      <c r="A743" s="24" t="s">
        <v>330</v>
      </c>
      <c r="B743" s="24" t="s">
        <v>331</v>
      </c>
      <c r="H743" s="2" t="s">
        <v>33</v>
      </c>
      <c r="I743" s="243" t="s">
        <v>1010</v>
      </c>
      <c r="J743" s="3">
        <v>91.8</v>
      </c>
      <c r="K743" s="3">
        <v>0.9</v>
      </c>
      <c r="L743" s="3">
        <v>352</v>
      </c>
      <c r="M743" s="3">
        <v>0.8</v>
      </c>
      <c r="P743" s="4">
        <f t="shared" si="214"/>
        <v>0</v>
      </c>
      <c r="AN743" s="23"/>
    </row>
    <row r="744" spans="1:50" ht="34" x14ac:dyDescent="0.2">
      <c r="A744" s="24" t="s">
        <v>332</v>
      </c>
      <c r="B744" s="24" t="s">
        <v>331</v>
      </c>
      <c r="H744" s="2" t="s">
        <v>33</v>
      </c>
      <c r="I744" s="243" t="s">
        <v>1009</v>
      </c>
      <c r="K744" s="3">
        <v>0.84</v>
      </c>
      <c r="L744" s="3">
        <v>160</v>
      </c>
      <c r="M744" s="3">
        <v>1.75</v>
      </c>
      <c r="O744" s="3">
        <v>0.41</v>
      </c>
      <c r="P744" s="4">
        <f t="shared" si="214"/>
        <v>0</v>
      </c>
      <c r="Q744" s="3">
        <v>87</v>
      </c>
      <c r="R744" s="3">
        <v>107</v>
      </c>
      <c r="S744" s="3">
        <v>1.99</v>
      </c>
      <c r="AN744" s="23"/>
    </row>
    <row r="745" spans="1:50" s="71" customFormat="1" x14ac:dyDescent="0.2">
      <c r="A745" s="70" t="s">
        <v>330</v>
      </c>
      <c r="B745" s="70" t="s">
        <v>331</v>
      </c>
      <c r="C745" s="71" t="s">
        <v>333</v>
      </c>
      <c r="D745" s="71" t="s">
        <v>56</v>
      </c>
      <c r="E745" s="71" t="s">
        <v>46</v>
      </c>
      <c r="F745" s="78" t="s">
        <v>782</v>
      </c>
      <c r="H745" s="71" t="s">
        <v>33</v>
      </c>
      <c r="I745" s="87"/>
      <c r="J745" s="72">
        <f t="shared" ref="J745" si="215">AVERAGE(J742:J744)</f>
        <v>91.75</v>
      </c>
      <c r="K745" s="72">
        <f t="shared" ref="K745:S745" si="216">AVERAGE(K742:K744)</f>
        <v>1.1133333333333333</v>
      </c>
      <c r="L745" s="72">
        <f t="shared" si="216"/>
        <v>224</v>
      </c>
      <c r="M745" s="72">
        <f t="shared" si="216"/>
        <v>1.3366666666666667</v>
      </c>
      <c r="N745" s="72">
        <f t="shared" si="216"/>
        <v>47</v>
      </c>
      <c r="O745" s="72">
        <f t="shared" si="216"/>
        <v>0.43999999999999995</v>
      </c>
      <c r="P745" s="72">
        <f t="shared" si="216"/>
        <v>0</v>
      </c>
      <c r="Q745" s="72">
        <f t="shared" si="216"/>
        <v>92</v>
      </c>
      <c r="R745" s="72">
        <f t="shared" si="216"/>
        <v>53.65</v>
      </c>
      <c r="S745" s="72">
        <f t="shared" si="216"/>
        <v>1.21</v>
      </c>
      <c r="T745" s="72"/>
      <c r="U745" s="72"/>
      <c r="V745" s="72"/>
      <c r="W745" s="72"/>
      <c r="X745" s="72"/>
      <c r="Y745" s="72"/>
      <c r="Z745" s="72"/>
      <c r="AA745" s="72"/>
      <c r="AB745" s="72"/>
      <c r="AC745" s="73"/>
      <c r="AD745" s="73"/>
      <c r="AE745" s="73"/>
      <c r="AF745" s="73"/>
      <c r="AG745" s="73"/>
      <c r="AH745" s="73"/>
      <c r="AI745" s="73"/>
      <c r="AJ745" s="73"/>
      <c r="AK745" s="73"/>
      <c r="AL745" s="73"/>
      <c r="AM745" s="73"/>
      <c r="AN745" s="73"/>
      <c r="AO745" s="73"/>
      <c r="AP745" s="73"/>
      <c r="AQ745" s="73"/>
      <c r="AR745" s="73"/>
      <c r="AS745" s="73"/>
      <c r="AT745" s="73"/>
      <c r="AU745" s="73"/>
      <c r="AV745" s="73"/>
      <c r="AW745" s="73"/>
      <c r="AX745" s="73"/>
    </row>
    <row r="746" spans="1:50" ht="34" x14ac:dyDescent="0.2">
      <c r="A746" s="24" t="s">
        <v>330</v>
      </c>
      <c r="B746" s="24" t="s">
        <v>334</v>
      </c>
      <c r="H746" s="2" t="s">
        <v>33</v>
      </c>
      <c r="I746" s="243" t="s">
        <v>1009</v>
      </c>
      <c r="K746" s="3">
        <v>1.33</v>
      </c>
      <c r="L746" s="3">
        <v>349</v>
      </c>
      <c r="M746" s="3">
        <v>2.15</v>
      </c>
      <c r="P746" s="4">
        <f t="shared" ref="P746:P747" si="217">AN746</f>
        <v>0</v>
      </c>
      <c r="R746" s="3">
        <v>347</v>
      </c>
      <c r="S746" s="3">
        <v>1.44</v>
      </c>
      <c r="AN746" s="23"/>
    </row>
    <row r="747" spans="1:50" ht="34" x14ac:dyDescent="0.2">
      <c r="A747" s="24" t="s">
        <v>330</v>
      </c>
      <c r="B747" s="24" t="s">
        <v>334</v>
      </c>
      <c r="H747" s="2" t="s">
        <v>33</v>
      </c>
      <c r="I747" s="243" t="s">
        <v>1009</v>
      </c>
      <c r="K747" s="3">
        <v>0.93</v>
      </c>
      <c r="L747" s="3">
        <v>426</v>
      </c>
      <c r="M747" s="3">
        <v>1.39</v>
      </c>
      <c r="P747" s="4">
        <f t="shared" si="217"/>
        <v>0</v>
      </c>
      <c r="R747" s="3">
        <v>204</v>
      </c>
      <c r="S747" s="3">
        <v>0.74</v>
      </c>
      <c r="AN747" s="23"/>
    </row>
    <row r="748" spans="1:50" s="71" customFormat="1" x14ac:dyDescent="0.2">
      <c r="A748" s="70" t="s">
        <v>330</v>
      </c>
      <c r="B748" s="70" t="s">
        <v>334</v>
      </c>
      <c r="C748" s="71" t="s">
        <v>874</v>
      </c>
      <c r="D748" s="71" t="s">
        <v>56</v>
      </c>
      <c r="E748" s="71" t="s">
        <v>46</v>
      </c>
      <c r="F748" s="78" t="s">
        <v>782</v>
      </c>
      <c r="H748" s="71" t="s">
        <v>33</v>
      </c>
      <c r="I748" s="87"/>
      <c r="J748" s="72"/>
      <c r="K748" s="72">
        <f>AVERAGE(K746:K747)</f>
        <v>1.1300000000000001</v>
      </c>
      <c r="L748" s="72">
        <f>AVERAGE(L746:L747)</f>
        <v>387.5</v>
      </c>
      <c r="M748" s="72">
        <f>AVERAGE(M746:M747)</f>
        <v>1.77</v>
      </c>
      <c r="N748" s="72"/>
      <c r="O748" s="72"/>
      <c r="P748" s="72">
        <f>AVERAGE(P746:P747)</f>
        <v>0</v>
      </c>
      <c r="Q748" s="72"/>
      <c r="R748" s="72">
        <f>AVERAGE(R746:R747)</f>
        <v>275.5</v>
      </c>
      <c r="S748" s="72">
        <f>AVERAGE(S746:S747)</f>
        <v>1.0899999999999999</v>
      </c>
      <c r="T748" s="72"/>
      <c r="U748" s="72"/>
      <c r="V748" s="72"/>
      <c r="W748" s="72"/>
      <c r="X748" s="72"/>
      <c r="Y748" s="72"/>
      <c r="Z748" s="72"/>
      <c r="AA748" s="72"/>
      <c r="AB748" s="72"/>
      <c r="AC748" s="73"/>
      <c r="AD748" s="73"/>
      <c r="AE748" s="73"/>
      <c r="AF748" s="73"/>
      <c r="AG748" s="73"/>
      <c r="AH748" s="73"/>
      <c r="AI748" s="73"/>
      <c r="AJ748" s="73"/>
      <c r="AK748" s="73"/>
      <c r="AL748" s="73"/>
      <c r="AM748" s="73"/>
      <c r="AN748" s="73"/>
      <c r="AO748" s="73"/>
      <c r="AP748" s="73"/>
      <c r="AQ748" s="73"/>
      <c r="AR748" s="73"/>
      <c r="AS748" s="73"/>
      <c r="AT748" s="73"/>
      <c r="AU748" s="73"/>
      <c r="AV748" s="73"/>
      <c r="AW748" s="73"/>
      <c r="AX748" s="73"/>
    </row>
    <row r="749" spans="1:50" s="22" customFormat="1" ht="17" x14ac:dyDescent="0.2">
      <c r="A749" s="25" t="s">
        <v>335</v>
      </c>
      <c r="B749" s="25" t="s">
        <v>336</v>
      </c>
      <c r="C749" s="26" t="s">
        <v>0</v>
      </c>
      <c r="D749" s="2"/>
      <c r="E749" s="2"/>
      <c r="F749" s="26"/>
      <c r="G749" s="26"/>
      <c r="H749" s="26" t="s">
        <v>33</v>
      </c>
      <c r="I749" s="65" t="s">
        <v>1006</v>
      </c>
      <c r="J749" s="4">
        <v>86</v>
      </c>
      <c r="K749" s="4">
        <v>2.0020000000000002</v>
      </c>
      <c r="L749" s="4">
        <v>294.99470000000002</v>
      </c>
      <c r="M749" s="4">
        <v>5.7057000000000002</v>
      </c>
      <c r="N749" s="4"/>
      <c r="O749" s="4"/>
      <c r="P749" s="4">
        <f t="shared" ref="P749" si="218">AN749</f>
        <v>0</v>
      </c>
      <c r="Q749" s="4"/>
      <c r="R749" s="4">
        <v>27.999400000000005</v>
      </c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23"/>
      <c r="AD749" s="23"/>
      <c r="AE749" s="23"/>
      <c r="AF749" s="23"/>
      <c r="AG749" s="23"/>
      <c r="AH749" s="23"/>
      <c r="AI749" s="23"/>
      <c r="AJ749" s="23"/>
      <c r="AK749" s="23"/>
      <c r="AL749" s="23"/>
      <c r="AM749" s="23"/>
      <c r="AN749" s="23"/>
      <c r="AO749" s="23"/>
      <c r="AP749" s="23"/>
      <c r="AQ749" s="23"/>
      <c r="AR749" s="23"/>
      <c r="AS749" s="23"/>
      <c r="AT749" s="23"/>
      <c r="AU749" s="23"/>
      <c r="AV749" s="23"/>
      <c r="AW749" s="23"/>
      <c r="AX749" s="23"/>
    </row>
    <row r="750" spans="1:50" s="71" customFormat="1" ht="15" customHeight="1" x14ac:dyDescent="0.2">
      <c r="A750" s="77" t="s">
        <v>335</v>
      </c>
      <c r="B750" s="77" t="s">
        <v>336</v>
      </c>
      <c r="C750" s="78" t="s">
        <v>337</v>
      </c>
      <c r="D750" s="71" t="s">
        <v>31</v>
      </c>
      <c r="E750" s="78" t="s">
        <v>46</v>
      </c>
      <c r="F750" s="78" t="s">
        <v>782</v>
      </c>
      <c r="G750" s="78" t="s">
        <v>71</v>
      </c>
      <c r="H750" s="78" t="s">
        <v>33</v>
      </c>
      <c r="I750" s="87"/>
      <c r="J750" s="72">
        <f>J749</f>
        <v>86</v>
      </c>
      <c r="K750" s="72">
        <f>K749</f>
        <v>2.0020000000000002</v>
      </c>
      <c r="L750" s="72">
        <f>L749</f>
        <v>294.99470000000002</v>
      </c>
      <c r="M750" s="72">
        <f>M749</f>
        <v>5.7057000000000002</v>
      </c>
      <c r="N750" s="72"/>
      <c r="O750" s="72"/>
      <c r="P750" s="72">
        <f>P749</f>
        <v>0</v>
      </c>
      <c r="Q750" s="72"/>
      <c r="R750" s="72">
        <f>R749</f>
        <v>27.999400000000005</v>
      </c>
      <c r="S750" s="72"/>
      <c r="T750" s="72"/>
      <c r="U750" s="72"/>
      <c r="V750" s="72"/>
      <c r="W750" s="72"/>
      <c r="X750" s="72"/>
      <c r="Y750" s="72"/>
      <c r="Z750" s="72"/>
      <c r="AA750" s="72"/>
      <c r="AB750" s="72"/>
      <c r="AC750" s="73"/>
      <c r="AD750" s="73"/>
      <c r="AE750" s="73"/>
      <c r="AF750" s="73"/>
      <c r="AG750" s="73"/>
      <c r="AH750" s="73"/>
      <c r="AI750" s="73"/>
      <c r="AJ750" s="73"/>
      <c r="AK750" s="73"/>
      <c r="AL750" s="73"/>
      <c r="AM750" s="73"/>
      <c r="AN750" s="73"/>
      <c r="AO750" s="73"/>
      <c r="AP750" s="73"/>
      <c r="AQ750" s="73"/>
      <c r="AR750" s="73"/>
      <c r="AS750" s="73"/>
      <c r="AT750" s="73"/>
      <c r="AU750" s="73"/>
      <c r="AV750" s="73"/>
      <c r="AW750" s="73"/>
      <c r="AX750" s="73"/>
    </row>
    <row r="751" spans="1:50" ht="17" x14ac:dyDescent="0.2">
      <c r="A751" s="24" t="s">
        <v>335</v>
      </c>
      <c r="B751" s="24" t="s">
        <v>725</v>
      </c>
      <c r="H751" s="2" t="s">
        <v>33</v>
      </c>
      <c r="I751" s="243" t="s">
        <v>1018</v>
      </c>
      <c r="J751" s="3">
        <v>88.7</v>
      </c>
      <c r="K751" s="3">
        <v>2.1</v>
      </c>
      <c r="L751" s="3">
        <v>37</v>
      </c>
      <c r="M751" s="3">
        <v>0.6</v>
      </c>
      <c r="N751" s="3">
        <v>22</v>
      </c>
      <c r="P751" s="4" t="s">
        <v>0</v>
      </c>
      <c r="R751" s="3">
        <v>2</v>
      </c>
    </row>
    <row r="752" spans="1:50" s="71" customFormat="1" ht="15" customHeight="1" x14ac:dyDescent="0.2">
      <c r="A752" s="70" t="s">
        <v>335</v>
      </c>
      <c r="B752" s="70" t="s">
        <v>725</v>
      </c>
      <c r="C752" s="71" t="s">
        <v>875</v>
      </c>
      <c r="D752" s="71" t="s">
        <v>31</v>
      </c>
      <c r="E752" s="71" t="s">
        <v>46</v>
      </c>
      <c r="F752" s="78" t="s">
        <v>782</v>
      </c>
      <c r="H752" s="71" t="s">
        <v>33</v>
      </c>
      <c r="I752" s="87"/>
      <c r="J752" s="72">
        <f t="shared" ref="J752" si="219">J751</f>
        <v>88.7</v>
      </c>
      <c r="K752" s="72">
        <f>K751</f>
        <v>2.1</v>
      </c>
      <c r="L752" s="72">
        <f>L751</f>
        <v>37</v>
      </c>
      <c r="M752" s="72">
        <f>M751</f>
        <v>0.6</v>
      </c>
      <c r="N752" s="72">
        <f>N751</f>
        <v>22</v>
      </c>
      <c r="O752" s="72"/>
      <c r="P752" s="72"/>
      <c r="Q752" s="72"/>
      <c r="R752" s="72">
        <f>R751</f>
        <v>2</v>
      </c>
      <c r="S752" s="72"/>
      <c r="T752" s="72"/>
      <c r="U752" s="72"/>
      <c r="V752" s="72"/>
      <c r="W752" s="72"/>
      <c r="X752" s="72"/>
      <c r="Y752" s="72"/>
      <c r="Z752" s="72"/>
      <c r="AA752" s="72"/>
      <c r="AB752" s="72"/>
      <c r="AC752" s="73"/>
      <c r="AD752" s="73"/>
      <c r="AE752" s="73"/>
      <c r="AF752" s="73"/>
      <c r="AG752" s="73"/>
      <c r="AH752" s="73"/>
      <c r="AI752" s="73"/>
      <c r="AJ752" s="73"/>
      <c r="AK752" s="73"/>
      <c r="AL752" s="73"/>
      <c r="AM752" s="73"/>
      <c r="AN752" s="73"/>
      <c r="AO752" s="73"/>
      <c r="AP752" s="73"/>
      <c r="AQ752" s="73"/>
      <c r="AR752" s="73"/>
      <c r="AS752" s="73"/>
      <c r="AT752" s="73"/>
      <c r="AU752" s="73"/>
      <c r="AV752" s="73"/>
      <c r="AW752" s="73"/>
      <c r="AX752" s="73"/>
    </row>
    <row r="753" spans="1:50" s="22" customFormat="1" ht="15" customHeight="1" x14ac:dyDescent="0.2">
      <c r="A753" s="21" t="s">
        <v>759</v>
      </c>
      <c r="B753" s="21" t="s">
        <v>900</v>
      </c>
      <c r="D753" s="2"/>
      <c r="E753" s="2"/>
      <c r="F753" s="26"/>
      <c r="H753" s="22" t="s">
        <v>187</v>
      </c>
      <c r="I753" s="65" t="s">
        <v>1026</v>
      </c>
      <c r="J753" s="4">
        <v>82.7</v>
      </c>
      <c r="K753" s="4">
        <v>2.4</v>
      </c>
      <c r="L753" s="4">
        <v>108</v>
      </c>
      <c r="M753" s="4">
        <v>2.4</v>
      </c>
      <c r="N753" s="4"/>
      <c r="O753" s="4"/>
      <c r="P753" s="4">
        <f>6.5/1000</f>
        <v>6.4999999999999997E-3</v>
      </c>
      <c r="Q753" s="4"/>
      <c r="R753" s="4">
        <v>37</v>
      </c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23"/>
      <c r="AD753" s="23"/>
      <c r="AE753" s="23"/>
      <c r="AF753" s="23"/>
      <c r="AG753" s="23"/>
      <c r="AH753" s="23"/>
      <c r="AI753" s="23"/>
      <c r="AJ753" s="23"/>
      <c r="AK753" s="23"/>
      <c r="AL753" s="23"/>
      <c r="AM753" s="23"/>
      <c r="AN753" s="23"/>
      <c r="AO753" s="23"/>
      <c r="AP753" s="23"/>
      <c r="AQ753" s="23"/>
      <c r="AR753" s="23"/>
      <c r="AS753" s="23"/>
      <c r="AT753" s="23"/>
      <c r="AU753" s="23"/>
      <c r="AV753" s="23"/>
      <c r="AW753" s="23"/>
      <c r="AX753" s="23"/>
    </row>
    <row r="754" spans="1:50" s="71" customFormat="1" ht="15" customHeight="1" x14ac:dyDescent="0.2">
      <c r="A754" s="70" t="s">
        <v>759</v>
      </c>
      <c r="B754" s="70" t="s">
        <v>900</v>
      </c>
      <c r="C754" s="71" t="s">
        <v>901</v>
      </c>
      <c r="D754" s="71" t="s">
        <v>31</v>
      </c>
      <c r="E754" s="71" t="s">
        <v>32</v>
      </c>
      <c r="F754" s="78" t="s">
        <v>781</v>
      </c>
      <c r="H754" s="71" t="s">
        <v>286</v>
      </c>
      <c r="I754" s="87"/>
      <c r="J754" s="72">
        <f>J753</f>
        <v>82.7</v>
      </c>
      <c r="K754" s="72">
        <f>K753</f>
        <v>2.4</v>
      </c>
      <c r="L754" s="72">
        <f>L753</f>
        <v>108</v>
      </c>
      <c r="M754" s="72">
        <f>M753</f>
        <v>2.4</v>
      </c>
      <c r="N754" s="72"/>
      <c r="O754" s="72"/>
      <c r="P754" s="72">
        <f>P753</f>
        <v>6.4999999999999997E-3</v>
      </c>
      <c r="Q754" s="72"/>
      <c r="R754" s="72">
        <f>R753</f>
        <v>37</v>
      </c>
      <c r="S754" s="72"/>
      <c r="T754" s="72"/>
      <c r="U754" s="72"/>
      <c r="V754" s="72"/>
      <c r="W754" s="72"/>
      <c r="X754" s="72"/>
      <c r="Y754" s="72"/>
      <c r="Z754" s="72"/>
      <c r="AA754" s="72"/>
      <c r="AB754" s="72"/>
      <c r="AC754" s="73"/>
      <c r="AD754" s="73"/>
      <c r="AE754" s="73"/>
      <c r="AF754" s="73"/>
      <c r="AG754" s="73"/>
      <c r="AH754" s="73"/>
      <c r="AI754" s="73"/>
      <c r="AJ754" s="73"/>
      <c r="AK754" s="73"/>
      <c r="AL754" s="73"/>
      <c r="AM754" s="73"/>
      <c r="AN754" s="73"/>
      <c r="AO754" s="73"/>
      <c r="AP754" s="73"/>
      <c r="AQ754" s="73"/>
      <c r="AR754" s="73"/>
      <c r="AS754" s="73"/>
      <c r="AT754" s="73"/>
      <c r="AU754" s="73"/>
      <c r="AV754" s="73"/>
      <c r="AW754" s="73"/>
      <c r="AX754" s="73"/>
    </row>
    <row r="755" spans="1:50" ht="15" customHeight="1" x14ac:dyDescent="0.2">
      <c r="A755" s="24" t="s">
        <v>759</v>
      </c>
      <c r="B755" s="24" t="s">
        <v>310</v>
      </c>
      <c r="H755" s="2" t="s">
        <v>37</v>
      </c>
      <c r="I755" s="243" t="s">
        <v>1027</v>
      </c>
      <c r="J755" s="3">
        <f>100-20.6</f>
        <v>79.400000000000006</v>
      </c>
      <c r="L755" s="3">
        <v>12</v>
      </c>
      <c r="M755" s="3">
        <v>0.98</v>
      </c>
      <c r="N755" s="3">
        <v>38</v>
      </c>
      <c r="O755" s="3">
        <v>0.57999999999999996</v>
      </c>
      <c r="P755" s="4" t="s">
        <v>0</v>
      </c>
    </row>
    <row r="756" spans="1:50" ht="15" customHeight="1" x14ac:dyDescent="0.2">
      <c r="A756" s="24" t="s">
        <v>759</v>
      </c>
      <c r="B756" s="24" t="s">
        <v>310</v>
      </c>
      <c r="H756" s="2" t="s">
        <v>37</v>
      </c>
      <c r="I756" s="243" t="s">
        <v>1027</v>
      </c>
      <c r="J756" s="3">
        <f>100-19.4</f>
        <v>80.599999999999994</v>
      </c>
      <c r="L756" s="3">
        <v>20</v>
      </c>
      <c r="M756" s="3">
        <v>0.56000000000000005</v>
      </c>
      <c r="N756" s="3">
        <v>38</v>
      </c>
      <c r="O756" s="3">
        <v>0.54</v>
      </c>
      <c r="P756" s="4" t="s">
        <v>0</v>
      </c>
    </row>
    <row r="757" spans="1:50" s="71" customFormat="1" ht="15" customHeight="1" x14ac:dyDescent="0.2">
      <c r="A757" s="70" t="s">
        <v>759</v>
      </c>
      <c r="B757" s="70" t="s">
        <v>310</v>
      </c>
      <c r="C757" s="71" t="s">
        <v>760</v>
      </c>
      <c r="D757" s="71" t="s">
        <v>31</v>
      </c>
      <c r="E757" s="71" t="s">
        <v>32</v>
      </c>
      <c r="F757" s="71" t="s">
        <v>781</v>
      </c>
      <c r="H757" s="71" t="s">
        <v>37</v>
      </c>
      <c r="I757" s="87"/>
      <c r="J757" s="72">
        <f>AVERAGE(J755:J756)</f>
        <v>80</v>
      </c>
      <c r="K757" s="72"/>
      <c r="L757" s="72">
        <f>AVERAGE(L755:L756)</f>
        <v>16</v>
      </c>
      <c r="M757" s="72">
        <f>AVERAGE(M755:M756)</f>
        <v>0.77</v>
      </c>
      <c r="N757" s="72">
        <f>AVERAGE(N755:N756)</f>
        <v>38</v>
      </c>
      <c r="O757" s="72">
        <f>AVERAGE(O755:O756)</f>
        <v>0.56000000000000005</v>
      </c>
      <c r="P757" s="72"/>
      <c r="Q757" s="72"/>
      <c r="R757" s="72"/>
      <c r="S757" s="72"/>
      <c r="T757" s="72"/>
      <c r="U757" s="72"/>
      <c r="V757" s="72"/>
      <c r="W757" s="72"/>
      <c r="X757" s="72"/>
      <c r="Y757" s="72"/>
      <c r="Z757" s="72"/>
      <c r="AA757" s="72"/>
      <c r="AB757" s="72"/>
      <c r="AC757" s="73"/>
      <c r="AD757" s="73"/>
      <c r="AE757" s="73"/>
      <c r="AF757" s="73"/>
      <c r="AG757" s="73"/>
      <c r="AH757" s="73"/>
      <c r="AI757" s="73"/>
      <c r="AJ757" s="73"/>
      <c r="AK757" s="73"/>
      <c r="AL757" s="73"/>
      <c r="AM757" s="73"/>
      <c r="AN757" s="73"/>
      <c r="AO757" s="73"/>
      <c r="AP757" s="73"/>
      <c r="AQ757" s="73"/>
      <c r="AR757" s="73"/>
      <c r="AS757" s="73"/>
      <c r="AT757" s="73"/>
      <c r="AU757" s="73"/>
      <c r="AV757" s="73"/>
      <c r="AW757" s="73"/>
      <c r="AX757" s="73"/>
    </row>
    <row r="758" spans="1:50" s="22" customFormat="1" ht="15" customHeight="1" x14ac:dyDescent="0.2">
      <c r="A758" s="21" t="s">
        <v>759</v>
      </c>
      <c r="B758" s="21" t="s">
        <v>720</v>
      </c>
      <c r="D758" s="2"/>
      <c r="E758" s="2"/>
      <c r="F758" s="22" t="s">
        <v>781</v>
      </c>
      <c r="H758" s="22" t="s">
        <v>33</v>
      </c>
      <c r="I758" s="65" t="s">
        <v>915</v>
      </c>
      <c r="J758" s="4">
        <v>78.099999999999994</v>
      </c>
      <c r="K758" s="4">
        <v>3</v>
      </c>
      <c r="L758" s="4">
        <v>639.1</v>
      </c>
      <c r="M758" s="4">
        <v>4.0999999999999996</v>
      </c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23"/>
      <c r="AD758" s="23"/>
      <c r="AE758" s="23"/>
      <c r="AF758" s="23"/>
      <c r="AG758" s="23"/>
      <c r="AH758" s="23"/>
      <c r="AI758" s="23"/>
      <c r="AJ758" s="23"/>
      <c r="AK758" s="23"/>
      <c r="AL758" s="23"/>
      <c r="AM758" s="23"/>
      <c r="AN758" s="23"/>
      <c r="AO758" s="23"/>
      <c r="AP758" s="23"/>
      <c r="AQ758" s="23"/>
      <c r="AR758" s="23"/>
      <c r="AS758" s="23"/>
      <c r="AT758" s="23"/>
      <c r="AU758" s="23"/>
      <c r="AV758" s="23"/>
      <c r="AW758" s="23"/>
      <c r="AX758" s="23"/>
    </row>
    <row r="759" spans="1:50" s="71" customFormat="1" ht="15" customHeight="1" x14ac:dyDescent="0.2">
      <c r="A759" s="70" t="s">
        <v>916</v>
      </c>
      <c r="B759" s="70" t="s">
        <v>720</v>
      </c>
      <c r="D759" s="71" t="s">
        <v>31</v>
      </c>
      <c r="E759" s="71" t="s">
        <v>32</v>
      </c>
      <c r="F759" s="71" t="s">
        <v>781</v>
      </c>
      <c r="H759" s="71" t="s">
        <v>33</v>
      </c>
      <c r="I759" s="87"/>
      <c r="J759" s="72">
        <f>J758</f>
        <v>78.099999999999994</v>
      </c>
      <c r="K759" s="72">
        <f>K758</f>
        <v>3</v>
      </c>
      <c r="L759" s="72">
        <f>L758</f>
        <v>639.1</v>
      </c>
      <c r="M759" s="72">
        <f>M758</f>
        <v>4.0999999999999996</v>
      </c>
      <c r="N759" s="72"/>
      <c r="O759" s="72"/>
      <c r="P759" s="72"/>
      <c r="Q759" s="72"/>
      <c r="R759" s="72"/>
      <c r="S759" s="72"/>
      <c r="T759" s="72"/>
      <c r="U759" s="72"/>
      <c r="V759" s="72"/>
      <c r="W759" s="72"/>
      <c r="X759" s="72"/>
      <c r="Y759" s="72"/>
      <c r="Z759" s="72"/>
      <c r="AA759" s="72"/>
      <c r="AB759" s="72"/>
      <c r="AC759" s="73"/>
      <c r="AD759" s="73"/>
      <c r="AE759" s="73"/>
      <c r="AF759" s="73"/>
      <c r="AG759" s="73"/>
      <c r="AH759" s="73"/>
      <c r="AI759" s="73"/>
      <c r="AJ759" s="73"/>
      <c r="AK759" s="73"/>
      <c r="AL759" s="73"/>
      <c r="AM759" s="73"/>
      <c r="AN759" s="73"/>
      <c r="AO759" s="73"/>
      <c r="AP759" s="73"/>
      <c r="AQ759" s="73"/>
      <c r="AR759" s="73"/>
      <c r="AS759" s="73"/>
      <c r="AT759" s="73"/>
      <c r="AU759" s="73"/>
      <c r="AV759" s="73"/>
      <c r="AW759" s="73"/>
      <c r="AX759" s="73"/>
    </row>
    <row r="760" spans="1:50" s="22" customFormat="1" ht="34" x14ac:dyDescent="0.2">
      <c r="A760" s="21" t="s">
        <v>338</v>
      </c>
      <c r="B760" s="21" t="s">
        <v>45</v>
      </c>
      <c r="C760" s="22" t="s">
        <v>0</v>
      </c>
      <c r="D760" s="2"/>
      <c r="E760" s="2"/>
      <c r="H760" s="22" t="s">
        <v>33</v>
      </c>
      <c r="I760" s="65" t="s">
        <v>1010</v>
      </c>
      <c r="J760" s="4">
        <v>89.8</v>
      </c>
      <c r="K760" s="4">
        <v>0.8</v>
      </c>
      <c r="L760" s="4">
        <v>86</v>
      </c>
      <c r="M760" s="4">
        <v>0.7</v>
      </c>
      <c r="N760" s="4">
        <v>9</v>
      </c>
      <c r="O760" s="4"/>
      <c r="P760" s="4" t="s">
        <v>0</v>
      </c>
      <c r="Q760" s="4"/>
      <c r="R760" s="4">
        <v>17</v>
      </c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23"/>
      <c r="AD760" s="23"/>
      <c r="AE760" s="23"/>
      <c r="AF760" s="23"/>
      <c r="AG760" s="23"/>
      <c r="AH760" s="23"/>
      <c r="AI760" s="23"/>
      <c r="AJ760" s="23"/>
      <c r="AK760" s="23"/>
      <c r="AL760" s="23"/>
      <c r="AM760" s="23"/>
      <c r="AN760" s="23"/>
      <c r="AO760" s="23"/>
      <c r="AP760" s="23"/>
      <c r="AQ760" s="23"/>
      <c r="AR760" s="23"/>
      <c r="AS760" s="23"/>
      <c r="AT760" s="23"/>
      <c r="AU760" s="23"/>
      <c r="AV760" s="23"/>
      <c r="AW760" s="23"/>
      <c r="AX760" s="23"/>
    </row>
    <row r="761" spans="1:50" s="71" customFormat="1" ht="15" customHeight="1" x14ac:dyDescent="0.2">
      <c r="A761" s="70" t="s">
        <v>338</v>
      </c>
      <c r="B761" s="70" t="s">
        <v>45</v>
      </c>
      <c r="C761" s="71" t="s">
        <v>339</v>
      </c>
      <c r="D761" s="71" t="s">
        <v>31</v>
      </c>
      <c r="E761" s="71" t="s">
        <v>32</v>
      </c>
      <c r="F761" s="71" t="s">
        <v>780</v>
      </c>
      <c r="H761" s="71" t="s">
        <v>33</v>
      </c>
      <c r="I761" s="87"/>
      <c r="J761" s="72">
        <f t="shared" ref="J761" si="220">J760</f>
        <v>89.8</v>
      </c>
      <c r="K761" s="72">
        <f>K760</f>
        <v>0.8</v>
      </c>
      <c r="L761" s="72">
        <f>L760</f>
        <v>86</v>
      </c>
      <c r="M761" s="72">
        <f>M760</f>
        <v>0.7</v>
      </c>
      <c r="N761" s="72">
        <f>N760</f>
        <v>9</v>
      </c>
      <c r="O761" s="72"/>
      <c r="P761" s="72"/>
      <c r="Q761" s="72"/>
      <c r="R761" s="72">
        <f>R760</f>
        <v>17</v>
      </c>
      <c r="S761" s="72"/>
      <c r="T761" s="72"/>
      <c r="U761" s="72"/>
      <c r="V761" s="72"/>
      <c r="W761" s="72"/>
      <c r="X761" s="72"/>
      <c r="Y761" s="72"/>
      <c r="Z761" s="72"/>
      <c r="AA761" s="72"/>
      <c r="AB761" s="72"/>
      <c r="AC761" s="73"/>
      <c r="AD761" s="73"/>
      <c r="AE761" s="73"/>
      <c r="AF761" s="73"/>
      <c r="AG761" s="73"/>
      <c r="AH761" s="73"/>
      <c r="AI761" s="73"/>
      <c r="AJ761" s="73"/>
      <c r="AK761" s="73"/>
      <c r="AL761" s="73"/>
      <c r="AM761" s="73"/>
      <c r="AN761" s="73"/>
      <c r="AO761" s="73"/>
      <c r="AP761" s="73"/>
      <c r="AQ761" s="73"/>
      <c r="AR761" s="73"/>
      <c r="AS761" s="73"/>
      <c r="AT761" s="73"/>
      <c r="AU761" s="73"/>
      <c r="AV761" s="73"/>
      <c r="AW761" s="73"/>
      <c r="AX761" s="73"/>
    </row>
    <row r="762" spans="1:50" ht="51" x14ac:dyDescent="0.2">
      <c r="A762" s="24" t="s">
        <v>726</v>
      </c>
      <c r="B762" s="24" t="s">
        <v>727</v>
      </c>
      <c r="H762" s="2" t="s">
        <v>166</v>
      </c>
      <c r="I762" s="243" t="s">
        <v>1028</v>
      </c>
      <c r="J762" s="3">
        <v>89.2</v>
      </c>
      <c r="L762" s="3">
        <v>58</v>
      </c>
      <c r="M762" s="3">
        <v>1.1000000000000001</v>
      </c>
      <c r="P762" s="4" t="s">
        <v>0</v>
      </c>
      <c r="R762" s="3">
        <v>12</v>
      </c>
    </row>
    <row r="763" spans="1:50" s="71" customFormat="1" ht="15" customHeight="1" x14ac:dyDescent="0.2">
      <c r="A763" s="70" t="s">
        <v>726</v>
      </c>
      <c r="B763" s="70" t="s">
        <v>727</v>
      </c>
      <c r="C763" s="71" t="s">
        <v>728</v>
      </c>
      <c r="D763" s="71" t="s">
        <v>31</v>
      </c>
      <c r="E763" s="71" t="s">
        <v>42</v>
      </c>
      <c r="F763" s="71" t="s">
        <v>32</v>
      </c>
      <c r="H763" s="71" t="s">
        <v>166</v>
      </c>
      <c r="I763" s="87"/>
      <c r="J763" s="72">
        <f>J762</f>
        <v>89.2</v>
      </c>
      <c r="K763" s="72"/>
      <c r="L763" s="72">
        <f>L762</f>
        <v>58</v>
      </c>
      <c r="M763" s="72">
        <f>M762</f>
        <v>1.1000000000000001</v>
      </c>
      <c r="N763" s="72"/>
      <c r="O763" s="72"/>
      <c r="P763" s="72"/>
      <c r="Q763" s="72"/>
      <c r="R763" s="72">
        <f>R762</f>
        <v>12</v>
      </c>
      <c r="S763" s="72"/>
      <c r="T763" s="72"/>
      <c r="U763" s="72"/>
      <c r="V763" s="72"/>
      <c r="W763" s="72"/>
      <c r="X763" s="72"/>
      <c r="Y763" s="72"/>
      <c r="Z763" s="72"/>
      <c r="AA763" s="72"/>
      <c r="AB763" s="72"/>
      <c r="AC763" s="73"/>
      <c r="AD763" s="73"/>
      <c r="AE763" s="73"/>
      <c r="AF763" s="73"/>
      <c r="AG763" s="73"/>
      <c r="AH763" s="73"/>
      <c r="AI763" s="73"/>
      <c r="AJ763" s="73"/>
      <c r="AK763" s="73"/>
      <c r="AL763" s="73"/>
      <c r="AM763" s="73"/>
      <c r="AN763" s="73"/>
      <c r="AO763" s="73"/>
      <c r="AP763" s="73"/>
      <c r="AQ763" s="73"/>
      <c r="AR763" s="73"/>
      <c r="AS763" s="73"/>
      <c r="AT763" s="73"/>
      <c r="AU763" s="73"/>
      <c r="AV763" s="73"/>
      <c r="AW763" s="73"/>
      <c r="AX763" s="73"/>
    </row>
    <row r="764" spans="1:50" ht="51" x14ac:dyDescent="0.2">
      <c r="A764" s="24" t="s">
        <v>729</v>
      </c>
      <c r="B764" s="24" t="s">
        <v>130</v>
      </c>
      <c r="H764" s="2" t="s">
        <v>33</v>
      </c>
      <c r="I764" s="243" t="s">
        <v>1011</v>
      </c>
      <c r="J764" s="3">
        <v>65</v>
      </c>
      <c r="K764" s="3">
        <v>2.7</v>
      </c>
      <c r="L764" s="3">
        <v>5</v>
      </c>
      <c r="M764" s="3">
        <v>1</v>
      </c>
      <c r="N764" s="3">
        <v>106</v>
      </c>
      <c r="O764" s="3">
        <v>0.4</v>
      </c>
      <c r="P764" s="4" t="s">
        <v>0</v>
      </c>
      <c r="R764" s="3">
        <v>60</v>
      </c>
      <c r="S764" s="3">
        <v>2</v>
      </c>
    </row>
    <row r="765" spans="1:50" s="71" customFormat="1" ht="15" customHeight="1" x14ac:dyDescent="0.2">
      <c r="A765" s="70" t="s">
        <v>729</v>
      </c>
      <c r="B765" s="70" t="s">
        <v>130</v>
      </c>
      <c r="C765" s="71" t="s">
        <v>730</v>
      </c>
      <c r="D765" s="71" t="s">
        <v>31</v>
      </c>
      <c r="E765" s="71" t="s">
        <v>32</v>
      </c>
      <c r="F765" s="71" t="s">
        <v>781</v>
      </c>
      <c r="H765" s="71" t="s">
        <v>33</v>
      </c>
      <c r="I765" s="87"/>
      <c r="J765" s="72">
        <f>J764</f>
        <v>65</v>
      </c>
      <c r="K765" s="72">
        <f t="shared" ref="K765:O765" si="221">K764</f>
        <v>2.7</v>
      </c>
      <c r="L765" s="72">
        <f t="shared" si="221"/>
        <v>5</v>
      </c>
      <c r="M765" s="72">
        <f t="shared" si="221"/>
        <v>1</v>
      </c>
      <c r="N765" s="72">
        <f t="shared" si="221"/>
        <v>106</v>
      </c>
      <c r="O765" s="72">
        <f t="shared" si="221"/>
        <v>0.4</v>
      </c>
      <c r="P765" s="74" t="s">
        <v>0</v>
      </c>
      <c r="Q765" s="72"/>
      <c r="R765" s="72">
        <f>R764</f>
        <v>60</v>
      </c>
      <c r="S765" s="72">
        <f>S764</f>
        <v>2</v>
      </c>
      <c r="T765" s="72"/>
      <c r="U765" s="72"/>
      <c r="V765" s="72"/>
      <c r="W765" s="72"/>
      <c r="X765" s="72"/>
      <c r="Y765" s="72"/>
      <c r="Z765" s="72"/>
      <c r="AA765" s="72"/>
      <c r="AB765" s="72"/>
      <c r="AC765" s="73"/>
      <c r="AD765" s="73"/>
      <c r="AE765" s="73"/>
      <c r="AF765" s="73"/>
      <c r="AG765" s="73"/>
      <c r="AH765" s="73"/>
      <c r="AI765" s="73"/>
      <c r="AJ765" s="73"/>
      <c r="AK765" s="73"/>
      <c r="AL765" s="73"/>
      <c r="AM765" s="73"/>
      <c r="AN765" s="73"/>
      <c r="AO765" s="73"/>
      <c r="AP765" s="73"/>
      <c r="AQ765" s="73"/>
      <c r="AR765" s="73"/>
      <c r="AS765" s="73"/>
      <c r="AT765" s="73"/>
      <c r="AU765" s="73"/>
      <c r="AV765" s="73"/>
      <c r="AW765" s="73"/>
      <c r="AX765" s="73"/>
    </row>
    <row r="766" spans="1:50" s="22" customFormat="1" ht="34" x14ac:dyDescent="0.2">
      <c r="A766" s="21" t="s">
        <v>340</v>
      </c>
      <c r="B766" s="21" t="s">
        <v>341</v>
      </c>
      <c r="C766" s="22" t="s">
        <v>0</v>
      </c>
      <c r="D766" s="2"/>
      <c r="E766" s="2"/>
      <c r="H766" s="22" t="s">
        <v>91</v>
      </c>
      <c r="I766" s="65" t="s">
        <v>1010</v>
      </c>
      <c r="J766" s="4">
        <v>88</v>
      </c>
      <c r="K766" s="4">
        <v>0.5</v>
      </c>
      <c r="L766" s="4">
        <v>73</v>
      </c>
      <c r="M766" s="4">
        <v>1.5</v>
      </c>
      <c r="N766" s="4">
        <v>36</v>
      </c>
      <c r="O766" s="4"/>
      <c r="P766" s="4">
        <f t="shared" ref="P766" si="222">AN766</f>
        <v>0</v>
      </c>
      <c r="Q766" s="4"/>
      <c r="R766" s="4">
        <v>20</v>
      </c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23"/>
      <c r="AD766" s="23"/>
      <c r="AE766" s="23"/>
      <c r="AF766" s="23"/>
      <c r="AG766" s="23"/>
      <c r="AH766" s="23"/>
      <c r="AI766" s="23"/>
      <c r="AJ766" s="23"/>
      <c r="AK766" s="23"/>
      <c r="AL766" s="23"/>
      <c r="AM766" s="23"/>
      <c r="AN766" s="23"/>
      <c r="AO766" s="23"/>
      <c r="AP766" s="23"/>
      <c r="AQ766" s="23"/>
      <c r="AR766" s="23"/>
      <c r="AS766" s="23"/>
      <c r="AT766" s="23"/>
      <c r="AU766" s="23"/>
      <c r="AV766" s="23"/>
      <c r="AW766" s="23"/>
      <c r="AX766" s="23"/>
    </row>
    <row r="767" spans="1:50" s="71" customFormat="1" ht="15" customHeight="1" x14ac:dyDescent="0.2">
      <c r="A767" s="70" t="s">
        <v>340</v>
      </c>
      <c r="B767" s="70" t="s">
        <v>341</v>
      </c>
      <c r="C767" s="71" t="s">
        <v>342</v>
      </c>
      <c r="D767" s="71" t="s">
        <v>56</v>
      </c>
      <c r="E767" s="71" t="s">
        <v>46</v>
      </c>
      <c r="F767" s="78" t="s">
        <v>782</v>
      </c>
      <c r="H767" s="71" t="s">
        <v>91</v>
      </c>
      <c r="I767" s="87"/>
      <c r="J767" s="72">
        <f t="shared" ref="J767:S769" si="223">J766</f>
        <v>88</v>
      </c>
      <c r="K767" s="72">
        <f>K766</f>
        <v>0.5</v>
      </c>
      <c r="L767" s="72">
        <f>L766</f>
        <v>73</v>
      </c>
      <c r="M767" s="72">
        <f>M766</f>
        <v>1.5</v>
      </c>
      <c r="N767" s="72">
        <f>N766</f>
        <v>36</v>
      </c>
      <c r="O767" s="72"/>
      <c r="P767" s="72">
        <f>P766</f>
        <v>0</v>
      </c>
      <c r="Q767" s="72"/>
      <c r="R767" s="72">
        <f>R766</f>
        <v>20</v>
      </c>
      <c r="S767" s="72"/>
      <c r="T767" s="72"/>
      <c r="U767" s="72"/>
      <c r="V767" s="72"/>
      <c r="W767" s="72"/>
      <c r="X767" s="72"/>
      <c r="Y767" s="72"/>
      <c r="Z767" s="72"/>
      <c r="AA767" s="72"/>
      <c r="AB767" s="72"/>
      <c r="AC767" s="73"/>
      <c r="AD767" s="73"/>
      <c r="AE767" s="73"/>
      <c r="AF767" s="73"/>
      <c r="AG767" s="73"/>
      <c r="AH767" s="73"/>
      <c r="AI767" s="73"/>
      <c r="AJ767" s="73"/>
      <c r="AK767" s="73"/>
      <c r="AL767" s="73"/>
      <c r="AM767" s="73"/>
      <c r="AN767" s="73"/>
      <c r="AO767" s="73"/>
      <c r="AP767" s="73"/>
      <c r="AQ767" s="73"/>
      <c r="AR767" s="73"/>
      <c r="AS767" s="73"/>
      <c r="AT767" s="73"/>
      <c r="AU767" s="73"/>
      <c r="AV767" s="73"/>
      <c r="AW767" s="73"/>
      <c r="AX767" s="73"/>
    </row>
    <row r="768" spans="1:50" s="22" customFormat="1" ht="15" customHeight="1" x14ac:dyDescent="0.2">
      <c r="A768" s="21" t="s">
        <v>797</v>
      </c>
      <c r="B768" s="21" t="s">
        <v>798</v>
      </c>
      <c r="D768" s="2"/>
      <c r="E768" s="2"/>
      <c r="F768" s="22" t="s">
        <v>0</v>
      </c>
      <c r="H768" s="22" t="s">
        <v>131</v>
      </c>
      <c r="I768" s="65" t="s">
        <v>799</v>
      </c>
      <c r="J768" s="4">
        <v>89.23</v>
      </c>
      <c r="K768" s="4">
        <v>4.1500000000000004</v>
      </c>
      <c r="L768" s="4"/>
      <c r="M768" s="4"/>
      <c r="N768" s="4"/>
      <c r="O768" s="4"/>
      <c r="P768" s="4"/>
      <c r="Q768" s="4"/>
      <c r="R768" s="4">
        <v>1</v>
      </c>
      <c r="S768" s="4">
        <v>0.6</v>
      </c>
      <c r="T768" s="4"/>
      <c r="U768" s="4"/>
      <c r="V768" s="4"/>
      <c r="W768" s="4"/>
      <c r="X768" s="4"/>
      <c r="Y768" s="4"/>
      <c r="Z768" s="4"/>
      <c r="AA768" s="4"/>
      <c r="AB768" s="4"/>
      <c r="AC768" s="23"/>
      <c r="AD768" s="23"/>
      <c r="AE768" s="23"/>
      <c r="AF768" s="23"/>
      <c r="AG768" s="23"/>
      <c r="AH768" s="23"/>
      <c r="AI768" s="23"/>
      <c r="AJ768" s="23"/>
      <c r="AK768" s="23"/>
      <c r="AL768" s="23"/>
      <c r="AM768" s="23"/>
      <c r="AN768" s="23"/>
      <c r="AO768" s="23"/>
      <c r="AP768" s="23"/>
      <c r="AQ768" s="23"/>
      <c r="AR768" s="23"/>
      <c r="AS768" s="23"/>
      <c r="AT768" s="23"/>
      <c r="AU768" s="23"/>
      <c r="AV768" s="23"/>
      <c r="AW768" s="23"/>
      <c r="AX768" s="23"/>
    </row>
    <row r="769" spans="1:50" s="71" customFormat="1" ht="15" customHeight="1" x14ac:dyDescent="0.2">
      <c r="A769" s="70" t="s">
        <v>797</v>
      </c>
      <c r="B769" s="70" t="s">
        <v>798</v>
      </c>
      <c r="C769" s="71" t="s">
        <v>132</v>
      </c>
      <c r="D769" s="71" t="s">
        <v>31</v>
      </c>
      <c r="E769" s="71" t="s">
        <v>32</v>
      </c>
      <c r="F769" s="71" t="s">
        <v>132</v>
      </c>
      <c r="H769" s="71" t="s">
        <v>131</v>
      </c>
      <c r="I769" s="87"/>
      <c r="J769" s="72">
        <f t="shared" si="223"/>
        <v>89.23</v>
      </c>
      <c r="K769" s="72">
        <f t="shared" si="223"/>
        <v>4.1500000000000004</v>
      </c>
      <c r="L769" s="72"/>
      <c r="M769" s="72"/>
      <c r="N769" s="72"/>
      <c r="O769" s="72"/>
      <c r="P769" s="72"/>
      <c r="Q769" s="72"/>
      <c r="R769" s="72">
        <f t="shared" si="223"/>
        <v>1</v>
      </c>
      <c r="S769" s="72">
        <f t="shared" si="223"/>
        <v>0.6</v>
      </c>
      <c r="T769" s="72"/>
      <c r="U769" s="72"/>
      <c r="V769" s="72"/>
      <c r="W769" s="72"/>
      <c r="X769" s="72"/>
      <c r="Y769" s="72"/>
      <c r="Z769" s="72"/>
      <c r="AA769" s="72"/>
      <c r="AB769" s="72"/>
      <c r="AC769" s="73"/>
      <c r="AD769" s="73"/>
      <c r="AE769" s="73"/>
      <c r="AF769" s="73"/>
      <c r="AG769" s="73"/>
      <c r="AH769" s="73"/>
      <c r="AI769" s="73"/>
      <c r="AJ769" s="73"/>
      <c r="AK769" s="73"/>
      <c r="AL769" s="73"/>
      <c r="AM769" s="73"/>
      <c r="AN769" s="73"/>
      <c r="AO769" s="73"/>
      <c r="AP769" s="73"/>
      <c r="AQ769" s="73"/>
      <c r="AR769" s="73"/>
      <c r="AS769" s="73"/>
      <c r="AT769" s="73"/>
      <c r="AU769" s="73"/>
      <c r="AV769" s="73"/>
      <c r="AW769" s="73"/>
      <c r="AX769" s="73"/>
    </row>
    <row r="770" spans="1:50" ht="17" x14ac:dyDescent="0.2">
      <c r="A770" s="24" t="s">
        <v>343</v>
      </c>
      <c r="B770" s="24" t="s">
        <v>344</v>
      </c>
      <c r="C770" s="32" t="s">
        <v>0</v>
      </c>
      <c r="F770" s="33"/>
      <c r="G770" s="33"/>
      <c r="H770" s="33" t="s">
        <v>33</v>
      </c>
      <c r="I770" s="243" t="s">
        <v>1007</v>
      </c>
      <c r="J770" s="3">
        <v>91.4</v>
      </c>
      <c r="K770" s="3">
        <v>3</v>
      </c>
      <c r="L770" s="3">
        <v>117</v>
      </c>
      <c r="M770" s="3">
        <v>2.29</v>
      </c>
      <c r="N770" s="3">
        <v>32</v>
      </c>
      <c r="O770" s="3">
        <v>0.71</v>
      </c>
      <c r="P770" s="4">
        <f t="shared" ref="P770:P780" si="224">AN770</f>
        <v>0</v>
      </c>
      <c r="Q770" s="3">
        <v>177</v>
      </c>
      <c r="R770" s="3">
        <v>1.4</v>
      </c>
      <c r="S770" s="3">
        <v>0</v>
      </c>
      <c r="AI770" s="23"/>
      <c r="AN770" s="23"/>
    </row>
    <row r="771" spans="1:50" ht="34" x14ac:dyDescent="0.2">
      <c r="A771" s="24" t="s">
        <v>343</v>
      </c>
      <c r="B771" s="34" t="s">
        <v>345</v>
      </c>
      <c r="F771" s="33"/>
      <c r="G771" s="33"/>
      <c r="H771" s="33" t="s">
        <v>33</v>
      </c>
      <c r="I771" s="243" t="s">
        <v>1009</v>
      </c>
      <c r="K771" s="3">
        <v>1.08</v>
      </c>
      <c r="L771" s="3">
        <v>99</v>
      </c>
      <c r="M771" s="3">
        <v>1.69</v>
      </c>
      <c r="O771" s="3">
        <v>0.42</v>
      </c>
      <c r="P771" s="4">
        <f t="shared" si="224"/>
        <v>0</v>
      </c>
      <c r="Q771" s="3">
        <v>24</v>
      </c>
      <c r="R771" s="3">
        <v>32</v>
      </c>
      <c r="S771" s="3">
        <v>1</v>
      </c>
      <c r="AN771" s="23"/>
    </row>
    <row r="772" spans="1:50" ht="34" x14ac:dyDescent="0.2">
      <c r="A772" s="24" t="s">
        <v>343</v>
      </c>
      <c r="B772" s="34" t="s">
        <v>345</v>
      </c>
      <c r="F772" s="33"/>
      <c r="G772" s="33"/>
      <c r="H772" s="33" t="s">
        <v>33</v>
      </c>
      <c r="I772" s="243" t="s">
        <v>1009</v>
      </c>
      <c r="K772" s="3">
        <v>0.89</v>
      </c>
      <c r="L772" s="3">
        <v>114</v>
      </c>
      <c r="M772" s="3">
        <v>1.4</v>
      </c>
      <c r="P772" s="4">
        <f t="shared" si="224"/>
        <v>0</v>
      </c>
      <c r="R772" s="3">
        <v>25</v>
      </c>
      <c r="AN772" s="23"/>
    </row>
    <row r="773" spans="1:50" ht="34" x14ac:dyDescent="0.2">
      <c r="A773" s="34" t="s">
        <v>343</v>
      </c>
      <c r="B773" s="34" t="s">
        <v>345</v>
      </c>
      <c r="C773" s="33"/>
      <c r="F773" s="33"/>
      <c r="G773" s="33"/>
      <c r="H773" s="33" t="s">
        <v>33</v>
      </c>
      <c r="I773" s="245" t="s">
        <v>1004</v>
      </c>
      <c r="J773" s="36">
        <v>90</v>
      </c>
      <c r="K773" s="36"/>
      <c r="L773" s="36">
        <v>75</v>
      </c>
      <c r="M773" s="3">
        <v>2.7</v>
      </c>
      <c r="P773" s="4">
        <f t="shared" si="224"/>
        <v>0</v>
      </c>
      <c r="R773" s="36">
        <v>17</v>
      </c>
      <c r="T773" s="36"/>
      <c r="U773" s="36"/>
      <c r="V773" s="36"/>
      <c r="Z773" s="36"/>
      <c r="AA773" s="36"/>
      <c r="AB773" s="36"/>
      <c r="AN773" s="23"/>
    </row>
    <row r="774" spans="1:50" ht="34" x14ac:dyDescent="0.2">
      <c r="A774" s="34" t="s">
        <v>343</v>
      </c>
      <c r="B774" s="34" t="s">
        <v>345</v>
      </c>
      <c r="C774" s="33"/>
      <c r="F774" s="33"/>
      <c r="G774" s="33"/>
      <c r="H774" s="33" t="s">
        <v>33</v>
      </c>
      <c r="I774" s="245" t="s">
        <v>1004</v>
      </c>
      <c r="J774" s="36">
        <v>94</v>
      </c>
      <c r="K774" s="36"/>
      <c r="L774" s="36"/>
      <c r="M774" s="3">
        <v>4.2</v>
      </c>
      <c r="P774" s="4">
        <f t="shared" si="224"/>
        <v>0</v>
      </c>
      <c r="R774" s="36">
        <v>45</v>
      </c>
      <c r="T774" s="36"/>
      <c r="U774" s="36"/>
      <c r="V774" s="36"/>
      <c r="Z774" s="36"/>
      <c r="AA774" s="36"/>
      <c r="AB774" s="36"/>
      <c r="AN774" s="23"/>
    </row>
    <row r="775" spans="1:50" ht="34" x14ac:dyDescent="0.2">
      <c r="A775" s="34" t="s">
        <v>343</v>
      </c>
      <c r="B775" s="34" t="s">
        <v>345</v>
      </c>
      <c r="F775" s="33"/>
      <c r="G775" s="33"/>
      <c r="H775" s="33" t="s">
        <v>33</v>
      </c>
      <c r="I775" s="243" t="s">
        <v>1009</v>
      </c>
      <c r="K775" s="3">
        <v>0.52</v>
      </c>
      <c r="L775" s="3">
        <v>87</v>
      </c>
      <c r="M775" s="3">
        <v>1.98</v>
      </c>
      <c r="O775" s="3">
        <v>0.16</v>
      </c>
      <c r="P775" s="4">
        <f t="shared" si="224"/>
        <v>0</v>
      </c>
      <c r="R775" s="3">
        <v>18</v>
      </c>
      <c r="S775" s="3">
        <v>116</v>
      </c>
      <c r="AN775" s="23"/>
    </row>
    <row r="776" spans="1:50" ht="34" x14ac:dyDescent="0.2">
      <c r="A776" s="34" t="s">
        <v>343</v>
      </c>
      <c r="B776" s="34" t="s">
        <v>345</v>
      </c>
      <c r="F776" s="33"/>
      <c r="G776" s="33"/>
      <c r="H776" s="33" t="s">
        <v>33</v>
      </c>
      <c r="I776" s="243" t="s">
        <v>1009</v>
      </c>
      <c r="J776" s="3" t="s">
        <v>0</v>
      </c>
      <c r="K776" s="3">
        <v>0.37</v>
      </c>
      <c r="L776" s="3">
        <v>94</v>
      </c>
      <c r="M776" s="3">
        <v>1.58</v>
      </c>
      <c r="N776" s="36"/>
      <c r="O776" s="3">
        <v>0.19</v>
      </c>
      <c r="P776" s="4">
        <f t="shared" si="224"/>
        <v>0</v>
      </c>
      <c r="R776" s="3">
        <v>3</v>
      </c>
      <c r="S776" s="3">
        <v>0.46</v>
      </c>
      <c r="X776" s="36"/>
      <c r="AN776" s="23"/>
    </row>
    <row r="777" spans="1:50" ht="34" x14ac:dyDescent="0.2">
      <c r="A777" s="34" t="s">
        <v>343</v>
      </c>
      <c r="B777" s="34" t="s">
        <v>345</v>
      </c>
      <c r="F777" s="33"/>
      <c r="G777" s="33"/>
      <c r="H777" s="33" t="s">
        <v>33</v>
      </c>
      <c r="I777" s="243" t="s">
        <v>1009</v>
      </c>
      <c r="K777" s="3">
        <v>0.41</v>
      </c>
      <c r="L777" s="3">
        <v>92</v>
      </c>
      <c r="M777" s="3">
        <v>1.31</v>
      </c>
      <c r="O777" s="3">
        <v>0.15</v>
      </c>
      <c r="P777" s="4">
        <f t="shared" si="224"/>
        <v>0</v>
      </c>
      <c r="R777" s="3">
        <v>6</v>
      </c>
      <c r="S777" s="3">
        <v>0.21</v>
      </c>
      <c r="AN777" s="23"/>
    </row>
    <row r="778" spans="1:50" ht="34" x14ac:dyDescent="0.2">
      <c r="A778" s="34" t="s">
        <v>343</v>
      </c>
      <c r="B778" s="34" t="s">
        <v>345</v>
      </c>
      <c r="F778" s="33"/>
      <c r="G778" s="33"/>
      <c r="H778" s="33" t="s">
        <v>33</v>
      </c>
      <c r="I778" s="243" t="s">
        <v>1009</v>
      </c>
      <c r="K778" s="3">
        <v>0.62</v>
      </c>
      <c r="L778" s="3">
        <v>92</v>
      </c>
      <c r="M778" s="3">
        <v>1.1499999999999999</v>
      </c>
      <c r="O778" s="3">
        <v>0.19</v>
      </c>
      <c r="P778" s="4">
        <f t="shared" si="224"/>
        <v>0</v>
      </c>
      <c r="R778" s="3">
        <v>11</v>
      </c>
      <c r="S778" s="3">
        <v>0.36</v>
      </c>
      <c r="AN778" s="23"/>
    </row>
    <row r="779" spans="1:50" ht="34" x14ac:dyDescent="0.2">
      <c r="A779" s="34" t="s">
        <v>343</v>
      </c>
      <c r="B779" s="34" t="s">
        <v>345</v>
      </c>
      <c r="F779" s="33"/>
      <c r="G779" s="33"/>
      <c r="H779" s="33" t="s">
        <v>33</v>
      </c>
      <c r="I779" s="243" t="s">
        <v>1009</v>
      </c>
      <c r="K779" s="3">
        <v>0.72</v>
      </c>
      <c r="L779" s="3">
        <v>55</v>
      </c>
      <c r="M779" s="3">
        <v>0.62</v>
      </c>
      <c r="O779" s="3">
        <v>0.25</v>
      </c>
      <c r="P779" s="4">
        <f t="shared" si="224"/>
        <v>0</v>
      </c>
      <c r="R779" s="3">
        <v>13</v>
      </c>
      <c r="S779" s="3">
        <v>1.5</v>
      </c>
      <c r="AN779" s="23"/>
    </row>
    <row r="780" spans="1:50" ht="34" x14ac:dyDescent="0.2">
      <c r="A780" s="34" t="s">
        <v>343</v>
      </c>
      <c r="B780" s="34" t="s">
        <v>345</v>
      </c>
      <c r="F780" s="33"/>
      <c r="G780" s="33"/>
      <c r="H780" s="33" t="s">
        <v>33</v>
      </c>
      <c r="I780" s="243" t="s">
        <v>1009</v>
      </c>
      <c r="K780" s="3">
        <v>0.53</v>
      </c>
      <c r="L780" s="3">
        <v>42</v>
      </c>
      <c r="M780" s="3">
        <v>0.59</v>
      </c>
      <c r="O780" s="3">
        <v>0.09</v>
      </c>
      <c r="P780" s="4">
        <f t="shared" si="224"/>
        <v>0</v>
      </c>
      <c r="R780" s="3">
        <v>4</v>
      </c>
      <c r="S780" s="3">
        <v>1.08</v>
      </c>
      <c r="AN780" s="23"/>
    </row>
    <row r="781" spans="1:50" s="71" customFormat="1" x14ac:dyDescent="0.2">
      <c r="A781" s="82" t="s">
        <v>343</v>
      </c>
      <c r="B781" s="82" t="s">
        <v>345</v>
      </c>
      <c r="C781" s="71" t="s">
        <v>346</v>
      </c>
      <c r="D781" s="71" t="s">
        <v>56</v>
      </c>
      <c r="E781" s="79" t="s">
        <v>46</v>
      </c>
      <c r="F781" s="78" t="s">
        <v>782</v>
      </c>
      <c r="G781" s="79"/>
      <c r="H781" s="71" t="s">
        <v>33</v>
      </c>
      <c r="I781" s="87"/>
      <c r="J781" s="72">
        <f t="shared" ref="J781" si="225">AVERAGE(J770:J780)</f>
        <v>91.8</v>
      </c>
      <c r="K781" s="72">
        <f t="shared" ref="K781:S781" si="226">AVERAGE(K770:K780)</f>
        <v>0.9044444444444445</v>
      </c>
      <c r="L781" s="72">
        <f t="shared" si="226"/>
        <v>86.7</v>
      </c>
      <c r="M781" s="72">
        <f t="shared" si="226"/>
        <v>1.7736363636363637</v>
      </c>
      <c r="N781" s="72">
        <f t="shared" si="226"/>
        <v>32</v>
      </c>
      <c r="O781" s="72">
        <f t="shared" si="226"/>
        <v>0.26999999999999991</v>
      </c>
      <c r="P781" s="72">
        <f t="shared" si="226"/>
        <v>0</v>
      </c>
      <c r="Q781" s="72">
        <f t="shared" si="226"/>
        <v>100.5</v>
      </c>
      <c r="R781" s="72">
        <f t="shared" si="226"/>
        <v>15.945454545454545</v>
      </c>
      <c r="S781" s="72">
        <f t="shared" si="226"/>
        <v>15.076249999999998</v>
      </c>
      <c r="T781" s="72"/>
      <c r="U781" s="72"/>
      <c r="V781" s="72"/>
      <c r="W781" s="72"/>
      <c r="X781" s="72"/>
      <c r="Y781" s="72"/>
      <c r="Z781" s="72"/>
      <c r="AA781" s="72"/>
      <c r="AB781" s="72"/>
      <c r="AC781" s="73"/>
      <c r="AD781" s="73"/>
      <c r="AE781" s="73"/>
      <c r="AF781" s="73"/>
      <c r="AG781" s="73"/>
      <c r="AH781" s="73"/>
      <c r="AI781" s="73"/>
      <c r="AJ781" s="73"/>
      <c r="AK781" s="73"/>
      <c r="AL781" s="73"/>
      <c r="AM781" s="73"/>
      <c r="AN781" s="73"/>
      <c r="AO781" s="73"/>
      <c r="AP781" s="73"/>
      <c r="AQ781" s="73"/>
      <c r="AR781" s="73"/>
      <c r="AS781" s="73"/>
      <c r="AT781" s="73"/>
      <c r="AU781" s="73"/>
      <c r="AV781" s="73"/>
      <c r="AW781" s="73"/>
      <c r="AX781" s="73"/>
    </row>
    <row r="782" spans="1:50" ht="34" x14ac:dyDescent="0.2">
      <c r="A782" s="24" t="s">
        <v>347</v>
      </c>
      <c r="B782" s="24" t="s">
        <v>348</v>
      </c>
      <c r="F782" s="28"/>
      <c r="G782" s="28"/>
      <c r="H782" s="2" t="s">
        <v>37</v>
      </c>
      <c r="I782" s="243" t="s">
        <v>1009</v>
      </c>
      <c r="K782" s="3">
        <v>1.1200000000000001</v>
      </c>
      <c r="L782" s="3">
        <v>36</v>
      </c>
      <c r="M782" s="3">
        <v>4.04</v>
      </c>
      <c r="O782" s="3">
        <v>1.48</v>
      </c>
      <c r="P782" s="4">
        <f t="shared" ref="P782:P784" si="227">AN782</f>
        <v>0</v>
      </c>
      <c r="Q782" s="3">
        <v>100</v>
      </c>
      <c r="R782" s="3">
        <v>38</v>
      </c>
      <c r="S782" s="3">
        <v>6.46</v>
      </c>
      <c r="AN782" s="23"/>
    </row>
    <row r="783" spans="1:50" ht="17" x14ac:dyDescent="0.2">
      <c r="A783" s="24" t="s">
        <v>347</v>
      </c>
      <c r="B783" s="24" t="s">
        <v>348</v>
      </c>
      <c r="C783" s="32" t="s">
        <v>0</v>
      </c>
      <c r="F783" s="28"/>
      <c r="G783" s="28"/>
      <c r="H783" s="2" t="s">
        <v>37</v>
      </c>
      <c r="I783" s="243" t="s">
        <v>1007</v>
      </c>
      <c r="J783" s="3">
        <v>67.5</v>
      </c>
      <c r="K783" s="3">
        <v>4.2</v>
      </c>
      <c r="L783" s="3">
        <v>197</v>
      </c>
      <c r="M783" s="3">
        <v>3.55</v>
      </c>
      <c r="N783" s="3">
        <v>65</v>
      </c>
      <c r="O783" s="3">
        <v>0.99</v>
      </c>
      <c r="P783" s="4">
        <f t="shared" si="227"/>
        <v>0</v>
      </c>
      <c r="Q783" s="3">
        <v>165</v>
      </c>
      <c r="R783" s="3">
        <v>29</v>
      </c>
      <c r="AI783" s="23"/>
      <c r="AN783" s="23"/>
    </row>
    <row r="784" spans="1:50" ht="34" x14ac:dyDescent="0.2">
      <c r="A784" s="24" t="s">
        <v>347</v>
      </c>
      <c r="B784" s="24" t="s">
        <v>348</v>
      </c>
      <c r="F784" s="28"/>
      <c r="G784" s="28"/>
      <c r="H784" s="2" t="s">
        <v>37</v>
      </c>
      <c r="I784" s="243" t="s">
        <v>1010</v>
      </c>
      <c r="J784" s="3">
        <v>67.5</v>
      </c>
      <c r="K784" s="3">
        <v>1.8</v>
      </c>
      <c r="L784" s="3">
        <v>107</v>
      </c>
      <c r="M784" s="3">
        <v>2.8</v>
      </c>
      <c r="P784" s="4">
        <f t="shared" si="227"/>
        <v>0</v>
      </c>
      <c r="R784" s="3">
        <v>25</v>
      </c>
      <c r="AI784" s="23"/>
      <c r="AN784" s="23"/>
    </row>
    <row r="785" spans="1:50" s="71" customFormat="1" x14ac:dyDescent="0.2">
      <c r="A785" s="70" t="s">
        <v>347</v>
      </c>
      <c r="B785" s="70" t="s">
        <v>348</v>
      </c>
      <c r="C785" s="71" t="s">
        <v>349</v>
      </c>
      <c r="D785" s="71" t="s">
        <v>56</v>
      </c>
      <c r="E785" s="79" t="s">
        <v>46</v>
      </c>
      <c r="F785" s="78" t="s">
        <v>782</v>
      </c>
      <c r="G785" s="79"/>
      <c r="H785" s="71" t="s">
        <v>37</v>
      </c>
      <c r="I785" s="87"/>
      <c r="J785" s="72">
        <f t="shared" ref="J785" si="228">AVERAGE(J782:J784)</f>
        <v>67.5</v>
      </c>
      <c r="K785" s="72">
        <f t="shared" ref="K785:S785" si="229">AVERAGE(K782:K784)</f>
        <v>2.3733333333333335</v>
      </c>
      <c r="L785" s="72">
        <f t="shared" si="229"/>
        <v>113.33333333333333</v>
      </c>
      <c r="M785" s="72">
        <f t="shared" si="229"/>
        <v>3.4633333333333334</v>
      </c>
      <c r="N785" s="72">
        <f t="shared" si="229"/>
        <v>65</v>
      </c>
      <c r="O785" s="72">
        <f t="shared" si="229"/>
        <v>1.2349999999999999</v>
      </c>
      <c r="P785" s="72">
        <f t="shared" si="229"/>
        <v>0</v>
      </c>
      <c r="Q785" s="72">
        <f t="shared" si="229"/>
        <v>132.5</v>
      </c>
      <c r="R785" s="72">
        <f t="shared" si="229"/>
        <v>30.666666666666668</v>
      </c>
      <c r="S785" s="72">
        <f t="shared" si="229"/>
        <v>6.46</v>
      </c>
      <c r="T785" s="72"/>
      <c r="U785" s="72"/>
      <c r="V785" s="72"/>
      <c r="W785" s="72"/>
      <c r="X785" s="72"/>
      <c r="Y785" s="72"/>
      <c r="Z785" s="72"/>
      <c r="AA785" s="72"/>
      <c r="AB785" s="72"/>
      <c r="AC785" s="73"/>
      <c r="AD785" s="73"/>
      <c r="AE785" s="73"/>
      <c r="AF785" s="73"/>
      <c r="AG785" s="73"/>
      <c r="AH785" s="73"/>
      <c r="AI785" s="73"/>
      <c r="AJ785" s="73"/>
      <c r="AK785" s="73"/>
      <c r="AL785" s="73"/>
      <c r="AM785" s="73"/>
      <c r="AN785" s="73"/>
      <c r="AO785" s="73"/>
      <c r="AP785" s="73"/>
      <c r="AQ785" s="73"/>
      <c r="AR785" s="73"/>
      <c r="AS785" s="73"/>
      <c r="AT785" s="73"/>
      <c r="AU785" s="73"/>
      <c r="AV785" s="73"/>
      <c r="AW785" s="73"/>
      <c r="AX785" s="73"/>
    </row>
    <row r="786" spans="1:50" ht="34" x14ac:dyDescent="0.2">
      <c r="A786" s="24" t="s">
        <v>350</v>
      </c>
      <c r="B786" s="24" t="s">
        <v>351</v>
      </c>
      <c r="H786" s="1" t="s">
        <v>33</v>
      </c>
      <c r="I786" s="243" t="s">
        <v>1005</v>
      </c>
      <c r="J786" s="3">
        <v>70</v>
      </c>
      <c r="K786" s="3">
        <v>5.5</v>
      </c>
      <c r="L786" s="3">
        <v>130</v>
      </c>
      <c r="P786" s="4" t="s">
        <v>0</v>
      </c>
      <c r="R786" s="3">
        <v>100</v>
      </c>
    </row>
    <row r="787" spans="1:50" ht="17" x14ac:dyDescent="0.2">
      <c r="A787" s="31" t="s">
        <v>350</v>
      </c>
      <c r="B787" s="31" t="s">
        <v>352</v>
      </c>
      <c r="C787" s="1"/>
      <c r="F787" s="1"/>
      <c r="G787" s="1"/>
      <c r="H787" s="1" t="s">
        <v>33</v>
      </c>
      <c r="I787" s="243" t="s">
        <v>1006</v>
      </c>
      <c r="J787" s="3">
        <v>70</v>
      </c>
      <c r="K787" s="3">
        <v>5.4964000000000004</v>
      </c>
      <c r="L787" s="3">
        <v>130.01100000000002</v>
      </c>
      <c r="M787" s="3">
        <v>5.5870000000000006</v>
      </c>
      <c r="P787" s="4" t="s">
        <v>0</v>
      </c>
      <c r="R787" s="3">
        <v>99.992200000000025</v>
      </c>
    </row>
    <row r="788" spans="1:50" s="71" customFormat="1" x14ac:dyDescent="0.2">
      <c r="A788" s="77" t="s">
        <v>350</v>
      </c>
      <c r="B788" s="77" t="s">
        <v>352</v>
      </c>
      <c r="C788" s="78" t="s">
        <v>353</v>
      </c>
      <c r="D788" s="71" t="s">
        <v>31</v>
      </c>
      <c r="E788" s="78" t="s">
        <v>42</v>
      </c>
      <c r="F788" s="78" t="s">
        <v>32</v>
      </c>
      <c r="G788" s="78"/>
      <c r="H788" s="78" t="s">
        <v>33</v>
      </c>
      <c r="I788" s="87"/>
      <c r="J788" s="72">
        <f t="shared" ref="J788" si="230">AVERAGE(J786:J787)</f>
        <v>70</v>
      </c>
      <c r="K788" s="72">
        <f>AVERAGE(K786:K787)</f>
        <v>5.4982000000000006</v>
      </c>
      <c r="L788" s="72">
        <f>AVERAGE(L786:L787)</f>
        <v>130.00550000000001</v>
      </c>
      <c r="M788" s="72">
        <f>AVERAGE(M786:M787)</f>
        <v>5.5870000000000006</v>
      </c>
      <c r="N788" s="72"/>
      <c r="O788" s="72"/>
      <c r="P788" s="72"/>
      <c r="Q788" s="72"/>
      <c r="R788" s="72">
        <f>AVERAGE(R786:R787)</f>
        <v>99.996100000000013</v>
      </c>
      <c r="S788" s="72"/>
      <c r="T788" s="72"/>
      <c r="U788" s="72"/>
      <c r="V788" s="72"/>
      <c r="W788" s="72"/>
      <c r="X788" s="72"/>
      <c r="Y788" s="72"/>
      <c r="Z788" s="72"/>
      <c r="AA788" s="72"/>
      <c r="AB788" s="72"/>
      <c r="AC788" s="73"/>
      <c r="AD788" s="73"/>
      <c r="AE788" s="73"/>
      <c r="AF788" s="73"/>
      <c r="AG788" s="73"/>
      <c r="AH788" s="73"/>
      <c r="AI788" s="73"/>
      <c r="AJ788" s="73"/>
      <c r="AK788" s="73"/>
      <c r="AL788" s="73"/>
      <c r="AM788" s="73"/>
      <c r="AN788" s="73"/>
      <c r="AO788" s="73"/>
      <c r="AP788" s="73"/>
      <c r="AQ788" s="73"/>
      <c r="AR788" s="73"/>
      <c r="AS788" s="73"/>
      <c r="AT788" s="73"/>
      <c r="AU788" s="73"/>
      <c r="AV788" s="73"/>
      <c r="AW788" s="73"/>
      <c r="AX788" s="73"/>
    </row>
    <row r="789" spans="1:50" ht="51" x14ac:dyDescent="0.2">
      <c r="A789" s="24" t="s">
        <v>350</v>
      </c>
      <c r="B789" s="24" t="s">
        <v>354</v>
      </c>
      <c r="H789" s="2" t="s">
        <v>33</v>
      </c>
      <c r="I789" s="243" t="s">
        <v>1011</v>
      </c>
      <c r="J789" s="3">
        <v>77</v>
      </c>
      <c r="K789" s="3">
        <v>4.5</v>
      </c>
      <c r="L789" s="3">
        <v>29</v>
      </c>
      <c r="M789" s="3">
        <v>3.7</v>
      </c>
      <c r="N789" s="3">
        <v>70</v>
      </c>
      <c r="O789" s="3">
        <v>0.4</v>
      </c>
      <c r="P789" s="4" t="s">
        <v>0</v>
      </c>
      <c r="R789" s="3">
        <v>66</v>
      </c>
      <c r="S789" s="3">
        <v>2</v>
      </c>
    </row>
    <row r="790" spans="1:50" ht="17" x14ac:dyDescent="0.2">
      <c r="A790" s="31" t="s">
        <v>350</v>
      </c>
      <c r="B790" s="31" t="s">
        <v>354</v>
      </c>
      <c r="C790" s="1"/>
      <c r="F790" s="1"/>
      <c r="G790" s="1"/>
      <c r="H790" s="1" t="s">
        <v>33</v>
      </c>
      <c r="I790" s="243" t="s">
        <v>1006</v>
      </c>
      <c r="J790" s="3">
        <v>82</v>
      </c>
      <c r="K790" s="3" t="s">
        <v>55</v>
      </c>
      <c r="L790" s="3">
        <v>109.99370000000003</v>
      </c>
      <c r="M790" s="3">
        <v>9.9912000000000027</v>
      </c>
      <c r="P790" s="4" t="s">
        <v>0</v>
      </c>
      <c r="R790" s="3" t="s">
        <v>55</v>
      </c>
    </row>
    <row r="791" spans="1:50" ht="17" x14ac:dyDescent="0.2">
      <c r="A791" s="31" t="s">
        <v>350</v>
      </c>
      <c r="B791" s="31" t="s">
        <v>354</v>
      </c>
      <c r="C791" s="1"/>
      <c r="F791" s="1"/>
      <c r="G791" s="1"/>
      <c r="H791" s="1" t="s">
        <v>33</v>
      </c>
      <c r="I791" s="243" t="s">
        <v>1006</v>
      </c>
      <c r="J791" s="3">
        <v>75</v>
      </c>
      <c r="K791" s="3">
        <v>2.6075999999999997</v>
      </c>
      <c r="L791" s="3">
        <v>127.99379999999999</v>
      </c>
      <c r="M791" s="3">
        <v>2.706</v>
      </c>
      <c r="P791" s="4">
        <f t="shared" ref="P791:P793" si="231">AN791</f>
        <v>0</v>
      </c>
      <c r="R791" s="3">
        <v>112.98780000000001</v>
      </c>
      <c r="AE791" s="23"/>
      <c r="AN791" s="23"/>
    </row>
    <row r="792" spans="1:50" ht="17" x14ac:dyDescent="0.2">
      <c r="A792" s="24" t="s">
        <v>350</v>
      </c>
      <c r="B792" s="24" t="s">
        <v>354</v>
      </c>
      <c r="F792" s="1"/>
      <c r="G792" s="1"/>
      <c r="H792" s="1" t="s">
        <v>33</v>
      </c>
      <c r="I792" s="243" t="s">
        <v>1033</v>
      </c>
      <c r="J792" s="3">
        <v>66</v>
      </c>
      <c r="M792" s="3">
        <v>2.7</v>
      </c>
      <c r="P792" s="4">
        <f t="shared" si="231"/>
        <v>0</v>
      </c>
      <c r="S792" s="3" t="s">
        <v>0</v>
      </c>
      <c r="AE792" s="23"/>
      <c r="AN792" s="23"/>
    </row>
    <row r="793" spans="1:50" ht="17" x14ac:dyDescent="0.2">
      <c r="A793" s="31" t="s">
        <v>350</v>
      </c>
      <c r="B793" s="31" t="s">
        <v>354</v>
      </c>
      <c r="C793" s="1"/>
      <c r="F793" s="1"/>
      <c r="G793" s="1"/>
      <c r="H793" s="1" t="s">
        <v>33</v>
      </c>
      <c r="I793" s="243" t="s">
        <v>1006</v>
      </c>
      <c r="J793" s="3">
        <v>66</v>
      </c>
      <c r="K793" s="3">
        <v>11.799200000000001</v>
      </c>
      <c r="L793" s="3">
        <v>335.98480000000001</v>
      </c>
      <c r="M793" s="3">
        <v>2.6831999999999998</v>
      </c>
      <c r="P793" s="4">
        <f t="shared" si="231"/>
        <v>0</v>
      </c>
      <c r="R793" s="3">
        <v>214.99999999999997</v>
      </c>
      <c r="AE793" s="23"/>
      <c r="AN793" s="23"/>
    </row>
    <row r="794" spans="1:50" s="71" customFormat="1" x14ac:dyDescent="0.2">
      <c r="A794" s="77" t="s">
        <v>350</v>
      </c>
      <c r="B794" s="77" t="s">
        <v>354</v>
      </c>
      <c r="C794" s="78" t="s">
        <v>355</v>
      </c>
      <c r="D794" s="71" t="s">
        <v>31</v>
      </c>
      <c r="E794" s="78" t="s">
        <v>32</v>
      </c>
      <c r="F794" s="78" t="s">
        <v>781</v>
      </c>
      <c r="G794" s="78"/>
      <c r="H794" s="78" t="s">
        <v>33</v>
      </c>
      <c r="I794" s="87"/>
      <c r="J794" s="72">
        <f t="shared" ref="J794" si="232">AVERAGE(J789:J793)</f>
        <v>73.2</v>
      </c>
      <c r="K794" s="72">
        <f t="shared" ref="K794:P794" si="233">AVERAGE(K789:K793)</f>
        <v>6.3022666666666671</v>
      </c>
      <c r="L794" s="72">
        <f t="shared" si="233"/>
        <v>150.74307500000003</v>
      </c>
      <c r="M794" s="72">
        <f t="shared" si="233"/>
        <v>4.3560800000000004</v>
      </c>
      <c r="N794" s="72">
        <f t="shared" si="233"/>
        <v>70</v>
      </c>
      <c r="O794" s="72">
        <f t="shared" si="233"/>
        <v>0.4</v>
      </c>
      <c r="P794" s="72">
        <f t="shared" si="233"/>
        <v>0</v>
      </c>
      <c r="Q794" s="72"/>
      <c r="R794" s="72">
        <f>AVERAGE(R789:R793)</f>
        <v>131.32926666666665</v>
      </c>
      <c r="S794" s="72">
        <f>AVERAGE(S789:S793)</f>
        <v>2</v>
      </c>
      <c r="T794" s="72"/>
      <c r="U794" s="72"/>
      <c r="V794" s="72"/>
      <c r="W794" s="72"/>
      <c r="X794" s="72"/>
      <c r="Y794" s="72"/>
      <c r="Z794" s="72"/>
      <c r="AA794" s="72"/>
      <c r="AB794" s="72"/>
      <c r="AC794" s="73"/>
      <c r="AD794" s="73"/>
      <c r="AE794" s="73"/>
      <c r="AF794" s="73"/>
      <c r="AG794" s="73"/>
      <c r="AH794" s="73"/>
      <c r="AI794" s="73"/>
      <c r="AJ794" s="73"/>
      <c r="AK794" s="73"/>
      <c r="AL794" s="73"/>
      <c r="AM794" s="73"/>
      <c r="AN794" s="73"/>
      <c r="AO794" s="73"/>
      <c r="AP794" s="73"/>
      <c r="AQ794" s="73"/>
      <c r="AR794" s="73"/>
      <c r="AS794" s="73"/>
      <c r="AT794" s="73"/>
      <c r="AU794" s="73"/>
      <c r="AV794" s="73"/>
      <c r="AW794" s="73"/>
      <c r="AX794" s="73"/>
    </row>
    <row r="795" spans="1:50" ht="17" x14ac:dyDescent="0.2">
      <c r="A795" s="24" t="s">
        <v>710</v>
      </c>
      <c r="B795" s="24" t="s">
        <v>711</v>
      </c>
      <c r="H795" s="2" t="s">
        <v>33</v>
      </c>
      <c r="I795" s="243" t="s">
        <v>1018</v>
      </c>
      <c r="J795" s="3">
        <v>95.3</v>
      </c>
      <c r="K795" s="3">
        <v>0.5</v>
      </c>
      <c r="L795" s="3">
        <v>63</v>
      </c>
      <c r="M795" s="3">
        <v>0.8</v>
      </c>
      <c r="P795" s="4" t="s">
        <v>0</v>
      </c>
      <c r="R795" s="3">
        <v>3</v>
      </c>
    </row>
    <row r="796" spans="1:50" s="71" customFormat="1" x14ac:dyDescent="0.2">
      <c r="A796" s="70" t="s">
        <v>710</v>
      </c>
      <c r="B796" s="70" t="s">
        <v>711</v>
      </c>
      <c r="C796" s="71" t="s">
        <v>876</v>
      </c>
      <c r="D796" s="71" t="s">
        <v>31</v>
      </c>
      <c r="E796" s="71" t="s">
        <v>46</v>
      </c>
      <c r="F796" s="71" t="s">
        <v>782</v>
      </c>
      <c r="H796" s="71" t="s">
        <v>33</v>
      </c>
      <c r="I796" s="87"/>
      <c r="J796" s="72">
        <f>J795</f>
        <v>95.3</v>
      </c>
      <c r="K796" s="72">
        <f>K795</f>
        <v>0.5</v>
      </c>
      <c r="L796" s="72">
        <f>L795</f>
        <v>63</v>
      </c>
      <c r="M796" s="72">
        <f>M795</f>
        <v>0.8</v>
      </c>
      <c r="N796" s="72"/>
      <c r="O796" s="72"/>
      <c r="P796" s="72"/>
      <c r="Q796" s="72"/>
      <c r="R796" s="72">
        <f>R795</f>
        <v>3</v>
      </c>
      <c r="S796" s="72"/>
      <c r="T796" s="72"/>
      <c r="U796" s="72"/>
      <c r="V796" s="72"/>
      <c r="W796" s="72"/>
      <c r="X796" s="72"/>
      <c r="Y796" s="72"/>
      <c r="Z796" s="72"/>
      <c r="AA796" s="72"/>
      <c r="AB796" s="72"/>
      <c r="AC796" s="73"/>
      <c r="AD796" s="73"/>
      <c r="AE796" s="73"/>
      <c r="AF796" s="73"/>
      <c r="AG796" s="73"/>
      <c r="AH796" s="73"/>
      <c r="AI796" s="73"/>
      <c r="AJ796" s="73"/>
      <c r="AK796" s="73"/>
      <c r="AL796" s="73"/>
      <c r="AM796" s="73"/>
      <c r="AN796" s="73"/>
      <c r="AO796" s="73"/>
      <c r="AP796" s="73"/>
      <c r="AQ796" s="73"/>
      <c r="AR796" s="73"/>
      <c r="AS796" s="73"/>
      <c r="AT796" s="73"/>
      <c r="AU796" s="73"/>
      <c r="AV796" s="73"/>
      <c r="AW796" s="73"/>
      <c r="AX796" s="73"/>
    </row>
    <row r="797" spans="1:50" s="22" customFormat="1" ht="15" customHeight="1" x14ac:dyDescent="0.2">
      <c r="A797" s="21" t="s">
        <v>710</v>
      </c>
      <c r="B797" s="22" t="s">
        <v>711</v>
      </c>
      <c r="D797" s="2"/>
      <c r="E797" s="2"/>
      <c r="H797" s="22" t="s">
        <v>66</v>
      </c>
      <c r="I797" s="27" t="s">
        <v>712</v>
      </c>
      <c r="J797" s="4">
        <v>82.5</v>
      </c>
      <c r="K797" s="4">
        <v>6.37</v>
      </c>
      <c r="L797" s="4">
        <v>0.01</v>
      </c>
      <c r="M797" s="4">
        <v>0.71</v>
      </c>
      <c r="N797" s="4">
        <v>0.01</v>
      </c>
      <c r="O797" s="4">
        <v>3.5</v>
      </c>
      <c r="P797" s="4" t="s">
        <v>0</v>
      </c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23"/>
      <c r="AD797" s="23"/>
      <c r="AE797" s="23"/>
      <c r="AF797" s="23"/>
      <c r="AG797" s="23"/>
      <c r="AH797" s="23"/>
      <c r="AI797" s="23"/>
      <c r="AJ797" s="23"/>
      <c r="AK797" s="23"/>
      <c r="AL797" s="23"/>
      <c r="AM797" s="23"/>
      <c r="AN797" s="23"/>
      <c r="AO797" s="23"/>
      <c r="AP797" s="23"/>
      <c r="AQ797" s="23"/>
      <c r="AR797" s="23"/>
      <c r="AS797" s="23"/>
      <c r="AT797" s="23"/>
      <c r="AU797" s="23"/>
      <c r="AV797" s="23"/>
      <c r="AW797" s="23"/>
      <c r="AX797" s="23"/>
    </row>
    <row r="798" spans="1:50" s="71" customFormat="1" ht="15" customHeight="1" x14ac:dyDescent="0.2">
      <c r="A798" s="70" t="s">
        <v>710</v>
      </c>
      <c r="B798" s="70" t="s">
        <v>711</v>
      </c>
      <c r="C798" s="71" t="s">
        <v>876</v>
      </c>
      <c r="D798" s="71" t="s">
        <v>31</v>
      </c>
      <c r="E798" s="71" t="s">
        <v>46</v>
      </c>
      <c r="F798" s="71" t="s">
        <v>782</v>
      </c>
      <c r="H798" s="71" t="s">
        <v>66</v>
      </c>
      <c r="I798" s="87"/>
      <c r="J798" s="72">
        <f t="shared" ref="J798:O798" si="234">J797</f>
        <v>82.5</v>
      </c>
      <c r="K798" s="72">
        <f t="shared" si="234"/>
        <v>6.37</v>
      </c>
      <c r="L798" s="72">
        <f t="shared" si="234"/>
        <v>0.01</v>
      </c>
      <c r="M798" s="72">
        <f t="shared" si="234"/>
        <v>0.71</v>
      </c>
      <c r="N798" s="72">
        <f t="shared" si="234"/>
        <v>0.01</v>
      </c>
      <c r="O798" s="72">
        <f t="shared" si="234"/>
        <v>3.5</v>
      </c>
      <c r="P798" s="72"/>
      <c r="Q798" s="72"/>
      <c r="R798" s="72"/>
      <c r="S798" s="72"/>
      <c r="T798" s="72"/>
      <c r="U798" s="72"/>
      <c r="V798" s="72"/>
      <c r="W798" s="72"/>
      <c r="X798" s="72"/>
      <c r="Y798" s="72"/>
      <c r="Z798" s="72"/>
      <c r="AA798" s="72"/>
      <c r="AB798" s="72"/>
      <c r="AC798" s="73"/>
      <c r="AD798" s="73"/>
      <c r="AE798" s="73"/>
      <c r="AF798" s="73"/>
      <c r="AG798" s="73"/>
      <c r="AH798" s="73"/>
      <c r="AI798" s="73"/>
      <c r="AJ798" s="73"/>
      <c r="AK798" s="73"/>
      <c r="AL798" s="73"/>
      <c r="AM798" s="73"/>
      <c r="AN798" s="73"/>
      <c r="AO798" s="73"/>
      <c r="AP798" s="73"/>
      <c r="AQ798" s="73"/>
      <c r="AR798" s="73"/>
      <c r="AS798" s="73"/>
      <c r="AT798" s="73"/>
      <c r="AU798" s="73"/>
      <c r="AV798" s="73"/>
      <c r="AW798" s="73"/>
      <c r="AX798" s="73"/>
    </row>
    <row r="799" spans="1:50" ht="15" customHeight="1" x14ac:dyDescent="0.2">
      <c r="A799" s="24" t="s">
        <v>764</v>
      </c>
      <c r="B799" s="24" t="s">
        <v>765</v>
      </c>
      <c r="H799" s="2" t="s">
        <v>28</v>
      </c>
      <c r="I799" s="243" t="s">
        <v>1027</v>
      </c>
      <c r="J799" s="3">
        <f>100-20.7</f>
        <v>79.3</v>
      </c>
      <c r="L799" s="3">
        <v>28</v>
      </c>
      <c r="M799" s="3">
        <v>1.76</v>
      </c>
      <c r="N799" s="3">
        <v>48</v>
      </c>
      <c r="O799" s="3">
        <v>0.57999999999999996</v>
      </c>
      <c r="P799" s="4" t="s">
        <v>0</v>
      </c>
    </row>
    <row r="800" spans="1:50" ht="15" customHeight="1" x14ac:dyDescent="0.2">
      <c r="A800" s="24" t="s">
        <v>764</v>
      </c>
      <c r="B800" s="24" t="s">
        <v>765</v>
      </c>
      <c r="H800" s="2" t="s">
        <v>28</v>
      </c>
      <c r="I800" s="243" t="s">
        <v>1027</v>
      </c>
      <c r="J800" s="3">
        <f>100-19.8</f>
        <v>80.2</v>
      </c>
      <c r="L800" s="3">
        <v>32</v>
      </c>
      <c r="M800" s="3">
        <v>1.08</v>
      </c>
      <c r="N800" s="3">
        <v>48</v>
      </c>
      <c r="O800" s="3">
        <v>0.44</v>
      </c>
      <c r="P800" s="4" t="s">
        <v>0</v>
      </c>
    </row>
    <row r="801" spans="1:50" ht="15" customHeight="1" x14ac:dyDescent="0.2">
      <c r="A801" s="24" t="s">
        <v>764</v>
      </c>
      <c r="B801" s="24" t="s">
        <v>765</v>
      </c>
      <c r="H801" s="2" t="s">
        <v>28</v>
      </c>
      <c r="I801" s="243" t="s">
        <v>1027</v>
      </c>
      <c r="J801" s="3">
        <f>100-20.3</f>
        <v>79.7</v>
      </c>
      <c r="L801" s="3">
        <v>44</v>
      </c>
      <c r="M801" s="3">
        <v>1.46</v>
      </c>
      <c r="N801" s="3">
        <v>64</v>
      </c>
      <c r="O801" s="3">
        <v>0.49</v>
      </c>
      <c r="P801" s="4" t="s">
        <v>0</v>
      </c>
    </row>
    <row r="802" spans="1:50" s="71" customFormat="1" ht="15" customHeight="1" x14ac:dyDescent="0.2">
      <c r="A802" s="70" t="s">
        <v>764</v>
      </c>
      <c r="B802" s="70" t="s">
        <v>765</v>
      </c>
      <c r="C802" s="71" t="s">
        <v>766</v>
      </c>
      <c r="D802" s="71" t="s">
        <v>31</v>
      </c>
      <c r="E802" s="71" t="s">
        <v>32</v>
      </c>
      <c r="F802" s="71" t="s">
        <v>781</v>
      </c>
      <c r="H802" s="71" t="s">
        <v>28</v>
      </c>
      <c r="I802" s="87"/>
      <c r="J802" s="72">
        <f>AVERAGE(J799:J801)</f>
        <v>79.733333333333334</v>
      </c>
      <c r="K802" s="72"/>
      <c r="L802" s="72">
        <f>AVERAGE(L799:L801)</f>
        <v>34.666666666666664</v>
      </c>
      <c r="M802" s="72">
        <f>AVERAGE(M799:M801)</f>
        <v>1.4333333333333333</v>
      </c>
      <c r="N802" s="72">
        <f>AVERAGE(N799:N801)</f>
        <v>53.333333333333336</v>
      </c>
      <c r="O802" s="72">
        <f>AVERAGE(O799:O801)</f>
        <v>0.5033333333333333</v>
      </c>
      <c r="P802" s="72"/>
      <c r="Q802" s="72"/>
      <c r="R802" s="72"/>
      <c r="S802" s="72"/>
      <c r="T802" s="72"/>
      <c r="U802" s="72"/>
      <c r="V802" s="72"/>
      <c r="W802" s="72"/>
      <c r="X802" s="72"/>
      <c r="Y802" s="72"/>
      <c r="Z802" s="72"/>
      <c r="AA802" s="72"/>
      <c r="AB802" s="72"/>
      <c r="AC802" s="73"/>
      <c r="AD802" s="73"/>
      <c r="AE802" s="73"/>
      <c r="AF802" s="73"/>
      <c r="AG802" s="73"/>
      <c r="AH802" s="73"/>
      <c r="AI802" s="73"/>
      <c r="AJ802" s="73"/>
      <c r="AK802" s="73"/>
      <c r="AL802" s="73"/>
      <c r="AM802" s="73"/>
      <c r="AN802" s="73"/>
      <c r="AO802" s="73"/>
      <c r="AP802" s="73"/>
      <c r="AQ802" s="73"/>
      <c r="AR802" s="73"/>
      <c r="AS802" s="73"/>
      <c r="AT802" s="73"/>
      <c r="AU802" s="73"/>
      <c r="AV802" s="73"/>
      <c r="AW802" s="73"/>
      <c r="AX802" s="73"/>
    </row>
    <row r="803" spans="1:50" s="41" customFormat="1" ht="34" x14ac:dyDescent="0.2">
      <c r="A803" s="40" t="s">
        <v>356</v>
      </c>
      <c r="B803" s="40" t="s">
        <v>357</v>
      </c>
      <c r="D803" s="2"/>
      <c r="E803" s="2"/>
      <c r="H803" s="41" t="s">
        <v>33</v>
      </c>
      <c r="I803" s="248" t="s">
        <v>1009</v>
      </c>
      <c r="J803" s="43"/>
      <c r="K803" s="43">
        <v>0.8</v>
      </c>
      <c r="L803" s="43">
        <v>179</v>
      </c>
      <c r="M803" s="43">
        <v>10.37</v>
      </c>
      <c r="N803" s="43"/>
      <c r="O803" s="43">
        <v>0.06</v>
      </c>
      <c r="P803" s="4">
        <f t="shared" ref="P803:P805" si="235">AN803</f>
        <v>0</v>
      </c>
      <c r="Q803" s="43"/>
      <c r="R803" s="43">
        <v>11</v>
      </c>
      <c r="S803" s="43"/>
      <c r="T803" s="43"/>
      <c r="U803" s="43"/>
      <c r="V803" s="43"/>
      <c r="W803" s="43"/>
      <c r="X803" s="43"/>
      <c r="Y803" s="43"/>
      <c r="Z803" s="43"/>
      <c r="AA803" s="43"/>
      <c r="AB803" s="43"/>
      <c r="AC803" s="44"/>
      <c r="AD803" s="44"/>
      <c r="AE803" s="44"/>
      <c r="AF803" s="44"/>
      <c r="AG803" s="5"/>
      <c r="AH803" s="44"/>
      <c r="AI803" s="44"/>
      <c r="AJ803" s="44"/>
      <c r="AK803" s="44"/>
      <c r="AL803" s="44"/>
      <c r="AM803" s="44"/>
      <c r="AN803" s="23"/>
      <c r="AO803" s="44"/>
      <c r="AP803" s="44"/>
      <c r="AQ803" s="44"/>
      <c r="AR803" s="44"/>
      <c r="AS803" s="44"/>
      <c r="AT803" s="44"/>
      <c r="AU803" s="44"/>
      <c r="AV803" s="44"/>
      <c r="AW803" s="44"/>
      <c r="AX803" s="44"/>
    </row>
    <row r="804" spans="1:50" s="41" customFormat="1" ht="34" x14ac:dyDescent="0.2">
      <c r="A804" s="40" t="s">
        <v>356</v>
      </c>
      <c r="B804" s="40" t="s">
        <v>358</v>
      </c>
      <c r="D804" s="2"/>
      <c r="E804" s="2"/>
      <c r="H804" s="41" t="s">
        <v>33</v>
      </c>
      <c r="I804" s="248" t="s">
        <v>1009</v>
      </c>
      <c r="J804" s="43"/>
      <c r="K804" s="43">
        <v>0.81</v>
      </c>
      <c r="L804" s="43">
        <v>126</v>
      </c>
      <c r="M804" s="43">
        <v>1.22</v>
      </c>
      <c r="N804" s="43"/>
      <c r="O804" s="43"/>
      <c r="P804" s="4">
        <f t="shared" si="235"/>
        <v>0</v>
      </c>
      <c r="Q804" s="43"/>
      <c r="R804" s="43">
        <v>11</v>
      </c>
      <c r="S804" s="43">
        <v>0.9</v>
      </c>
      <c r="T804" s="43"/>
      <c r="U804" s="43"/>
      <c r="V804" s="43"/>
      <c r="W804" s="43"/>
      <c r="X804" s="43"/>
      <c r="Y804" s="43"/>
      <c r="Z804" s="43"/>
      <c r="AA804" s="43"/>
      <c r="AB804" s="43"/>
      <c r="AC804" s="44"/>
      <c r="AD804" s="44"/>
      <c r="AE804" s="44"/>
      <c r="AF804" s="44"/>
      <c r="AG804" s="5"/>
      <c r="AH804" s="44"/>
      <c r="AI804" s="44"/>
      <c r="AJ804" s="44"/>
      <c r="AK804" s="44"/>
      <c r="AL804" s="44"/>
      <c r="AM804" s="44"/>
      <c r="AN804" s="23"/>
      <c r="AO804" s="44"/>
      <c r="AP804" s="44"/>
      <c r="AQ804" s="44"/>
      <c r="AR804" s="44"/>
      <c r="AS804" s="44"/>
      <c r="AT804" s="44"/>
      <c r="AU804" s="44"/>
      <c r="AV804" s="44"/>
      <c r="AW804" s="44"/>
      <c r="AX804" s="44"/>
    </row>
    <row r="805" spans="1:50" s="41" customFormat="1" ht="34" x14ac:dyDescent="0.2">
      <c r="A805" s="40" t="s">
        <v>356</v>
      </c>
      <c r="B805" s="40" t="s">
        <v>359</v>
      </c>
      <c r="D805" s="2"/>
      <c r="E805" s="2"/>
      <c r="H805" s="41" t="s">
        <v>33</v>
      </c>
      <c r="I805" s="248" t="s">
        <v>1009</v>
      </c>
      <c r="J805" s="43"/>
      <c r="K805" s="43">
        <v>0.74</v>
      </c>
      <c r="L805" s="43">
        <v>81</v>
      </c>
      <c r="M805" s="43">
        <v>1.1100000000000001</v>
      </c>
      <c r="N805" s="43"/>
      <c r="O805" s="43"/>
      <c r="P805" s="4">
        <f t="shared" si="235"/>
        <v>0</v>
      </c>
      <c r="Q805" s="43"/>
      <c r="R805" s="43">
        <v>19</v>
      </c>
      <c r="S805" s="43">
        <v>0.14000000000000001</v>
      </c>
      <c r="T805" s="43"/>
      <c r="U805" s="43"/>
      <c r="V805" s="43"/>
      <c r="W805" s="43"/>
      <c r="X805" s="43"/>
      <c r="Y805" s="43"/>
      <c r="Z805" s="43"/>
      <c r="AA805" s="43"/>
      <c r="AB805" s="43"/>
      <c r="AC805" s="44"/>
      <c r="AD805" s="44"/>
      <c r="AE805" s="44"/>
      <c r="AF805" s="44"/>
      <c r="AG805" s="5"/>
      <c r="AH805" s="44"/>
      <c r="AI805" s="44"/>
      <c r="AJ805" s="44"/>
      <c r="AK805" s="44"/>
      <c r="AL805" s="44"/>
      <c r="AM805" s="44"/>
      <c r="AN805" s="23"/>
      <c r="AO805" s="44"/>
      <c r="AP805" s="44"/>
      <c r="AQ805" s="44"/>
      <c r="AR805" s="44"/>
      <c r="AS805" s="44"/>
      <c r="AT805" s="44"/>
      <c r="AU805" s="44"/>
      <c r="AV805" s="44"/>
      <c r="AW805" s="44"/>
      <c r="AX805" s="44"/>
    </row>
    <row r="806" spans="1:50" s="71" customFormat="1" x14ac:dyDescent="0.2">
      <c r="A806" s="70" t="s">
        <v>356</v>
      </c>
      <c r="B806" s="70" t="s">
        <v>357</v>
      </c>
      <c r="C806" s="71" t="s">
        <v>360</v>
      </c>
      <c r="D806" s="71" t="s">
        <v>31</v>
      </c>
      <c r="E806" s="71" t="s">
        <v>46</v>
      </c>
      <c r="F806" s="78" t="s">
        <v>782</v>
      </c>
      <c r="H806" s="71" t="s">
        <v>33</v>
      </c>
      <c r="I806" s="87"/>
      <c r="J806" s="72"/>
      <c r="K806" s="72">
        <f>AVERAGE(K803:K805)</f>
        <v>0.78333333333333333</v>
      </c>
      <c r="L806" s="72">
        <f>AVERAGE(L803:L805)</f>
        <v>128.66666666666666</v>
      </c>
      <c r="M806" s="72">
        <f>AVERAGE(M803:M805)</f>
        <v>4.2333333333333334</v>
      </c>
      <c r="N806" s="72"/>
      <c r="O806" s="72">
        <f>AVERAGE(O803:O805)</f>
        <v>0.06</v>
      </c>
      <c r="P806" s="72">
        <f>AVERAGE(P803:P805)</f>
        <v>0</v>
      </c>
      <c r="Q806" s="72"/>
      <c r="R806" s="72">
        <f>AVERAGE(R803:R805)</f>
        <v>13.666666666666666</v>
      </c>
      <c r="S806" s="72">
        <f>AVERAGE(S803:S805)</f>
        <v>0.52</v>
      </c>
      <c r="T806" s="72"/>
      <c r="U806" s="72"/>
      <c r="V806" s="72"/>
      <c r="W806" s="72"/>
      <c r="X806" s="72"/>
      <c r="Y806" s="72"/>
      <c r="Z806" s="72"/>
      <c r="AA806" s="72"/>
      <c r="AB806" s="72"/>
      <c r="AC806" s="73"/>
      <c r="AD806" s="73"/>
      <c r="AE806" s="73"/>
      <c r="AF806" s="73"/>
      <c r="AG806" s="73"/>
      <c r="AH806" s="73"/>
      <c r="AI806" s="73"/>
      <c r="AJ806" s="73"/>
      <c r="AK806" s="73"/>
      <c r="AL806" s="73"/>
      <c r="AM806" s="73"/>
      <c r="AN806" s="73"/>
      <c r="AO806" s="73"/>
      <c r="AP806" s="73"/>
      <c r="AQ806" s="73"/>
      <c r="AR806" s="73"/>
      <c r="AS806" s="73"/>
      <c r="AT806" s="73"/>
      <c r="AU806" s="73"/>
      <c r="AV806" s="73"/>
      <c r="AW806" s="73"/>
      <c r="AX806" s="73"/>
    </row>
    <row r="807" spans="1:50" s="22" customFormat="1" ht="34" x14ac:dyDescent="0.2">
      <c r="A807" s="25" t="s">
        <v>361</v>
      </c>
      <c r="B807" s="25" t="s">
        <v>362</v>
      </c>
      <c r="C807" s="22" t="s">
        <v>0</v>
      </c>
      <c r="D807" s="2"/>
      <c r="E807" s="2"/>
      <c r="H807" s="22" t="s">
        <v>286</v>
      </c>
      <c r="I807" s="65" t="s">
        <v>1023</v>
      </c>
      <c r="J807" s="4"/>
      <c r="K807" s="4"/>
      <c r="L807" s="4">
        <v>87</v>
      </c>
      <c r="M807" s="4">
        <v>1.2</v>
      </c>
      <c r="N807" s="4"/>
      <c r="O807" s="4"/>
      <c r="P807" s="4">
        <f t="shared" ref="P807" si="236">AN807</f>
        <v>0</v>
      </c>
      <c r="Q807" s="4"/>
      <c r="R807" s="4">
        <v>83</v>
      </c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23"/>
      <c r="AD807" s="23"/>
      <c r="AE807" s="23"/>
      <c r="AF807" s="23"/>
      <c r="AG807" s="23"/>
      <c r="AH807" s="23"/>
      <c r="AI807" s="23"/>
      <c r="AJ807" s="23"/>
      <c r="AK807" s="5"/>
      <c r="AL807" s="23"/>
      <c r="AM807" s="23"/>
      <c r="AN807" s="23"/>
      <c r="AO807" s="23"/>
      <c r="AP807" s="23"/>
      <c r="AQ807" s="23"/>
      <c r="AR807" s="23"/>
      <c r="AS807" s="23"/>
      <c r="AT807" s="23"/>
      <c r="AU807" s="23"/>
      <c r="AV807" s="23"/>
      <c r="AW807" s="23"/>
      <c r="AX807" s="23"/>
    </row>
    <row r="808" spans="1:50" s="76" customFormat="1" ht="15" customHeight="1" x14ac:dyDescent="0.2">
      <c r="A808" s="77" t="s">
        <v>361</v>
      </c>
      <c r="B808" s="77" t="s">
        <v>362</v>
      </c>
      <c r="C808" s="71" t="s">
        <v>363</v>
      </c>
      <c r="D808" s="71" t="s">
        <v>31</v>
      </c>
      <c r="E808" s="71" t="s">
        <v>46</v>
      </c>
      <c r="F808" s="78" t="s">
        <v>782</v>
      </c>
      <c r="G808" s="71"/>
      <c r="H808" s="71" t="s">
        <v>286</v>
      </c>
      <c r="I808" s="87" t="s">
        <v>1023</v>
      </c>
      <c r="J808" s="74"/>
      <c r="K808" s="74"/>
      <c r="L808" s="74">
        <f>L807</f>
        <v>87</v>
      </c>
      <c r="M808" s="74">
        <f>M807</f>
        <v>1.2</v>
      </c>
      <c r="N808" s="74"/>
      <c r="O808" s="74"/>
      <c r="P808" s="74">
        <f>P807</f>
        <v>0</v>
      </c>
      <c r="Q808" s="74"/>
      <c r="R808" s="74">
        <f>R807</f>
        <v>83</v>
      </c>
      <c r="S808" s="74"/>
      <c r="T808" s="74"/>
      <c r="U808" s="74"/>
      <c r="V808" s="74"/>
      <c r="W808" s="74"/>
      <c r="X808" s="74"/>
      <c r="Y808" s="74"/>
      <c r="Z808" s="74"/>
      <c r="AA808" s="74"/>
      <c r="AB808" s="74"/>
      <c r="AC808" s="75"/>
      <c r="AD808" s="75"/>
      <c r="AE808" s="75"/>
      <c r="AF808" s="75"/>
      <c r="AG808" s="75"/>
      <c r="AH808" s="75"/>
      <c r="AI808" s="75"/>
      <c r="AJ808" s="75"/>
      <c r="AK808" s="75"/>
      <c r="AL808" s="75"/>
      <c r="AM808" s="75"/>
      <c r="AN808" s="75"/>
      <c r="AO808" s="75"/>
      <c r="AP808" s="75"/>
      <c r="AQ808" s="75"/>
      <c r="AR808" s="75"/>
      <c r="AS808" s="75"/>
      <c r="AT808" s="75"/>
      <c r="AU808" s="75"/>
      <c r="AV808" s="75"/>
      <c r="AW808" s="75"/>
      <c r="AX808" s="75"/>
    </row>
    <row r="809" spans="1:50" s="22" customFormat="1" ht="34" x14ac:dyDescent="0.2">
      <c r="A809" s="21" t="s">
        <v>361</v>
      </c>
      <c r="B809" s="21" t="s">
        <v>362</v>
      </c>
      <c r="C809" s="22" t="s">
        <v>0</v>
      </c>
      <c r="D809" s="2"/>
      <c r="E809" s="2"/>
      <c r="H809" s="22" t="s">
        <v>166</v>
      </c>
      <c r="I809" s="65" t="s">
        <v>1009</v>
      </c>
      <c r="J809" s="4"/>
      <c r="K809" s="4">
        <v>0.97</v>
      </c>
      <c r="L809" s="4">
        <v>18</v>
      </c>
      <c r="M809" s="4">
        <v>0.64</v>
      </c>
      <c r="N809" s="4"/>
      <c r="O809" s="4"/>
      <c r="P809" s="4">
        <f t="shared" ref="P809" si="237">AN809</f>
        <v>0</v>
      </c>
      <c r="Q809" s="4"/>
      <c r="R809" s="4">
        <v>39</v>
      </c>
      <c r="S809" s="4">
        <v>2.0699999999999998</v>
      </c>
      <c r="T809" s="4"/>
      <c r="U809" s="4"/>
      <c r="V809" s="4"/>
      <c r="W809" s="4"/>
      <c r="X809" s="4"/>
      <c r="Y809" s="4"/>
      <c r="Z809" s="4"/>
      <c r="AA809" s="4"/>
      <c r="AB809" s="4"/>
      <c r="AC809" s="23"/>
      <c r="AD809" s="23"/>
      <c r="AE809" s="23"/>
      <c r="AF809" s="23"/>
      <c r="AG809" s="5"/>
      <c r="AH809" s="23"/>
      <c r="AI809" s="23"/>
      <c r="AJ809" s="23"/>
      <c r="AK809" s="23"/>
      <c r="AL809" s="23"/>
      <c r="AM809" s="23"/>
      <c r="AN809" s="23"/>
      <c r="AO809" s="23"/>
      <c r="AP809" s="23"/>
      <c r="AQ809" s="23"/>
      <c r="AR809" s="23"/>
      <c r="AS809" s="23"/>
      <c r="AT809" s="23"/>
      <c r="AU809" s="23"/>
      <c r="AV809" s="23"/>
      <c r="AW809" s="23"/>
      <c r="AX809" s="23"/>
    </row>
    <row r="810" spans="1:50" s="71" customFormat="1" ht="15" customHeight="1" x14ac:dyDescent="0.2">
      <c r="A810" s="70" t="s">
        <v>361</v>
      </c>
      <c r="B810" s="70" t="s">
        <v>362</v>
      </c>
      <c r="C810" s="71" t="s">
        <v>363</v>
      </c>
      <c r="D810" s="71" t="s">
        <v>31</v>
      </c>
      <c r="E810" s="71" t="s">
        <v>46</v>
      </c>
      <c r="F810" s="78" t="s">
        <v>782</v>
      </c>
      <c r="H810" s="71" t="s">
        <v>166</v>
      </c>
      <c r="I810" s="87"/>
      <c r="J810" s="72"/>
      <c r="K810" s="74">
        <f>K809</f>
        <v>0.97</v>
      </c>
      <c r="L810" s="74">
        <f>L809</f>
        <v>18</v>
      </c>
      <c r="M810" s="74">
        <f>M809</f>
        <v>0.64</v>
      </c>
      <c r="N810" s="72"/>
      <c r="O810" s="72"/>
      <c r="P810" s="74">
        <f>P809</f>
        <v>0</v>
      </c>
      <c r="Q810" s="72"/>
      <c r="R810" s="74">
        <f>R809</f>
        <v>39</v>
      </c>
      <c r="S810" s="74">
        <f>S809</f>
        <v>2.0699999999999998</v>
      </c>
      <c r="T810" s="74"/>
      <c r="U810" s="74"/>
      <c r="V810" s="72"/>
      <c r="W810" s="72"/>
      <c r="X810" s="72"/>
      <c r="Y810" s="72"/>
      <c r="Z810" s="72"/>
      <c r="AA810" s="72"/>
      <c r="AB810" s="72"/>
      <c r="AC810" s="73"/>
      <c r="AD810" s="73"/>
      <c r="AE810" s="73"/>
      <c r="AF810" s="73"/>
      <c r="AG810" s="73"/>
      <c r="AH810" s="73"/>
      <c r="AI810" s="73"/>
      <c r="AJ810" s="73"/>
      <c r="AK810" s="73"/>
      <c r="AL810" s="73"/>
      <c r="AM810" s="73"/>
      <c r="AN810" s="73"/>
      <c r="AO810" s="73"/>
      <c r="AP810" s="73"/>
      <c r="AQ810" s="73"/>
      <c r="AR810" s="73"/>
      <c r="AS810" s="73"/>
      <c r="AT810" s="73"/>
      <c r="AU810" s="73"/>
      <c r="AV810" s="73"/>
      <c r="AW810" s="73"/>
      <c r="AX810" s="73"/>
    </row>
    <row r="811" spans="1:50" ht="17" x14ac:dyDescent="0.2">
      <c r="A811" s="31" t="s">
        <v>361</v>
      </c>
      <c r="B811" s="31" t="s">
        <v>364</v>
      </c>
      <c r="C811" s="1"/>
      <c r="H811" s="1" t="s">
        <v>166</v>
      </c>
      <c r="I811" s="243" t="s">
        <v>1006</v>
      </c>
      <c r="J811" s="3">
        <v>86</v>
      </c>
      <c r="K811" s="3">
        <v>1.2035000000000002</v>
      </c>
      <c r="L811" s="3" t="s">
        <v>55</v>
      </c>
      <c r="M811" s="3" t="s">
        <v>55</v>
      </c>
      <c r="P811" s="4">
        <f t="shared" ref="P811" si="238">AN811</f>
        <v>0</v>
      </c>
      <c r="R811" s="3" t="s">
        <v>55</v>
      </c>
      <c r="AE811" s="23"/>
      <c r="AN811" s="23"/>
    </row>
    <row r="812" spans="1:50" ht="17" x14ac:dyDescent="0.2">
      <c r="A812" s="31" t="s">
        <v>361</v>
      </c>
      <c r="B812" s="31" t="s">
        <v>364</v>
      </c>
      <c r="C812" s="1"/>
      <c r="H812" s="1" t="s">
        <v>166</v>
      </c>
      <c r="I812" s="243" t="s">
        <v>1006</v>
      </c>
      <c r="J812" s="3">
        <v>87</v>
      </c>
      <c r="K812" s="3">
        <v>1.2032</v>
      </c>
      <c r="L812" s="3">
        <v>87.00160000000001</v>
      </c>
      <c r="M812" s="3">
        <v>1.2032</v>
      </c>
      <c r="P812" s="4" t="s">
        <v>0</v>
      </c>
      <c r="R812" s="3">
        <v>88</v>
      </c>
    </row>
    <row r="813" spans="1:50" s="71" customFormat="1" x14ac:dyDescent="0.2">
      <c r="A813" s="77" t="s">
        <v>361</v>
      </c>
      <c r="B813" s="77" t="s">
        <v>364</v>
      </c>
      <c r="C813" s="78" t="s">
        <v>363</v>
      </c>
      <c r="D813" s="71" t="s">
        <v>31</v>
      </c>
      <c r="E813" s="71" t="s">
        <v>46</v>
      </c>
      <c r="F813" s="78" t="s">
        <v>782</v>
      </c>
      <c r="H813" s="78" t="s">
        <v>166</v>
      </c>
      <c r="I813" s="87"/>
      <c r="J813" s="72">
        <f>AVERAGE(J811:J812)</f>
        <v>86.5</v>
      </c>
      <c r="K813" s="72">
        <f>AVERAGE(K811:K812)</f>
        <v>1.2033500000000001</v>
      </c>
      <c r="L813" s="72">
        <f>AVERAGE(L811:L812)</f>
        <v>87.00160000000001</v>
      </c>
      <c r="M813" s="72">
        <f>AVERAGE(M811:M812)</f>
        <v>1.2032</v>
      </c>
      <c r="N813" s="72"/>
      <c r="O813" s="72"/>
      <c r="P813" s="72">
        <f>AVERAGE(P811:P812)</f>
        <v>0</v>
      </c>
      <c r="Q813" s="72"/>
      <c r="R813" s="72">
        <f>AVERAGE(R811:R812)</f>
        <v>88</v>
      </c>
      <c r="S813" s="72"/>
      <c r="T813" s="72"/>
      <c r="U813" s="72"/>
      <c r="V813" s="72"/>
      <c r="W813" s="72"/>
      <c r="X813" s="72"/>
      <c r="Y813" s="72"/>
      <c r="Z813" s="72"/>
      <c r="AA813" s="72"/>
      <c r="AB813" s="72"/>
      <c r="AC813" s="73"/>
      <c r="AD813" s="73"/>
      <c r="AE813" s="73"/>
      <c r="AF813" s="73"/>
      <c r="AG813" s="73"/>
      <c r="AH813" s="73"/>
      <c r="AI813" s="73"/>
      <c r="AJ813" s="73"/>
      <c r="AK813" s="73"/>
      <c r="AL813" s="73"/>
      <c r="AM813" s="73"/>
      <c r="AN813" s="73"/>
      <c r="AO813" s="73"/>
      <c r="AP813" s="73"/>
      <c r="AQ813" s="73"/>
      <c r="AR813" s="73"/>
      <c r="AS813" s="73"/>
      <c r="AT813" s="73"/>
      <c r="AU813" s="73"/>
      <c r="AV813" s="73"/>
      <c r="AW813" s="73"/>
      <c r="AX813" s="73"/>
    </row>
    <row r="814" spans="1:50" s="41" customFormat="1" ht="34" x14ac:dyDescent="0.2">
      <c r="A814" s="51" t="s">
        <v>361</v>
      </c>
      <c r="B814" s="51" t="s">
        <v>364</v>
      </c>
      <c r="C814" s="41" t="s">
        <v>0</v>
      </c>
      <c r="D814" s="2"/>
      <c r="E814" s="2"/>
      <c r="H814" s="41" t="s">
        <v>286</v>
      </c>
      <c r="I814" s="248" t="s">
        <v>1023</v>
      </c>
      <c r="J814" s="43">
        <v>87</v>
      </c>
      <c r="K814" s="43">
        <v>1.2</v>
      </c>
      <c r="L814" s="43">
        <v>87</v>
      </c>
      <c r="M814" s="43">
        <v>1.2</v>
      </c>
      <c r="N814" s="43"/>
      <c r="O814" s="43"/>
      <c r="P814" s="4" t="s">
        <v>0</v>
      </c>
      <c r="Q814" s="43"/>
      <c r="R814" s="43">
        <v>88</v>
      </c>
      <c r="S814" s="43"/>
      <c r="T814" s="43"/>
      <c r="U814" s="43"/>
      <c r="V814" s="43"/>
      <c r="W814" s="43"/>
      <c r="X814" s="43"/>
      <c r="Y814" s="43"/>
      <c r="Z814" s="43"/>
      <c r="AA814" s="43"/>
      <c r="AB814" s="43"/>
      <c r="AC814" s="44"/>
      <c r="AD814" s="44"/>
      <c r="AE814" s="44"/>
      <c r="AF814" s="44"/>
      <c r="AG814" s="44"/>
      <c r="AH814" s="44"/>
      <c r="AI814" s="44"/>
      <c r="AJ814" s="44"/>
      <c r="AK814" s="44"/>
      <c r="AL814" s="44"/>
      <c r="AM814" s="44"/>
      <c r="AN814" s="44"/>
      <c r="AO814" s="44"/>
      <c r="AP814" s="44"/>
      <c r="AQ814" s="44"/>
      <c r="AR814" s="44"/>
      <c r="AS814" s="44"/>
      <c r="AT814" s="44"/>
      <c r="AU814" s="44"/>
      <c r="AV814" s="44"/>
      <c r="AW814" s="44"/>
      <c r="AX814" s="44"/>
    </row>
    <row r="815" spans="1:50" s="71" customFormat="1" x14ac:dyDescent="0.2">
      <c r="A815" s="77" t="s">
        <v>361</v>
      </c>
      <c r="B815" s="77" t="s">
        <v>364</v>
      </c>
      <c r="C815" s="71" t="s">
        <v>363</v>
      </c>
      <c r="D815" s="71" t="s">
        <v>31</v>
      </c>
      <c r="E815" s="71" t="s">
        <v>46</v>
      </c>
      <c r="F815" s="78" t="s">
        <v>782</v>
      </c>
      <c r="H815" s="71" t="s">
        <v>286</v>
      </c>
      <c r="I815" s="87"/>
      <c r="J815" s="72">
        <f t="shared" ref="J815" si="239">J814</f>
        <v>87</v>
      </c>
      <c r="K815" s="72">
        <f>K814</f>
        <v>1.2</v>
      </c>
      <c r="L815" s="72">
        <f>L814</f>
        <v>87</v>
      </c>
      <c r="M815" s="72">
        <f>M814</f>
        <v>1.2</v>
      </c>
      <c r="N815" s="72"/>
      <c r="O815" s="72"/>
      <c r="P815" s="72"/>
      <c r="Q815" s="72"/>
      <c r="R815" s="72">
        <f>R814</f>
        <v>88</v>
      </c>
      <c r="S815" s="72"/>
      <c r="T815" s="72"/>
      <c r="U815" s="72"/>
      <c r="V815" s="72"/>
      <c r="W815" s="72"/>
      <c r="X815" s="72"/>
      <c r="Y815" s="72"/>
      <c r="Z815" s="72"/>
      <c r="AA815" s="72"/>
      <c r="AB815" s="72"/>
      <c r="AC815" s="73"/>
      <c r="AD815" s="73"/>
      <c r="AE815" s="73"/>
      <c r="AF815" s="73"/>
      <c r="AG815" s="73"/>
      <c r="AH815" s="73"/>
      <c r="AI815" s="73"/>
      <c r="AJ815" s="73"/>
      <c r="AK815" s="73"/>
      <c r="AL815" s="73"/>
      <c r="AM815" s="73"/>
      <c r="AN815" s="73"/>
      <c r="AO815" s="73"/>
      <c r="AP815" s="73"/>
      <c r="AQ815" s="73"/>
      <c r="AR815" s="73"/>
      <c r="AS815" s="73"/>
      <c r="AT815" s="73"/>
      <c r="AU815" s="73"/>
      <c r="AV815" s="73"/>
      <c r="AW815" s="73"/>
      <c r="AX815" s="73"/>
    </row>
    <row r="816" spans="1:50" s="22" customFormat="1" ht="34" x14ac:dyDescent="0.2">
      <c r="A816" s="25" t="s">
        <v>361</v>
      </c>
      <c r="B816" s="25" t="s">
        <v>130</v>
      </c>
      <c r="D816" s="2"/>
      <c r="E816" s="2"/>
      <c r="F816" s="26" t="s">
        <v>0</v>
      </c>
      <c r="H816" s="22" t="s">
        <v>166</v>
      </c>
      <c r="I816" s="65" t="s">
        <v>1021</v>
      </c>
      <c r="J816" s="4">
        <v>40.299999999999997</v>
      </c>
      <c r="K816" s="4">
        <f>7.7/2</f>
        <v>3.85</v>
      </c>
      <c r="L816" s="4">
        <f>301/2</f>
        <v>150.5</v>
      </c>
      <c r="M816" s="4">
        <f>8.1/2</f>
        <v>4.05</v>
      </c>
      <c r="N816" s="4">
        <f>85/2</f>
        <v>42.5</v>
      </c>
      <c r="O816" s="4">
        <f>3.99/2</f>
        <v>1.9950000000000001</v>
      </c>
      <c r="P816" s="4">
        <f>0.15/2</f>
        <v>7.4999999999999997E-2</v>
      </c>
      <c r="Q816" s="4"/>
      <c r="R816" s="4">
        <v>5</v>
      </c>
      <c r="S816" s="4">
        <f>4.92/2</f>
        <v>2.46</v>
      </c>
      <c r="T816" s="4"/>
      <c r="U816" s="4"/>
      <c r="V816" s="4"/>
      <c r="W816" s="4"/>
      <c r="X816" s="4"/>
      <c r="Y816" s="4"/>
      <c r="Z816" s="4"/>
      <c r="AA816" s="4"/>
      <c r="AB816" s="4"/>
      <c r="AC816" s="23"/>
      <c r="AD816" s="23"/>
      <c r="AE816" s="23"/>
      <c r="AF816" s="23"/>
      <c r="AG816" s="23"/>
      <c r="AH816" s="23"/>
      <c r="AI816" s="23"/>
      <c r="AJ816" s="23"/>
      <c r="AK816" s="23"/>
      <c r="AL816" s="23"/>
      <c r="AM816" s="23"/>
      <c r="AN816" s="23"/>
      <c r="AO816" s="23"/>
      <c r="AP816" s="23"/>
      <c r="AQ816" s="23"/>
      <c r="AR816" s="23"/>
      <c r="AS816" s="23"/>
      <c r="AT816" s="23"/>
      <c r="AU816" s="23"/>
      <c r="AV816" s="23"/>
      <c r="AW816" s="23"/>
      <c r="AX816" s="23"/>
    </row>
    <row r="817" spans="1:50" s="71" customFormat="1" x14ac:dyDescent="0.2">
      <c r="A817" s="77" t="s">
        <v>361</v>
      </c>
      <c r="B817" s="77" t="s">
        <v>130</v>
      </c>
      <c r="C817" s="71" t="s">
        <v>363</v>
      </c>
      <c r="D817" s="71" t="s">
        <v>31</v>
      </c>
      <c r="E817" s="71" t="s">
        <v>46</v>
      </c>
      <c r="F817" s="78" t="s">
        <v>782</v>
      </c>
      <c r="H817" s="71" t="s">
        <v>166</v>
      </c>
      <c r="I817" s="87"/>
      <c r="J817" s="72">
        <v>80.599999999999994</v>
      </c>
      <c r="K817" s="72">
        <f t="shared" ref="K817:P817" si="240">K816</f>
        <v>3.85</v>
      </c>
      <c r="L817" s="72">
        <f t="shared" si="240"/>
        <v>150.5</v>
      </c>
      <c r="M817" s="72">
        <f t="shared" si="240"/>
        <v>4.05</v>
      </c>
      <c r="N817" s="72">
        <f t="shared" si="240"/>
        <v>42.5</v>
      </c>
      <c r="O817" s="72">
        <f t="shared" si="240"/>
        <v>1.9950000000000001</v>
      </c>
      <c r="P817" s="72">
        <f t="shared" si="240"/>
        <v>7.4999999999999997E-2</v>
      </c>
      <c r="Q817" s="72"/>
      <c r="R817" s="72">
        <f>R816</f>
        <v>5</v>
      </c>
      <c r="S817" s="72">
        <f>S816</f>
        <v>2.46</v>
      </c>
      <c r="T817" s="72"/>
      <c r="U817" s="72"/>
      <c r="V817" s="72"/>
      <c r="W817" s="72"/>
      <c r="X817" s="72"/>
      <c r="Y817" s="72"/>
      <c r="Z817" s="72"/>
      <c r="AA817" s="72"/>
      <c r="AB817" s="72"/>
      <c r="AC817" s="73"/>
      <c r="AD817" s="73"/>
      <c r="AE817" s="73"/>
      <c r="AF817" s="73"/>
      <c r="AG817" s="73"/>
      <c r="AH817" s="73"/>
      <c r="AI817" s="73"/>
      <c r="AJ817" s="73"/>
      <c r="AK817" s="73"/>
      <c r="AL817" s="73"/>
      <c r="AM817" s="73"/>
      <c r="AN817" s="73"/>
      <c r="AO817" s="73"/>
      <c r="AP817" s="73"/>
      <c r="AQ817" s="73"/>
      <c r="AR817" s="73"/>
      <c r="AS817" s="73"/>
      <c r="AT817" s="73"/>
      <c r="AU817" s="73"/>
      <c r="AV817" s="73"/>
      <c r="AW817" s="73"/>
      <c r="AX817" s="73"/>
    </row>
    <row r="818" spans="1:50" ht="51" x14ac:dyDescent="0.2">
      <c r="A818" s="24" t="s">
        <v>731</v>
      </c>
      <c r="B818" s="24" t="s">
        <v>732</v>
      </c>
      <c r="H818" s="2" t="s">
        <v>733</v>
      </c>
      <c r="I818" s="243" t="s">
        <v>1032</v>
      </c>
      <c r="J818" s="3">
        <v>95</v>
      </c>
      <c r="K818" s="3">
        <v>0.9</v>
      </c>
      <c r="L818" s="3">
        <v>29</v>
      </c>
      <c r="M818" s="3" t="s">
        <v>0</v>
      </c>
      <c r="N818" s="3">
        <v>11</v>
      </c>
      <c r="O818" s="3">
        <v>0.4</v>
      </c>
      <c r="P818" s="4" t="s">
        <v>0</v>
      </c>
      <c r="Q818" s="3">
        <v>16.100000000000001</v>
      </c>
      <c r="R818" s="3">
        <v>3.5</v>
      </c>
    </row>
    <row r="819" spans="1:50" ht="34" x14ac:dyDescent="0.2">
      <c r="A819" s="24" t="s">
        <v>731</v>
      </c>
      <c r="B819" s="24" t="s">
        <v>732</v>
      </c>
      <c r="H819" s="2" t="s">
        <v>733</v>
      </c>
      <c r="I819" s="243" t="s">
        <v>701</v>
      </c>
      <c r="J819" s="3">
        <v>95</v>
      </c>
      <c r="K819" s="3">
        <v>1.4</v>
      </c>
      <c r="L819" s="3">
        <v>24</v>
      </c>
      <c r="M819" s="3">
        <v>0.2</v>
      </c>
      <c r="N819" s="3">
        <v>11</v>
      </c>
      <c r="O819" s="3">
        <v>0.4</v>
      </c>
      <c r="P819" s="4" t="s">
        <v>0</v>
      </c>
      <c r="R819" s="3">
        <v>3.5</v>
      </c>
    </row>
    <row r="820" spans="1:50" s="71" customFormat="1" ht="15" customHeight="1" x14ac:dyDescent="0.2">
      <c r="A820" s="70" t="s">
        <v>731</v>
      </c>
      <c r="B820" s="70" t="s">
        <v>732</v>
      </c>
      <c r="C820" s="71" t="s">
        <v>734</v>
      </c>
      <c r="D820" s="71" t="s">
        <v>31</v>
      </c>
      <c r="E820" s="71" t="s">
        <v>46</v>
      </c>
      <c r="F820" s="78" t="s">
        <v>782</v>
      </c>
      <c r="H820" s="71" t="s">
        <v>733</v>
      </c>
      <c r="I820" s="87"/>
      <c r="J820" s="72">
        <f t="shared" ref="J820:O820" si="241">AVERAGE(J818:J819)</f>
        <v>95</v>
      </c>
      <c r="K820" s="72">
        <f t="shared" si="241"/>
        <v>1.1499999999999999</v>
      </c>
      <c r="L820" s="72">
        <f t="shared" si="241"/>
        <v>26.5</v>
      </c>
      <c r="M820" s="72">
        <f t="shared" si="241"/>
        <v>0.2</v>
      </c>
      <c r="N820" s="72">
        <f t="shared" si="241"/>
        <v>11</v>
      </c>
      <c r="O820" s="72">
        <f t="shared" si="241"/>
        <v>0.4</v>
      </c>
      <c r="P820" s="72"/>
      <c r="Q820" s="72">
        <f>AVERAGE(Q818:Q819)</f>
        <v>16.100000000000001</v>
      </c>
      <c r="R820" s="72">
        <f>AVERAGE(R818:R819)</f>
        <v>3.5</v>
      </c>
      <c r="S820" s="72"/>
      <c r="T820" s="72"/>
      <c r="U820" s="72"/>
      <c r="V820" s="72"/>
      <c r="W820" s="72"/>
      <c r="X820" s="72"/>
      <c r="Y820" s="72"/>
      <c r="Z820" s="72"/>
      <c r="AA820" s="72"/>
      <c r="AB820" s="72"/>
      <c r="AC820" s="73"/>
      <c r="AD820" s="73"/>
      <c r="AE820" s="73"/>
      <c r="AF820" s="73"/>
      <c r="AG820" s="73"/>
      <c r="AH820" s="73"/>
      <c r="AI820" s="73"/>
      <c r="AJ820" s="73"/>
      <c r="AK820" s="73"/>
      <c r="AL820" s="73"/>
      <c r="AM820" s="73"/>
      <c r="AN820" s="73"/>
      <c r="AO820" s="73"/>
      <c r="AP820" s="73"/>
      <c r="AQ820" s="73"/>
      <c r="AR820" s="73"/>
      <c r="AS820" s="73"/>
      <c r="AT820" s="73"/>
      <c r="AU820" s="73"/>
      <c r="AV820" s="73"/>
      <c r="AW820" s="73"/>
      <c r="AX820" s="73"/>
    </row>
    <row r="821" spans="1:50" s="41" customFormat="1" ht="34" x14ac:dyDescent="0.2">
      <c r="A821" s="40" t="s">
        <v>365</v>
      </c>
      <c r="B821" s="40" t="s">
        <v>366</v>
      </c>
      <c r="D821" s="2"/>
      <c r="E821" s="2"/>
      <c r="F821" s="42"/>
      <c r="G821" s="42"/>
      <c r="H821" s="41" t="s">
        <v>33</v>
      </c>
      <c r="I821" s="248" t="s">
        <v>1010</v>
      </c>
      <c r="J821" s="43">
        <v>85.6</v>
      </c>
      <c r="K821" s="43">
        <v>1.6</v>
      </c>
      <c r="L821" s="43">
        <v>213</v>
      </c>
      <c r="M821" s="43">
        <v>4.8</v>
      </c>
      <c r="N821" s="43"/>
      <c r="O821" s="43"/>
      <c r="P821" s="4" t="s">
        <v>0</v>
      </c>
      <c r="Q821" s="43"/>
      <c r="R821" s="43">
        <v>54</v>
      </c>
      <c r="S821" s="43"/>
      <c r="T821" s="43"/>
      <c r="U821" s="43"/>
      <c r="V821" s="43"/>
      <c r="W821" s="43"/>
      <c r="X821" s="43"/>
      <c r="Y821" s="43"/>
      <c r="Z821" s="43"/>
      <c r="AA821" s="43"/>
      <c r="AB821" s="43"/>
      <c r="AC821" s="44"/>
      <c r="AD821" s="44"/>
      <c r="AE821" s="44"/>
      <c r="AF821" s="44"/>
      <c r="AG821" s="44"/>
      <c r="AH821" s="44"/>
      <c r="AI821" s="44"/>
      <c r="AJ821" s="44"/>
      <c r="AK821" s="44"/>
      <c r="AL821" s="44"/>
      <c r="AM821" s="44"/>
      <c r="AN821" s="44"/>
      <c r="AO821" s="44"/>
      <c r="AP821" s="44"/>
      <c r="AQ821" s="44"/>
      <c r="AR821" s="44"/>
      <c r="AS821" s="44"/>
      <c r="AT821" s="44"/>
      <c r="AU821" s="44"/>
      <c r="AV821" s="44"/>
      <c r="AW821" s="44"/>
      <c r="AX821" s="44"/>
    </row>
    <row r="822" spans="1:50" s="41" customFormat="1" ht="34" x14ac:dyDescent="0.2">
      <c r="A822" s="40" t="s">
        <v>365</v>
      </c>
      <c r="B822" s="40" t="s">
        <v>366</v>
      </c>
      <c r="D822" s="2"/>
      <c r="E822" s="2"/>
      <c r="F822" s="42"/>
      <c r="G822" s="42"/>
      <c r="H822" s="41" t="s">
        <v>33</v>
      </c>
      <c r="I822" s="248" t="s">
        <v>1009</v>
      </c>
      <c r="J822" s="43"/>
      <c r="K822" s="43">
        <v>1.3</v>
      </c>
      <c r="L822" s="43">
        <v>217</v>
      </c>
      <c r="M822" s="43">
        <v>1.26</v>
      </c>
      <c r="N822" s="43"/>
      <c r="O822" s="43"/>
      <c r="P822" s="4">
        <f t="shared" ref="P822:P823" si="242">AN822</f>
        <v>0</v>
      </c>
      <c r="Q822" s="43"/>
      <c r="R822" s="43">
        <v>25</v>
      </c>
      <c r="S822" s="43"/>
      <c r="T822" s="43"/>
      <c r="U822" s="43"/>
      <c r="V822" s="43"/>
      <c r="W822" s="43"/>
      <c r="X822" s="43"/>
      <c r="Y822" s="43"/>
      <c r="Z822" s="43"/>
      <c r="AA822" s="43"/>
      <c r="AB822" s="43"/>
      <c r="AC822" s="44"/>
      <c r="AD822" s="44"/>
      <c r="AE822" s="44"/>
      <c r="AF822" s="44"/>
      <c r="AG822" s="5"/>
      <c r="AH822" s="44"/>
      <c r="AI822" s="44"/>
      <c r="AJ822" s="44"/>
      <c r="AK822" s="44"/>
      <c r="AL822" s="44"/>
      <c r="AM822" s="44"/>
      <c r="AN822" s="23"/>
      <c r="AO822" s="44"/>
      <c r="AP822" s="44"/>
      <c r="AQ822" s="44"/>
      <c r="AR822" s="44"/>
      <c r="AS822" s="44"/>
      <c r="AT822" s="44"/>
      <c r="AU822" s="44"/>
      <c r="AV822" s="44"/>
      <c r="AW822" s="44"/>
      <c r="AX822" s="44"/>
    </row>
    <row r="823" spans="1:50" s="41" customFormat="1" ht="34" x14ac:dyDescent="0.2">
      <c r="A823" s="40" t="s">
        <v>365</v>
      </c>
      <c r="B823" s="40" t="s">
        <v>366</v>
      </c>
      <c r="D823" s="2"/>
      <c r="E823" s="2"/>
      <c r="F823" s="42"/>
      <c r="G823" s="42"/>
      <c r="H823" s="41" t="s">
        <v>33</v>
      </c>
      <c r="I823" s="248" t="s">
        <v>1009</v>
      </c>
      <c r="J823" s="43"/>
      <c r="K823" s="43">
        <v>1.03</v>
      </c>
      <c r="L823" s="43">
        <v>148</v>
      </c>
      <c r="M823" s="43">
        <v>1.1200000000000001</v>
      </c>
      <c r="N823" s="43"/>
      <c r="O823" s="43"/>
      <c r="P823" s="4">
        <f t="shared" si="242"/>
        <v>0</v>
      </c>
      <c r="Q823" s="43"/>
      <c r="R823" s="43">
        <v>31</v>
      </c>
      <c r="S823" s="43">
        <v>1.95</v>
      </c>
      <c r="T823" s="43"/>
      <c r="U823" s="43"/>
      <c r="V823" s="43"/>
      <c r="W823" s="43"/>
      <c r="X823" s="43"/>
      <c r="Y823" s="43"/>
      <c r="Z823" s="43"/>
      <c r="AA823" s="43"/>
      <c r="AB823" s="43"/>
      <c r="AC823" s="44"/>
      <c r="AD823" s="44"/>
      <c r="AE823" s="44"/>
      <c r="AF823" s="44"/>
      <c r="AG823" s="5"/>
      <c r="AH823" s="44"/>
      <c r="AI823" s="44"/>
      <c r="AJ823" s="44"/>
      <c r="AK823" s="44"/>
      <c r="AL823" s="44"/>
      <c r="AM823" s="44"/>
      <c r="AN823" s="23"/>
      <c r="AO823" s="44"/>
      <c r="AP823" s="44"/>
      <c r="AQ823" s="44"/>
      <c r="AR823" s="44"/>
      <c r="AS823" s="44"/>
      <c r="AT823" s="44"/>
      <c r="AU823" s="44"/>
      <c r="AV823" s="44"/>
      <c r="AW823" s="44"/>
      <c r="AX823" s="44"/>
    </row>
    <row r="824" spans="1:50" s="71" customFormat="1" x14ac:dyDescent="0.2">
      <c r="A824" s="70" t="s">
        <v>365</v>
      </c>
      <c r="B824" s="70" t="s">
        <v>366</v>
      </c>
      <c r="C824" s="71" t="s">
        <v>367</v>
      </c>
      <c r="D824" s="71" t="s">
        <v>56</v>
      </c>
      <c r="E824" s="71" t="s">
        <v>46</v>
      </c>
      <c r="F824" s="71" t="s">
        <v>783</v>
      </c>
      <c r="H824" s="71" t="s">
        <v>33</v>
      </c>
      <c r="I824" s="87"/>
      <c r="J824" s="72">
        <f t="shared" ref="J824" si="243">AVERAGE(J821:J823)</f>
        <v>85.6</v>
      </c>
      <c r="K824" s="72">
        <f>AVERAGE(K821:K823)</f>
        <v>1.3100000000000003</v>
      </c>
      <c r="L824" s="72">
        <f>AVERAGE(L821:L823)</f>
        <v>192.66666666666666</v>
      </c>
      <c r="M824" s="72">
        <f>AVERAGE(M821:M823)</f>
        <v>2.3933333333333331</v>
      </c>
      <c r="N824" s="72"/>
      <c r="O824" s="72"/>
      <c r="P824" s="72">
        <f>AVERAGE(P821:P823)</f>
        <v>0</v>
      </c>
      <c r="Q824" s="72"/>
      <c r="R824" s="72">
        <f>AVERAGE(R821:R823)</f>
        <v>36.666666666666664</v>
      </c>
      <c r="S824" s="72">
        <f>AVERAGE(S821:S823)</f>
        <v>1.95</v>
      </c>
      <c r="T824" s="72"/>
      <c r="U824" s="72"/>
      <c r="V824" s="72"/>
      <c r="W824" s="72"/>
      <c r="X824" s="72"/>
      <c r="Y824" s="72"/>
      <c r="Z824" s="72"/>
      <c r="AA824" s="72"/>
      <c r="AB824" s="72"/>
      <c r="AC824" s="73"/>
      <c r="AD824" s="73"/>
      <c r="AE824" s="73"/>
      <c r="AF824" s="73"/>
      <c r="AG824" s="73"/>
      <c r="AH824" s="73"/>
      <c r="AI824" s="73"/>
      <c r="AJ824" s="73"/>
      <c r="AK824" s="73"/>
      <c r="AL824" s="73"/>
      <c r="AM824" s="73"/>
      <c r="AN824" s="73"/>
      <c r="AO824" s="73"/>
      <c r="AP824" s="73"/>
      <c r="AQ824" s="73"/>
      <c r="AR824" s="73"/>
      <c r="AS824" s="73"/>
      <c r="AT824" s="73"/>
      <c r="AU824" s="73"/>
      <c r="AV824" s="73"/>
      <c r="AW824" s="73"/>
      <c r="AX824" s="73"/>
    </row>
    <row r="825" spans="1:50" s="22" customFormat="1" ht="15" customHeight="1" x14ac:dyDescent="0.2">
      <c r="A825" s="21" t="s">
        <v>713</v>
      </c>
      <c r="B825" s="21" t="s">
        <v>716</v>
      </c>
      <c r="D825" s="2"/>
      <c r="E825" s="2"/>
      <c r="H825" s="22" t="s">
        <v>33</v>
      </c>
      <c r="I825" s="65" t="s">
        <v>715</v>
      </c>
      <c r="J825" s="4">
        <v>84.4</v>
      </c>
      <c r="K825" s="4"/>
      <c r="L825" s="4">
        <v>312.00000000000006</v>
      </c>
      <c r="M825" s="4">
        <v>1.1076000000000001</v>
      </c>
      <c r="N825" s="4">
        <v>8.7516000000000016</v>
      </c>
      <c r="O825" s="4">
        <v>3.5880000000000005</v>
      </c>
      <c r="P825" s="4" t="s">
        <v>0</v>
      </c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23"/>
      <c r="AD825" s="23"/>
      <c r="AE825" s="23"/>
      <c r="AF825" s="23"/>
      <c r="AG825" s="23"/>
      <c r="AH825" s="23"/>
      <c r="AI825" s="23"/>
      <c r="AJ825" s="23"/>
      <c r="AK825" s="23"/>
      <c r="AL825" s="23"/>
      <c r="AM825" s="23"/>
      <c r="AN825" s="23"/>
      <c r="AO825" s="23"/>
      <c r="AP825" s="23"/>
      <c r="AQ825" s="23"/>
      <c r="AR825" s="23"/>
      <c r="AS825" s="23"/>
      <c r="AT825" s="23"/>
      <c r="AU825" s="23"/>
      <c r="AV825" s="23"/>
      <c r="AW825" s="23"/>
      <c r="AX825" s="23"/>
    </row>
    <row r="826" spans="1:50" s="22" customFormat="1" ht="15" customHeight="1" x14ac:dyDescent="0.2">
      <c r="A826" s="21" t="s">
        <v>713</v>
      </c>
      <c r="B826" s="21" t="s">
        <v>716</v>
      </c>
      <c r="D826" s="2"/>
      <c r="E826" s="2"/>
      <c r="H826" s="22" t="s">
        <v>33</v>
      </c>
      <c r="I826" s="65" t="s">
        <v>715</v>
      </c>
      <c r="J826" s="4">
        <v>84.4</v>
      </c>
      <c r="K826" s="4"/>
      <c r="L826" s="4">
        <v>312.00000000000006</v>
      </c>
      <c r="M826" s="4">
        <v>0.45240000000000008</v>
      </c>
      <c r="N826" s="4">
        <v>8.9076000000000022</v>
      </c>
      <c r="O826" s="4">
        <v>3.5880000000000005</v>
      </c>
      <c r="P826" s="4" t="s">
        <v>0</v>
      </c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23"/>
      <c r="AD826" s="23"/>
      <c r="AE826" s="23"/>
      <c r="AF826" s="23"/>
      <c r="AG826" s="23"/>
      <c r="AH826" s="23"/>
      <c r="AI826" s="23"/>
      <c r="AJ826" s="23"/>
      <c r="AK826" s="23"/>
      <c r="AL826" s="23"/>
      <c r="AM826" s="23"/>
      <c r="AN826" s="23"/>
      <c r="AO826" s="23"/>
      <c r="AP826" s="23"/>
      <c r="AQ826" s="23"/>
      <c r="AR826" s="23"/>
      <c r="AS826" s="23"/>
      <c r="AT826" s="23"/>
      <c r="AU826" s="23"/>
      <c r="AV826" s="23"/>
      <c r="AW826" s="23"/>
      <c r="AX826" s="23"/>
    </row>
    <row r="827" spans="1:50" s="71" customFormat="1" ht="15" customHeight="1" x14ac:dyDescent="0.2">
      <c r="A827" s="70" t="s">
        <v>713</v>
      </c>
      <c r="B827" s="70" t="s">
        <v>716</v>
      </c>
      <c r="C827" s="71" t="s">
        <v>877</v>
      </c>
      <c r="D827" s="71" t="s">
        <v>31</v>
      </c>
      <c r="E827" s="71" t="s">
        <v>46</v>
      </c>
      <c r="F827" s="78" t="s">
        <v>782</v>
      </c>
      <c r="H827" s="71" t="s">
        <v>33</v>
      </c>
      <c r="I827" s="87"/>
      <c r="J827" s="72">
        <f>AVERAGE(J825:J826)</f>
        <v>84.4</v>
      </c>
      <c r="K827" s="72"/>
      <c r="L827" s="72">
        <f>AVERAGE(L825:L826)</f>
        <v>312.00000000000006</v>
      </c>
      <c r="M827" s="72">
        <f>AVERAGE(M825:M826)</f>
        <v>0.78000000000000014</v>
      </c>
      <c r="N827" s="72">
        <f>AVERAGE(N825:N826)</f>
        <v>8.8296000000000028</v>
      </c>
      <c r="O827" s="72">
        <f>AVERAGE(O825:O826)</f>
        <v>3.5880000000000005</v>
      </c>
      <c r="P827" s="72"/>
      <c r="Q827" s="72"/>
      <c r="R827" s="72"/>
      <c r="S827" s="72"/>
      <c r="T827" s="72"/>
      <c r="U827" s="72"/>
      <c r="V827" s="72"/>
      <c r="W827" s="72"/>
      <c r="X827" s="72"/>
      <c r="Y827" s="72"/>
      <c r="Z827" s="72"/>
      <c r="AA827" s="72"/>
      <c r="AB827" s="72"/>
      <c r="AC827" s="73"/>
      <c r="AD827" s="73"/>
      <c r="AE827" s="73"/>
      <c r="AF827" s="73"/>
      <c r="AG827" s="73"/>
      <c r="AH827" s="73"/>
      <c r="AI827" s="73"/>
      <c r="AJ827" s="73"/>
      <c r="AK827" s="73"/>
      <c r="AL827" s="73"/>
      <c r="AM827" s="73"/>
      <c r="AN827" s="73"/>
      <c r="AO827" s="73"/>
      <c r="AP827" s="73"/>
      <c r="AQ827" s="73"/>
      <c r="AR827" s="73"/>
      <c r="AS827" s="73"/>
      <c r="AT827" s="73"/>
      <c r="AU827" s="73"/>
      <c r="AV827" s="73"/>
      <c r="AW827" s="73"/>
      <c r="AX827" s="73"/>
    </row>
    <row r="828" spans="1:50" s="22" customFormat="1" ht="15" customHeight="1" x14ac:dyDescent="0.2">
      <c r="A828" s="21" t="s">
        <v>713</v>
      </c>
      <c r="B828" s="21" t="s">
        <v>714</v>
      </c>
      <c r="D828" s="2"/>
      <c r="E828" s="2"/>
      <c r="F828" s="30"/>
      <c r="H828" s="30" t="s">
        <v>33</v>
      </c>
      <c r="I828" s="65" t="s">
        <v>715</v>
      </c>
      <c r="J828" s="4">
        <v>84.4</v>
      </c>
      <c r="K828" s="4"/>
      <c r="L828" s="4">
        <v>249.60000000000005</v>
      </c>
      <c r="M828" s="4">
        <v>0.48360000000000009</v>
      </c>
      <c r="N828" s="4">
        <v>8.4240000000000013</v>
      </c>
      <c r="O828" s="4">
        <v>2.9016000000000006</v>
      </c>
      <c r="P828" s="4" t="s">
        <v>0</v>
      </c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23"/>
      <c r="AD828" s="23"/>
      <c r="AE828" s="23"/>
      <c r="AF828" s="23"/>
      <c r="AG828" s="23"/>
      <c r="AH828" s="23"/>
      <c r="AI828" s="23"/>
      <c r="AJ828" s="23"/>
      <c r="AK828" s="23"/>
      <c r="AL828" s="23"/>
      <c r="AM828" s="23"/>
      <c r="AN828" s="23"/>
      <c r="AO828" s="23"/>
      <c r="AP828" s="23"/>
      <c r="AQ828" s="23"/>
      <c r="AR828" s="23"/>
      <c r="AS828" s="23"/>
      <c r="AT828" s="23"/>
      <c r="AU828" s="23"/>
      <c r="AV828" s="23"/>
      <c r="AW828" s="23"/>
      <c r="AX828" s="23"/>
    </row>
    <row r="829" spans="1:50" s="22" customFormat="1" ht="15" customHeight="1" x14ac:dyDescent="0.2">
      <c r="A829" s="21" t="s">
        <v>713</v>
      </c>
      <c r="B829" s="21" t="s">
        <v>714</v>
      </c>
      <c r="D829" s="2"/>
      <c r="E829" s="2"/>
      <c r="F829" s="30"/>
      <c r="H829" s="30" t="s">
        <v>33</v>
      </c>
      <c r="I829" s="65" t="s">
        <v>715</v>
      </c>
      <c r="J829" s="4">
        <v>84.4</v>
      </c>
      <c r="K829" s="4"/>
      <c r="L829" s="4">
        <v>358.80000000000007</v>
      </c>
      <c r="M829" s="4">
        <v>0.62400000000000011</v>
      </c>
      <c r="N829" s="4">
        <v>9.4536000000000016</v>
      </c>
      <c r="O829" s="4">
        <v>4.5864000000000003</v>
      </c>
      <c r="P829" s="4" t="s">
        <v>0</v>
      </c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23"/>
      <c r="AD829" s="23"/>
      <c r="AE829" s="23"/>
      <c r="AF829" s="23"/>
      <c r="AG829" s="23"/>
      <c r="AH829" s="23"/>
      <c r="AI829" s="23"/>
      <c r="AJ829" s="23"/>
      <c r="AK829" s="23"/>
      <c r="AL829" s="23"/>
      <c r="AM829" s="23"/>
      <c r="AN829" s="23"/>
      <c r="AO829" s="23"/>
      <c r="AP829" s="23"/>
      <c r="AQ829" s="23"/>
      <c r="AR829" s="23"/>
      <c r="AS829" s="23"/>
      <c r="AT829" s="23"/>
      <c r="AU829" s="23"/>
      <c r="AV829" s="23"/>
      <c r="AW829" s="23"/>
      <c r="AX829" s="23"/>
    </row>
    <row r="830" spans="1:50" s="71" customFormat="1" ht="15" customHeight="1" x14ac:dyDescent="0.2">
      <c r="A830" s="70" t="s">
        <v>713</v>
      </c>
      <c r="B830" s="70" t="s">
        <v>714</v>
      </c>
      <c r="C830" s="71" t="s">
        <v>877</v>
      </c>
      <c r="D830" s="71" t="s">
        <v>31</v>
      </c>
      <c r="E830" s="71" t="s">
        <v>46</v>
      </c>
      <c r="F830" s="78" t="s">
        <v>782</v>
      </c>
      <c r="H830" s="71" t="s">
        <v>33</v>
      </c>
      <c r="I830" s="87"/>
      <c r="J830" s="72">
        <f>AVERAGE(J828:J829)</f>
        <v>84.4</v>
      </c>
      <c r="K830" s="72"/>
      <c r="L830" s="72">
        <f>AVERAGE(L828:L829)</f>
        <v>304.20000000000005</v>
      </c>
      <c r="M830" s="72">
        <f>AVERAGE(M828:M829)</f>
        <v>0.55380000000000007</v>
      </c>
      <c r="N830" s="72">
        <f>AVERAGE(N828:N829)</f>
        <v>8.9388000000000005</v>
      </c>
      <c r="O830" s="72">
        <f>AVERAGE(O828:O829)</f>
        <v>3.7440000000000007</v>
      </c>
      <c r="P830" s="72"/>
      <c r="Q830" s="72"/>
      <c r="R830" s="72"/>
      <c r="S830" s="72"/>
      <c r="T830" s="72"/>
      <c r="U830" s="72"/>
      <c r="V830" s="72"/>
      <c r="W830" s="72"/>
      <c r="X830" s="72"/>
      <c r="Y830" s="72"/>
      <c r="Z830" s="72"/>
      <c r="AA830" s="72"/>
      <c r="AB830" s="72"/>
      <c r="AC830" s="73"/>
      <c r="AD830" s="73"/>
      <c r="AE830" s="73"/>
      <c r="AF830" s="73"/>
      <c r="AG830" s="73"/>
      <c r="AH830" s="73"/>
      <c r="AI830" s="73"/>
      <c r="AJ830" s="73"/>
      <c r="AK830" s="73"/>
      <c r="AL830" s="73"/>
      <c r="AM830" s="73"/>
      <c r="AN830" s="73"/>
      <c r="AO830" s="73"/>
      <c r="AP830" s="73"/>
      <c r="AQ830" s="73"/>
      <c r="AR830" s="73"/>
      <c r="AS830" s="73"/>
      <c r="AT830" s="73"/>
      <c r="AU830" s="73"/>
      <c r="AV830" s="73"/>
      <c r="AW830" s="73"/>
      <c r="AX830" s="73"/>
    </row>
    <row r="831" spans="1:50" s="22" customFormat="1" ht="15" customHeight="1" x14ac:dyDescent="0.2">
      <c r="A831" s="21" t="s">
        <v>713</v>
      </c>
      <c r="B831" s="21" t="s">
        <v>717</v>
      </c>
      <c r="D831" s="2"/>
      <c r="E831" s="2"/>
      <c r="H831" s="22" t="s">
        <v>33</v>
      </c>
      <c r="I831" s="65" t="s">
        <v>715</v>
      </c>
      <c r="J831" s="4">
        <v>84.4</v>
      </c>
      <c r="K831" s="4"/>
      <c r="L831" s="4">
        <v>358</v>
      </c>
      <c r="M831" s="4">
        <v>0.62</v>
      </c>
      <c r="N831" s="4">
        <v>9.4499999999999993</v>
      </c>
      <c r="O831" s="4">
        <v>4.59</v>
      </c>
      <c r="P831" s="4" t="s">
        <v>0</v>
      </c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23"/>
      <c r="AD831" s="23"/>
      <c r="AE831" s="23"/>
      <c r="AF831" s="23"/>
      <c r="AG831" s="23"/>
      <c r="AH831" s="23"/>
      <c r="AI831" s="23"/>
      <c r="AJ831" s="23"/>
      <c r="AK831" s="23"/>
      <c r="AL831" s="23"/>
      <c r="AM831" s="23"/>
      <c r="AN831" s="23"/>
      <c r="AO831" s="23"/>
      <c r="AP831" s="23"/>
      <c r="AQ831" s="23"/>
      <c r="AR831" s="23"/>
      <c r="AS831" s="23"/>
      <c r="AT831" s="23"/>
      <c r="AU831" s="23"/>
      <c r="AV831" s="23"/>
      <c r="AW831" s="23"/>
      <c r="AX831" s="23"/>
    </row>
    <row r="832" spans="1:50" ht="15" customHeight="1" x14ac:dyDescent="0.2">
      <c r="A832" s="21" t="s">
        <v>713</v>
      </c>
      <c r="B832" s="21" t="s">
        <v>717</v>
      </c>
      <c r="C832" s="22"/>
      <c r="F832" s="22"/>
      <c r="G832" s="22"/>
      <c r="H832" s="22" t="s">
        <v>33</v>
      </c>
      <c r="I832" s="65" t="s">
        <v>715</v>
      </c>
      <c r="J832" s="4">
        <v>84.4</v>
      </c>
      <c r="L832" s="3">
        <v>327</v>
      </c>
      <c r="M832" s="3">
        <v>3.92</v>
      </c>
      <c r="N832" s="3">
        <v>9.41</v>
      </c>
      <c r="O832" s="3">
        <v>3.82</v>
      </c>
      <c r="P832" s="4" t="s">
        <v>0</v>
      </c>
    </row>
    <row r="833" spans="1:50" s="71" customFormat="1" ht="15" customHeight="1" x14ac:dyDescent="0.2">
      <c r="A833" s="70" t="s">
        <v>713</v>
      </c>
      <c r="B833" s="70" t="s">
        <v>717</v>
      </c>
      <c r="C833" s="71" t="s">
        <v>877</v>
      </c>
      <c r="D833" s="71" t="s">
        <v>31</v>
      </c>
      <c r="E833" s="71" t="s">
        <v>46</v>
      </c>
      <c r="F833" s="78" t="s">
        <v>782</v>
      </c>
      <c r="H833" s="71" t="s">
        <v>33</v>
      </c>
      <c r="I833" s="87"/>
      <c r="J833" s="72">
        <f>AVERAGE(J831:J832)</f>
        <v>84.4</v>
      </c>
      <c r="K833" s="72"/>
      <c r="L833" s="72">
        <f>AVERAGE(L831:L832)</f>
        <v>342.5</v>
      </c>
      <c r="M833" s="72">
        <f>AVERAGE(M831:M832)</f>
        <v>2.27</v>
      </c>
      <c r="N833" s="72">
        <f>AVERAGE(N831:N832)</f>
        <v>9.43</v>
      </c>
      <c r="O833" s="72">
        <f>AVERAGE(O831:O832)</f>
        <v>4.2050000000000001</v>
      </c>
      <c r="P833" s="72"/>
      <c r="Q833" s="72"/>
      <c r="R833" s="72"/>
      <c r="S833" s="72"/>
      <c r="T833" s="72"/>
      <c r="U833" s="72"/>
      <c r="V833" s="72"/>
      <c r="W833" s="72"/>
      <c r="X833" s="72"/>
      <c r="Y833" s="72"/>
      <c r="Z833" s="72"/>
      <c r="AA833" s="72"/>
      <c r="AB833" s="72"/>
      <c r="AC833" s="73"/>
      <c r="AD833" s="73"/>
      <c r="AE833" s="73"/>
      <c r="AF833" s="73"/>
      <c r="AG833" s="73"/>
      <c r="AH833" s="73"/>
      <c r="AI833" s="73"/>
      <c r="AJ833" s="73"/>
      <c r="AK833" s="73"/>
      <c r="AL833" s="73"/>
      <c r="AM833" s="73"/>
      <c r="AN833" s="73"/>
      <c r="AO833" s="73"/>
      <c r="AP833" s="73"/>
      <c r="AQ833" s="73"/>
      <c r="AR833" s="73"/>
      <c r="AS833" s="73"/>
      <c r="AT833" s="73"/>
      <c r="AU833" s="73"/>
      <c r="AV833" s="73"/>
      <c r="AW833" s="73"/>
      <c r="AX833" s="73"/>
    </row>
    <row r="834" spans="1:50" ht="34" x14ac:dyDescent="0.2">
      <c r="A834" s="24" t="s">
        <v>368</v>
      </c>
      <c r="B834" s="24" t="s">
        <v>94</v>
      </c>
      <c r="F834" s="42"/>
      <c r="G834" s="42"/>
      <c r="H834" s="2" t="s">
        <v>33</v>
      </c>
      <c r="I834" s="243" t="s">
        <v>1009</v>
      </c>
      <c r="K834" s="3">
        <v>1.93</v>
      </c>
      <c r="L834" s="3">
        <v>174</v>
      </c>
      <c r="M834" s="3">
        <v>2.79</v>
      </c>
      <c r="P834" s="4">
        <f t="shared" ref="P834:P836" si="244">AN834</f>
        <v>0</v>
      </c>
      <c r="Q834" s="3">
        <v>22</v>
      </c>
      <c r="R834" s="3">
        <v>71</v>
      </c>
      <c r="S834" s="3">
        <v>3.21</v>
      </c>
      <c r="AN834" s="23"/>
    </row>
    <row r="835" spans="1:50" ht="34" x14ac:dyDescent="0.2">
      <c r="A835" s="24" t="s">
        <v>368</v>
      </c>
      <c r="B835" s="24" t="s">
        <v>94</v>
      </c>
      <c r="F835" s="42"/>
      <c r="G835" s="42"/>
      <c r="H835" s="2" t="s">
        <v>33</v>
      </c>
      <c r="I835" s="243" t="s">
        <v>1009</v>
      </c>
      <c r="K835" s="3">
        <v>1.93</v>
      </c>
      <c r="L835" s="3">
        <v>174</v>
      </c>
      <c r="M835" s="3">
        <v>2.79</v>
      </c>
      <c r="P835" s="4">
        <f t="shared" si="244"/>
        <v>0</v>
      </c>
      <c r="Q835" s="3">
        <v>22</v>
      </c>
      <c r="R835" s="3">
        <v>71</v>
      </c>
      <c r="AN835" s="23"/>
    </row>
    <row r="836" spans="1:50" ht="34" x14ac:dyDescent="0.2">
      <c r="A836" s="24" t="s">
        <v>368</v>
      </c>
      <c r="B836" s="24" t="s">
        <v>94</v>
      </c>
      <c r="F836" s="42"/>
      <c r="G836" s="42"/>
      <c r="H836" s="2" t="s">
        <v>33</v>
      </c>
      <c r="I836" s="243" t="s">
        <v>1009</v>
      </c>
      <c r="K836" s="3">
        <v>2.23</v>
      </c>
      <c r="L836" s="3">
        <v>205</v>
      </c>
      <c r="M836" s="3">
        <v>6.31</v>
      </c>
      <c r="O836" s="3">
        <v>0.39</v>
      </c>
      <c r="P836" s="4">
        <f t="shared" si="244"/>
        <v>0</v>
      </c>
      <c r="R836" s="3">
        <v>72</v>
      </c>
      <c r="AN836" s="23"/>
    </row>
    <row r="837" spans="1:50" s="71" customFormat="1" x14ac:dyDescent="0.2">
      <c r="A837" s="70" t="s">
        <v>368</v>
      </c>
      <c r="B837" s="70" t="s">
        <v>94</v>
      </c>
      <c r="C837" s="71" t="s">
        <v>369</v>
      </c>
      <c r="D837" s="71" t="s">
        <v>31</v>
      </c>
      <c r="E837" s="71" t="s">
        <v>46</v>
      </c>
      <c r="F837" s="78" t="s">
        <v>782</v>
      </c>
      <c r="H837" s="71" t="s">
        <v>33</v>
      </c>
      <c r="I837" s="87"/>
      <c r="J837" s="72" t="s">
        <v>0</v>
      </c>
      <c r="K837" s="72">
        <f>AVERAGE(K834:K836)</f>
        <v>2.0299999999999998</v>
      </c>
      <c r="L837" s="72">
        <f>AVERAGE(L834:L836)</f>
        <v>184.33333333333334</v>
      </c>
      <c r="M837" s="72">
        <f>AVERAGE(M834:M836)</f>
        <v>3.9633333333333334</v>
      </c>
      <c r="N837" s="72"/>
      <c r="O837" s="72">
        <f t="shared" ref="O837:S837" si="245">AVERAGE(O834:O836)</f>
        <v>0.39</v>
      </c>
      <c r="P837" s="72">
        <f t="shared" si="245"/>
        <v>0</v>
      </c>
      <c r="Q837" s="72">
        <f t="shared" si="245"/>
        <v>22</v>
      </c>
      <c r="R837" s="72">
        <f t="shared" si="245"/>
        <v>71.333333333333329</v>
      </c>
      <c r="S837" s="72">
        <f t="shared" si="245"/>
        <v>3.21</v>
      </c>
      <c r="T837" s="72"/>
      <c r="U837" s="72"/>
      <c r="V837" s="72"/>
      <c r="W837" s="72"/>
      <c r="X837" s="72"/>
      <c r="Y837" s="72"/>
      <c r="Z837" s="72"/>
      <c r="AA837" s="72"/>
      <c r="AB837" s="72"/>
      <c r="AC837" s="73"/>
      <c r="AD837" s="73"/>
      <c r="AE837" s="73"/>
      <c r="AF837" s="73"/>
      <c r="AG837" s="73"/>
      <c r="AH837" s="73"/>
      <c r="AI837" s="73"/>
      <c r="AJ837" s="73"/>
      <c r="AK837" s="73"/>
      <c r="AL837" s="73"/>
      <c r="AM837" s="73"/>
      <c r="AN837" s="73"/>
      <c r="AO837" s="73"/>
      <c r="AP837" s="73"/>
      <c r="AQ837" s="73"/>
      <c r="AR837" s="73"/>
      <c r="AS837" s="73"/>
      <c r="AT837" s="73"/>
      <c r="AU837" s="73"/>
      <c r="AV837" s="73"/>
      <c r="AW837" s="73"/>
      <c r="AX837" s="73"/>
    </row>
    <row r="838" spans="1:50" ht="15" customHeight="1" x14ac:dyDescent="0.2">
      <c r="A838" s="24" t="s">
        <v>703</v>
      </c>
      <c r="B838" s="24" t="s">
        <v>704</v>
      </c>
      <c r="C838" s="2" t="s">
        <v>0</v>
      </c>
      <c r="H838" s="2" t="s">
        <v>131</v>
      </c>
      <c r="I838" s="32" t="s">
        <v>1017</v>
      </c>
      <c r="J838" s="3">
        <v>85.8</v>
      </c>
      <c r="K838" s="3">
        <v>4.8499999999999996</v>
      </c>
      <c r="L838" s="3">
        <v>73.5</v>
      </c>
      <c r="M838" s="3">
        <v>0.74</v>
      </c>
      <c r="N838" s="3">
        <v>32.5</v>
      </c>
      <c r="O838" s="3">
        <f>975*0.001</f>
        <v>0.97499999999999998</v>
      </c>
      <c r="P838" s="4">
        <v>0.03</v>
      </c>
      <c r="Q838" s="3">
        <v>144</v>
      </c>
      <c r="R838" s="3">
        <v>51.5</v>
      </c>
      <c r="S838" s="3">
        <f>4.51+0.24+8.98+0.69</f>
        <v>14.42</v>
      </c>
    </row>
    <row r="839" spans="1:50" s="71" customFormat="1" ht="15" customHeight="1" x14ac:dyDescent="0.2">
      <c r="A839" s="70" t="s">
        <v>703</v>
      </c>
      <c r="B839" s="70" t="s">
        <v>704</v>
      </c>
      <c r="C839" s="71" t="s">
        <v>705</v>
      </c>
      <c r="D839" s="71" t="s">
        <v>31</v>
      </c>
      <c r="E839" s="71" t="s">
        <v>42</v>
      </c>
      <c r="F839" s="71" t="s">
        <v>784</v>
      </c>
      <c r="H839" s="71" t="s">
        <v>131</v>
      </c>
      <c r="I839" s="87"/>
      <c r="J839" s="72">
        <f t="shared" ref="J839" si="246">J838</f>
        <v>85.8</v>
      </c>
      <c r="K839" s="72">
        <f t="shared" ref="K839:S839" si="247">K838</f>
        <v>4.8499999999999996</v>
      </c>
      <c r="L839" s="72">
        <f t="shared" si="247"/>
        <v>73.5</v>
      </c>
      <c r="M839" s="72">
        <f t="shared" si="247"/>
        <v>0.74</v>
      </c>
      <c r="N839" s="72">
        <f t="shared" si="247"/>
        <v>32.5</v>
      </c>
      <c r="O839" s="72">
        <f t="shared" si="247"/>
        <v>0.97499999999999998</v>
      </c>
      <c r="P839" s="72">
        <f t="shared" si="247"/>
        <v>0.03</v>
      </c>
      <c r="Q839" s="72">
        <f t="shared" si="247"/>
        <v>144</v>
      </c>
      <c r="R839" s="72">
        <f t="shared" si="247"/>
        <v>51.5</v>
      </c>
      <c r="S839" s="72">
        <f t="shared" si="247"/>
        <v>14.42</v>
      </c>
      <c r="T839" s="72"/>
      <c r="U839" s="72"/>
      <c r="V839" s="72"/>
      <c r="W839" s="72"/>
      <c r="X839" s="72"/>
      <c r="Y839" s="72"/>
      <c r="Z839" s="72"/>
      <c r="AA839" s="72"/>
      <c r="AB839" s="72"/>
      <c r="AC839" s="73"/>
      <c r="AD839" s="73"/>
      <c r="AE839" s="73"/>
      <c r="AF839" s="73"/>
      <c r="AG839" s="73"/>
      <c r="AH839" s="73"/>
      <c r="AI839" s="73"/>
      <c r="AJ839" s="73"/>
      <c r="AK839" s="73"/>
      <c r="AL839" s="73"/>
      <c r="AM839" s="73"/>
      <c r="AN839" s="73"/>
      <c r="AO839" s="73"/>
      <c r="AP839" s="73"/>
      <c r="AQ839" s="73"/>
      <c r="AR839" s="73"/>
      <c r="AS839" s="73"/>
      <c r="AT839" s="73"/>
      <c r="AU839" s="73"/>
      <c r="AV839" s="73"/>
      <c r="AW839" s="73"/>
      <c r="AX839" s="73"/>
    </row>
    <row r="840" spans="1:50" ht="34" x14ac:dyDescent="0.2">
      <c r="A840" s="24" t="s">
        <v>370</v>
      </c>
      <c r="B840" s="24" t="s">
        <v>371</v>
      </c>
      <c r="F840" s="41"/>
      <c r="G840" s="41"/>
      <c r="H840" s="2" t="s">
        <v>33</v>
      </c>
      <c r="I840" s="243" t="s">
        <v>1009</v>
      </c>
      <c r="K840" s="3">
        <v>0.98</v>
      </c>
      <c r="L840" s="3">
        <v>156</v>
      </c>
      <c r="M840" s="3">
        <v>3.27</v>
      </c>
      <c r="O840" s="3">
        <v>0.34</v>
      </c>
      <c r="P840" s="4">
        <f t="shared" ref="P840:P845" si="248">AN840</f>
        <v>0</v>
      </c>
      <c r="Q840" s="3">
        <v>25</v>
      </c>
      <c r="R840" s="3">
        <v>51</v>
      </c>
      <c r="S840" s="3">
        <v>1.61</v>
      </c>
      <c r="AN840" s="23"/>
    </row>
    <row r="841" spans="1:50" ht="34" x14ac:dyDescent="0.2">
      <c r="A841" s="24" t="s">
        <v>370</v>
      </c>
      <c r="B841" s="24" t="s">
        <v>371</v>
      </c>
      <c r="F841" s="41"/>
      <c r="G841" s="41"/>
      <c r="H841" s="2" t="s">
        <v>33</v>
      </c>
      <c r="I841" s="243" t="s">
        <v>1009</v>
      </c>
      <c r="K841" s="3">
        <v>1.67</v>
      </c>
      <c r="L841" s="3">
        <v>294</v>
      </c>
      <c r="M841" s="3">
        <v>2.58</v>
      </c>
      <c r="O841" s="3">
        <v>0.53</v>
      </c>
      <c r="P841" s="4">
        <f t="shared" si="248"/>
        <v>0</v>
      </c>
      <c r="Q841" s="3">
        <v>30</v>
      </c>
      <c r="R841" s="3">
        <v>37</v>
      </c>
      <c r="S841" s="3">
        <v>2.85</v>
      </c>
      <c r="AN841" s="23"/>
    </row>
    <row r="842" spans="1:50" ht="34" x14ac:dyDescent="0.2">
      <c r="A842" s="24" t="s">
        <v>370</v>
      </c>
      <c r="B842" s="24" t="s">
        <v>371</v>
      </c>
      <c r="F842" s="41"/>
      <c r="G842" s="41"/>
      <c r="H842" s="2" t="s">
        <v>33</v>
      </c>
      <c r="I842" s="243" t="s">
        <v>1009</v>
      </c>
      <c r="K842" s="3">
        <v>1.49</v>
      </c>
      <c r="L842" s="3">
        <v>211</v>
      </c>
      <c r="M842" s="3">
        <v>1.68</v>
      </c>
      <c r="O842" s="3">
        <v>0.52</v>
      </c>
      <c r="P842" s="4">
        <f t="shared" si="248"/>
        <v>0</v>
      </c>
      <c r="Q842" s="3">
        <v>34</v>
      </c>
      <c r="R842" s="3">
        <v>32</v>
      </c>
      <c r="S842" s="3">
        <v>0.95</v>
      </c>
      <c r="AN842" s="23"/>
    </row>
    <row r="843" spans="1:50" ht="34" x14ac:dyDescent="0.2">
      <c r="A843" s="24" t="s">
        <v>370</v>
      </c>
      <c r="B843" s="24" t="s">
        <v>371</v>
      </c>
      <c r="F843" s="41"/>
      <c r="G843" s="41"/>
      <c r="H843" s="2" t="s">
        <v>33</v>
      </c>
      <c r="I843" s="243" t="s">
        <v>1009</v>
      </c>
      <c r="K843" s="3">
        <v>1.08</v>
      </c>
      <c r="L843" s="3">
        <v>223</v>
      </c>
      <c r="M843" s="3">
        <v>12.71</v>
      </c>
      <c r="O843" s="3">
        <v>1.02</v>
      </c>
      <c r="P843" s="4">
        <f t="shared" si="248"/>
        <v>0</v>
      </c>
      <c r="R843" s="3">
        <v>60</v>
      </c>
      <c r="S843" s="3">
        <v>0.89</v>
      </c>
      <c r="AN843" s="23"/>
    </row>
    <row r="844" spans="1:50" ht="17" x14ac:dyDescent="0.2">
      <c r="A844" s="31" t="s">
        <v>372</v>
      </c>
      <c r="B844" s="31" t="s">
        <v>371</v>
      </c>
      <c r="C844" s="1"/>
      <c r="F844" s="41"/>
      <c r="G844" s="41"/>
      <c r="H844" s="2" t="s">
        <v>33</v>
      </c>
      <c r="I844" s="243" t="s">
        <v>1006</v>
      </c>
      <c r="J844" s="3">
        <v>85</v>
      </c>
      <c r="K844" s="3">
        <v>3.1350000000000002</v>
      </c>
      <c r="L844" s="3">
        <v>106.50000000000001</v>
      </c>
      <c r="M844" s="3" t="s">
        <v>55</v>
      </c>
      <c r="P844" s="4">
        <f t="shared" si="248"/>
        <v>0</v>
      </c>
      <c r="R844" s="3" t="s">
        <v>55</v>
      </c>
      <c r="AE844" s="23"/>
      <c r="AN844" s="23"/>
    </row>
    <row r="845" spans="1:50" ht="17" x14ac:dyDescent="0.2">
      <c r="A845" s="31" t="s">
        <v>372</v>
      </c>
      <c r="B845" s="31" t="s">
        <v>371</v>
      </c>
      <c r="C845" s="1"/>
      <c r="F845" s="41"/>
      <c r="G845" s="41"/>
      <c r="H845" s="2" t="s">
        <v>33</v>
      </c>
      <c r="I845" s="243" t="s">
        <v>1006</v>
      </c>
      <c r="J845" s="3">
        <v>90</v>
      </c>
      <c r="K845" s="3">
        <v>1.2699999999999998</v>
      </c>
      <c r="L845" s="3">
        <v>119.99999999999997</v>
      </c>
      <c r="M845" s="3">
        <v>3.5999999999999992</v>
      </c>
      <c r="P845" s="4">
        <f t="shared" si="248"/>
        <v>0</v>
      </c>
      <c r="R845" s="3" t="s">
        <v>55</v>
      </c>
      <c r="AE845" s="23"/>
      <c r="AN845" s="23"/>
    </row>
    <row r="846" spans="1:50" ht="17" x14ac:dyDescent="0.2">
      <c r="A846" s="31" t="s">
        <v>372</v>
      </c>
      <c r="B846" s="31" t="s">
        <v>371</v>
      </c>
      <c r="C846" s="1"/>
      <c r="F846" s="41"/>
      <c r="G846" s="41"/>
      <c r="H846" s="2" t="s">
        <v>33</v>
      </c>
      <c r="I846" s="243" t="s">
        <v>1006</v>
      </c>
      <c r="J846" s="3">
        <v>90</v>
      </c>
      <c r="K846" s="3">
        <v>1.1329999999999998</v>
      </c>
      <c r="L846" s="3">
        <v>61.79999999999999</v>
      </c>
      <c r="M846" s="3">
        <v>2.5749999999999993</v>
      </c>
      <c r="P846" s="4" t="s">
        <v>0</v>
      </c>
      <c r="R846" s="3">
        <v>48.409999999999989</v>
      </c>
    </row>
    <row r="847" spans="1:50" ht="17" x14ac:dyDescent="0.2">
      <c r="A847" s="31" t="s">
        <v>372</v>
      </c>
      <c r="B847" s="31" t="s">
        <v>371</v>
      </c>
      <c r="C847" s="1"/>
      <c r="F847" s="41"/>
      <c r="G847" s="41"/>
      <c r="H847" s="2" t="s">
        <v>33</v>
      </c>
      <c r="I847" s="243" t="s">
        <v>1006</v>
      </c>
      <c r="J847" s="3">
        <v>90</v>
      </c>
      <c r="K847" s="3">
        <v>1.1020999999999999</v>
      </c>
      <c r="L847" s="3">
        <v>72.996099999999984</v>
      </c>
      <c r="M847" s="3">
        <v>2.5028999999999995</v>
      </c>
      <c r="P847" s="4" t="s">
        <v>0</v>
      </c>
      <c r="R847" s="3">
        <v>32.002099999999992</v>
      </c>
    </row>
    <row r="848" spans="1:50" ht="34" x14ac:dyDescent="0.2">
      <c r="A848" s="31" t="s">
        <v>370</v>
      </c>
      <c r="B848" s="31" t="s">
        <v>371</v>
      </c>
      <c r="F848" s="41"/>
      <c r="G848" s="41"/>
      <c r="H848" s="2" t="s">
        <v>33</v>
      </c>
      <c r="I848" s="243" t="s">
        <v>1009</v>
      </c>
      <c r="K848" s="3">
        <v>0.84</v>
      </c>
      <c r="L848" s="3">
        <v>118</v>
      </c>
      <c r="M848" s="3">
        <v>5.52</v>
      </c>
      <c r="O848" s="3">
        <v>0.24</v>
      </c>
      <c r="P848" s="4">
        <f t="shared" ref="P848:P856" si="249">AN848</f>
        <v>0</v>
      </c>
      <c r="R848" s="3">
        <v>25</v>
      </c>
      <c r="S848" s="3">
        <v>1.33</v>
      </c>
      <c r="AN848" s="23"/>
    </row>
    <row r="849" spans="1:50" ht="34" x14ac:dyDescent="0.2">
      <c r="A849" s="24" t="s">
        <v>370</v>
      </c>
      <c r="B849" s="24" t="s">
        <v>371</v>
      </c>
      <c r="F849" s="41"/>
      <c r="G849" s="41"/>
      <c r="H849" s="2" t="s">
        <v>33</v>
      </c>
      <c r="I849" s="243" t="s">
        <v>1009</v>
      </c>
      <c r="K849" s="3">
        <v>0.87</v>
      </c>
      <c r="L849" s="3">
        <v>120</v>
      </c>
      <c r="M849" s="3">
        <v>3.85</v>
      </c>
      <c r="O849" s="3">
        <v>0.25</v>
      </c>
      <c r="P849" s="4">
        <f t="shared" si="249"/>
        <v>0</v>
      </c>
      <c r="R849" s="3">
        <v>22</v>
      </c>
      <c r="S849" s="3">
        <v>1.1000000000000001</v>
      </c>
      <c r="AN849" s="23"/>
    </row>
    <row r="850" spans="1:50" ht="34" x14ac:dyDescent="0.2">
      <c r="A850" s="24" t="s">
        <v>370</v>
      </c>
      <c r="B850" s="24" t="s">
        <v>371</v>
      </c>
      <c r="F850" s="41"/>
      <c r="G850" s="41"/>
      <c r="H850" s="2" t="s">
        <v>33</v>
      </c>
      <c r="I850" s="243" t="s">
        <v>1010</v>
      </c>
      <c r="J850" s="3">
        <v>90.6</v>
      </c>
      <c r="K850" s="3">
        <v>1.2</v>
      </c>
      <c r="L850" s="3">
        <v>84</v>
      </c>
      <c r="M850" s="3">
        <v>2.7</v>
      </c>
      <c r="N850" s="3">
        <v>60</v>
      </c>
      <c r="P850" s="4">
        <f t="shared" si="249"/>
        <v>0</v>
      </c>
      <c r="R850" s="3">
        <v>50</v>
      </c>
      <c r="AI850" s="23"/>
      <c r="AN850" s="23"/>
    </row>
    <row r="851" spans="1:50" ht="34" x14ac:dyDescent="0.2">
      <c r="A851" s="31" t="s">
        <v>370</v>
      </c>
      <c r="B851" s="31" t="s">
        <v>371</v>
      </c>
      <c r="F851" s="41"/>
      <c r="G851" s="41"/>
      <c r="H851" s="2" t="s">
        <v>33</v>
      </c>
      <c r="I851" s="243" t="s">
        <v>1009</v>
      </c>
      <c r="K851" s="3">
        <v>0.82</v>
      </c>
      <c r="L851" s="3">
        <v>82</v>
      </c>
      <c r="M851" s="3">
        <v>2.04</v>
      </c>
      <c r="O851" s="3">
        <v>0.26</v>
      </c>
      <c r="P851" s="4">
        <f t="shared" si="249"/>
        <v>0</v>
      </c>
      <c r="R851" s="3">
        <v>36</v>
      </c>
      <c r="S851" s="3">
        <v>1.07</v>
      </c>
      <c r="AN851" s="23"/>
    </row>
    <row r="852" spans="1:50" ht="34" x14ac:dyDescent="0.2">
      <c r="A852" s="31" t="s">
        <v>370</v>
      </c>
      <c r="B852" s="31" t="s">
        <v>371</v>
      </c>
      <c r="F852" s="41"/>
      <c r="G852" s="41"/>
      <c r="H852" s="2" t="s">
        <v>33</v>
      </c>
      <c r="I852" s="243" t="s">
        <v>1009</v>
      </c>
      <c r="K852" s="3">
        <v>0.8</v>
      </c>
      <c r="L852" s="3">
        <v>44</v>
      </c>
      <c r="M852" s="3">
        <v>0.88</v>
      </c>
      <c r="O852" s="3">
        <v>0.21</v>
      </c>
      <c r="P852" s="4">
        <f t="shared" si="249"/>
        <v>0</v>
      </c>
      <c r="R852" s="3">
        <v>9</v>
      </c>
      <c r="S852" s="3">
        <v>1.71</v>
      </c>
      <c r="AN852" s="23"/>
    </row>
    <row r="853" spans="1:50" ht="34" x14ac:dyDescent="0.2">
      <c r="A853" s="24" t="s">
        <v>370</v>
      </c>
      <c r="B853" s="24" t="s">
        <v>371</v>
      </c>
      <c r="F853" s="41"/>
      <c r="G853" s="41"/>
      <c r="H853" s="2" t="s">
        <v>33</v>
      </c>
      <c r="I853" s="243" t="s">
        <v>1004</v>
      </c>
      <c r="P853" s="4">
        <f t="shared" si="249"/>
        <v>0</v>
      </c>
      <c r="R853" s="3">
        <v>130</v>
      </c>
      <c r="AI853" s="23"/>
      <c r="AN853" s="23"/>
    </row>
    <row r="854" spans="1:50" ht="34" x14ac:dyDescent="0.2">
      <c r="A854" s="24" t="s">
        <v>370</v>
      </c>
      <c r="B854" s="24" t="s">
        <v>371</v>
      </c>
      <c r="F854" s="41"/>
      <c r="G854" s="41"/>
      <c r="H854" s="2" t="s">
        <v>33</v>
      </c>
      <c r="I854" s="243" t="s">
        <v>1004</v>
      </c>
      <c r="J854" s="3">
        <v>90.2</v>
      </c>
      <c r="K854" s="3">
        <v>1</v>
      </c>
      <c r="L854" s="3">
        <v>81</v>
      </c>
      <c r="N854" s="36"/>
      <c r="P854" s="4">
        <f t="shared" si="249"/>
        <v>0</v>
      </c>
      <c r="R854" s="3">
        <v>30</v>
      </c>
      <c r="X854" s="36"/>
      <c r="AI854" s="23"/>
      <c r="AN854" s="23"/>
    </row>
    <row r="855" spans="1:50" ht="34" x14ac:dyDescent="0.2">
      <c r="A855" s="24" t="s">
        <v>370</v>
      </c>
      <c r="B855" s="24" t="s">
        <v>371</v>
      </c>
      <c r="F855" s="41"/>
      <c r="G855" s="41"/>
      <c r="H855" s="2" t="s">
        <v>33</v>
      </c>
      <c r="I855" s="243" t="s">
        <v>1019</v>
      </c>
      <c r="J855" s="3">
        <v>90.2</v>
      </c>
      <c r="P855" s="4">
        <f t="shared" si="249"/>
        <v>0</v>
      </c>
      <c r="R855" s="3">
        <v>130</v>
      </c>
      <c r="AI855" s="23"/>
      <c r="AN855" s="23"/>
    </row>
    <row r="856" spans="1:50" ht="34" x14ac:dyDescent="0.2">
      <c r="A856" s="24" t="s">
        <v>370</v>
      </c>
      <c r="B856" s="24" t="s">
        <v>371</v>
      </c>
      <c r="F856" s="41"/>
      <c r="G856" s="41"/>
      <c r="H856" s="2" t="s">
        <v>33</v>
      </c>
      <c r="I856" s="243" t="s">
        <v>1019</v>
      </c>
      <c r="J856" s="3">
        <v>90.2</v>
      </c>
      <c r="P856" s="4">
        <f t="shared" si="249"/>
        <v>0</v>
      </c>
      <c r="R856" s="3">
        <v>30</v>
      </c>
      <c r="AI856" s="23"/>
      <c r="AN856" s="23"/>
    </row>
    <row r="857" spans="1:50" s="71" customFormat="1" x14ac:dyDescent="0.2">
      <c r="A857" s="70" t="s">
        <v>370</v>
      </c>
      <c r="B857" s="70" t="s">
        <v>371</v>
      </c>
      <c r="C857" s="71" t="s">
        <v>373</v>
      </c>
      <c r="D857" s="71" t="s">
        <v>25</v>
      </c>
      <c r="E857" s="71" t="s">
        <v>46</v>
      </c>
      <c r="F857" s="78" t="s">
        <v>782</v>
      </c>
      <c r="G857" s="78" t="s">
        <v>71</v>
      </c>
      <c r="H857" s="71" t="s">
        <v>33</v>
      </c>
      <c r="I857" s="87"/>
      <c r="J857" s="72">
        <f t="shared" ref="J857" si="250">AVERAGE(J840:J856)</f>
        <v>89.52500000000002</v>
      </c>
      <c r="K857" s="72">
        <f t="shared" ref="K857:S857" si="251">AVERAGE(K840:K856)</f>
        <v>1.2421499999999999</v>
      </c>
      <c r="L857" s="72">
        <f t="shared" si="251"/>
        <v>126.73543571428571</v>
      </c>
      <c r="M857" s="72">
        <f t="shared" si="251"/>
        <v>3.6589916666666671</v>
      </c>
      <c r="N857" s="72">
        <f t="shared" si="251"/>
        <v>60</v>
      </c>
      <c r="O857" s="72">
        <f t="shared" si="251"/>
        <v>0.42125000000000001</v>
      </c>
      <c r="P857" s="72">
        <f t="shared" si="251"/>
        <v>0</v>
      </c>
      <c r="Q857" s="72">
        <f t="shared" si="251"/>
        <v>29.666666666666668</v>
      </c>
      <c r="R857" s="72">
        <f t="shared" si="251"/>
        <v>48.160806666666666</v>
      </c>
      <c r="S857" s="72">
        <f t="shared" si="251"/>
        <v>1.4387500000000002</v>
      </c>
      <c r="T857" s="72"/>
      <c r="U857" s="72"/>
      <c r="V857" s="72"/>
      <c r="W857" s="72"/>
      <c r="X857" s="72"/>
      <c r="Y857" s="72"/>
      <c r="Z857" s="72"/>
      <c r="AA857" s="72"/>
      <c r="AB857" s="72"/>
      <c r="AC857" s="73"/>
      <c r="AD857" s="73"/>
      <c r="AE857" s="73"/>
      <c r="AF857" s="73"/>
      <c r="AG857" s="73"/>
      <c r="AH857" s="73"/>
      <c r="AI857" s="73"/>
      <c r="AJ857" s="73"/>
      <c r="AK857" s="73"/>
      <c r="AL857" s="73"/>
      <c r="AM857" s="73"/>
      <c r="AN857" s="73"/>
      <c r="AO857" s="73"/>
      <c r="AP857" s="73"/>
      <c r="AQ857" s="73"/>
      <c r="AR857" s="73"/>
      <c r="AS857" s="73"/>
      <c r="AT857" s="73"/>
      <c r="AU857" s="73"/>
      <c r="AV857" s="73"/>
      <c r="AW857" s="73"/>
      <c r="AX857" s="73"/>
    </row>
    <row r="858" spans="1:50" ht="17" x14ac:dyDescent="0.2">
      <c r="A858" s="24" t="s">
        <v>370</v>
      </c>
      <c r="B858" s="24" t="s">
        <v>374</v>
      </c>
      <c r="C858" s="32" t="s">
        <v>0</v>
      </c>
      <c r="H858" s="2" t="s">
        <v>33</v>
      </c>
      <c r="I858" s="243" t="s">
        <v>1007</v>
      </c>
      <c r="J858" s="3">
        <v>86.8</v>
      </c>
      <c r="K858" s="3">
        <v>5.3</v>
      </c>
      <c r="L858" s="3">
        <v>78</v>
      </c>
      <c r="M858" s="3">
        <v>0.97</v>
      </c>
      <c r="N858" s="3">
        <v>70</v>
      </c>
      <c r="P858" s="4">
        <f t="shared" ref="P858:P871" si="252">AN858</f>
        <v>0</v>
      </c>
      <c r="Q858" s="3">
        <v>1</v>
      </c>
      <c r="R858" s="3">
        <v>11</v>
      </c>
      <c r="AI858" s="23"/>
      <c r="AN858" s="23"/>
    </row>
    <row r="859" spans="1:50" ht="34" x14ac:dyDescent="0.2">
      <c r="A859" s="24" t="s">
        <v>370</v>
      </c>
      <c r="B859" s="24" t="s">
        <v>374</v>
      </c>
      <c r="H859" s="2" t="s">
        <v>33</v>
      </c>
      <c r="I859" s="243" t="s">
        <v>81</v>
      </c>
      <c r="M859" s="3">
        <v>0.7</v>
      </c>
      <c r="P859" s="4">
        <f t="shared" si="252"/>
        <v>0</v>
      </c>
      <c r="Q859" s="3">
        <v>62</v>
      </c>
      <c r="R859" s="3">
        <v>13</v>
      </c>
      <c r="AI859" s="23"/>
      <c r="AN859" s="23"/>
    </row>
    <row r="860" spans="1:50" ht="17" x14ac:dyDescent="0.2">
      <c r="A860" s="24" t="s">
        <v>370</v>
      </c>
      <c r="B860" s="24" t="s">
        <v>374</v>
      </c>
      <c r="H860" s="2" t="s">
        <v>33</v>
      </c>
      <c r="I860" s="243" t="s">
        <v>1030</v>
      </c>
      <c r="M860" s="3">
        <v>1</v>
      </c>
      <c r="N860" s="3">
        <v>61</v>
      </c>
      <c r="P860" s="4">
        <f t="shared" si="252"/>
        <v>0</v>
      </c>
      <c r="Q860" s="3">
        <v>80</v>
      </c>
      <c r="AN860" s="23"/>
    </row>
    <row r="861" spans="1:50" ht="34" x14ac:dyDescent="0.2">
      <c r="A861" s="24" t="s">
        <v>370</v>
      </c>
      <c r="B861" s="24" t="s">
        <v>374</v>
      </c>
      <c r="H861" s="2" t="s">
        <v>33</v>
      </c>
      <c r="I861" s="243" t="s">
        <v>1009</v>
      </c>
      <c r="K861" s="3">
        <v>1.53</v>
      </c>
      <c r="L861" s="3">
        <v>264</v>
      </c>
      <c r="M861" s="3">
        <v>8.56</v>
      </c>
      <c r="O861" s="3">
        <v>0.98</v>
      </c>
      <c r="P861" s="4">
        <f t="shared" si="252"/>
        <v>0</v>
      </c>
      <c r="R861" s="3">
        <v>42</v>
      </c>
      <c r="S861" s="3">
        <v>1.62</v>
      </c>
      <c r="AN861" s="23"/>
    </row>
    <row r="862" spans="1:50" ht="34" x14ac:dyDescent="0.2">
      <c r="A862" s="31" t="s">
        <v>370</v>
      </c>
      <c r="B862" s="31" t="s">
        <v>374</v>
      </c>
      <c r="H862" s="2" t="s">
        <v>33</v>
      </c>
      <c r="I862" s="243" t="s">
        <v>1009</v>
      </c>
      <c r="K862" s="3">
        <v>1.1100000000000001</v>
      </c>
      <c r="L862" s="3">
        <v>67</v>
      </c>
      <c r="M862" s="3">
        <v>0.51</v>
      </c>
      <c r="O862" s="3">
        <v>0.15</v>
      </c>
      <c r="P862" s="4">
        <f t="shared" si="252"/>
        <v>0</v>
      </c>
      <c r="R862" s="3">
        <v>25</v>
      </c>
      <c r="S862" s="3">
        <v>3.29</v>
      </c>
      <c r="AN862" s="23"/>
    </row>
    <row r="863" spans="1:50" ht="34" x14ac:dyDescent="0.2">
      <c r="A863" s="24" t="s">
        <v>370</v>
      </c>
      <c r="B863" s="24" t="s">
        <v>374</v>
      </c>
      <c r="H863" s="2" t="s">
        <v>33</v>
      </c>
      <c r="I863" s="243" t="s">
        <v>1010</v>
      </c>
      <c r="J863" s="3">
        <v>87</v>
      </c>
      <c r="K863" s="3">
        <v>1.7</v>
      </c>
      <c r="L863" s="3">
        <v>147</v>
      </c>
      <c r="M863" s="3">
        <v>2.6</v>
      </c>
      <c r="N863" s="3">
        <v>35</v>
      </c>
      <c r="P863" s="4">
        <f t="shared" si="252"/>
        <v>0</v>
      </c>
      <c r="R863" s="3">
        <v>23</v>
      </c>
      <c r="AI863" s="23"/>
      <c r="AN863" s="23"/>
    </row>
    <row r="864" spans="1:50" ht="34" x14ac:dyDescent="0.2">
      <c r="A864" s="31" t="s">
        <v>370</v>
      </c>
      <c r="B864" s="31" t="s">
        <v>374</v>
      </c>
      <c r="H864" s="2" t="s">
        <v>33</v>
      </c>
      <c r="I864" s="243" t="s">
        <v>1009</v>
      </c>
      <c r="K864" s="3">
        <v>1.1499999999999999</v>
      </c>
      <c r="L864" s="3">
        <v>303</v>
      </c>
      <c r="M864" s="3">
        <v>2.59</v>
      </c>
      <c r="O864" s="3">
        <v>0.28999999999999998</v>
      </c>
      <c r="P864" s="4">
        <f t="shared" si="252"/>
        <v>0</v>
      </c>
      <c r="R864" s="3">
        <v>72</v>
      </c>
      <c r="S864" s="3">
        <v>2.34</v>
      </c>
      <c r="AN864" s="23"/>
    </row>
    <row r="865" spans="1:50" ht="34" x14ac:dyDescent="0.2">
      <c r="A865" s="24" t="s">
        <v>370</v>
      </c>
      <c r="B865" s="24" t="s">
        <v>374</v>
      </c>
      <c r="H865" s="2" t="s">
        <v>33</v>
      </c>
      <c r="I865" s="243" t="s">
        <v>1009</v>
      </c>
      <c r="K865" s="3">
        <v>1.25</v>
      </c>
      <c r="L865" s="3">
        <v>32</v>
      </c>
      <c r="M865" s="3">
        <v>1.35</v>
      </c>
      <c r="P865" s="4">
        <f t="shared" si="252"/>
        <v>0</v>
      </c>
      <c r="R865" s="3">
        <v>13</v>
      </c>
      <c r="S865" s="3">
        <v>0.24</v>
      </c>
      <c r="AN865" s="23"/>
    </row>
    <row r="866" spans="1:50" ht="17" x14ac:dyDescent="0.2">
      <c r="A866" s="31" t="s">
        <v>372</v>
      </c>
      <c r="B866" s="31" t="s">
        <v>374</v>
      </c>
      <c r="C866" s="1"/>
      <c r="H866" s="2" t="s">
        <v>33</v>
      </c>
      <c r="I866" s="243" t="s">
        <v>1006</v>
      </c>
      <c r="J866" s="3">
        <v>87</v>
      </c>
      <c r="K866" s="3">
        <v>1.5960000000000001</v>
      </c>
      <c r="L866" s="3">
        <v>85.997800000000012</v>
      </c>
      <c r="M866" s="3">
        <v>4.4954000000000001</v>
      </c>
      <c r="P866" s="4">
        <f t="shared" si="252"/>
        <v>0</v>
      </c>
      <c r="R866" s="3">
        <v>21.000700000000002</v>
      </c>
      <c r="AE866" s="23"/>
      <c r="AN866" s="23"/>
    </row>
    <row r="867" spans="1:50" ht="17" x14ac:dyDescent="0.2">
      <c r="A867" s="31" t="s">
        <v>372</v>
      </c>
      <c r="B867" s="31" t="s">
        <v>374</v>
      </c>
      <c r="C867" s="1"/>
      <c r="H867" s="2" t="s">
        <v>33</v>
      </c>
      <c r="I867" s="243" t="s">
        <v>1006</v>
      </c>
      <c r="J867" s="3">
        <v>86</v>
      </c>
      <c r="K867" s="3">
        <v>1.6029000000000002</v>
      </c>
      <c r="L867" s="3">
        <v>110.99740000000001</v>
      </c>
      <c r="M867" s="3">
        <v>2.9044000000000003</v>
      </c>
      <c r="P867" s="4">
        <f t="shared" si="252"/>
        <v>0</v>
      </c>
      <c r="R867" s="3">
        <v>58.005800000000001</v>
      </c>
      <c r="AE867" s="23"/>
      <c r="AN867" s="23"/>
    </row>
    <row r="868" spans="1:50" ht="34" x14ac:dyDescent="0.2">
      <c r="A868" s="24" t="s">
        <v>370</v>
      </c>
      <c r="B868" s="24" t="s">
        <v>374</v>
      </c>
      <c r="H868" s="2" t="s">
        <v>33</v>
      </c>
      <c r="I868" s="243" t="s">
        <v>1009</v>
      </c>
      <c r="K868" s="3">
        <v>1.46</v>
      </c>
      <c r="L868" s="3">
        <v>78</v>
      </c>
      <c r="M868" s="3">
        <v>1.34</v>
      </c>
      <c r="O868" s="3">
        <v>0.18</v>
      </c>
      <c r="P868" s="4">
        <f t="shared" si="252"/>
        <v>0</v>
      </c>
      <c r="R868" s="3">
        <v>16</v>
      </c>
      <c r="AN868" s="23"/>
    </row>
    <row r="869" spans="1:50" ht="34" x14ac:dyDescent="0.2">
      <c r="A869" s="24" t="s">
        <v>370</v>
      </c>
      <c r="B869" s="24" t="s">
        <v>374</v>
      </c>
      <c r="H869" s="2" t="s">
        <v>33</v>
      </c>
      <c r="I869" s="243" t="s">
        <v>1009</v>
      </c>
      <c r="K869" s="3">
        <v>1.1399999999999999</v>
      </c>
      <c r="L869" s="3">
        <v>112</v>
      </c>
      <c r="M869" s="3">
        <v>1.18</v>
      </c>
      <c r="O869" s="3">
        <v>0.32</v>
      </c>
      <c r="P869" s="4">
        <f t="shared" si="252"/>
        <v>0</v>
      </c>
      <c r="R869" s="3">
        <v>35</v>
      </c>
      <c r="S869" s="3">
        <v>1.23</v>
      </c>
      <c r="AN869" s="23"/>
    </row>
    <row r="870" spans="1:50" ht="34" x14ac:dyDescent="0.2">
      <c r="A870" s="24" t="s">
        <v>370</v>
      </c>
      <c r="B870" s="24" t="s">
        <v>374</v>
      </c>
      <c r="H870" s="2" t="s">
        <v>33</v>
      </c>
      <c r="I870" s="243" t="s">
        <v>1009</v>
      </c>
      <c r="K870" s="3">
        <v>1.28</v>
      </c>
      <c r="L870" s="3">
        <v>53</v>
      </c>
      <c r="M870" s="3">
        <v>1.1000000000000001</v>
      </c>
      <c r="P870" s="4">
        <f t="shared" si="252"/>
        <v>0</v>
      </c>
      <c r="R870" s="3">
        <v>19</v>
      </c>
      <c r="S870" s="3">
        <v>1.31</v>
      </c>
      <c r="AN870" s="23"/>
    </row>
    <row r="871" spans="1:50" ht="34" x14ac:dyDescent="0.2">
      <c r="A871" s="31" t="s">
        <v>370</v>
      </c>
      <c r="B871" s="31" t="s">
        <v>374</v>
      </c>
      <c r="H871" s="2" t="s">
        <v>33</v>
      </c>
      <c r="I871" s="243" t="s">
        <v>1009</v>
      </c>
      <c r="K871" s="3">
        <v>1.1499999999999999</v>
      </c>
      <c r="L871" s="3">
        <v>162</v>
      </c>
      <c r="M871" s="3">
        <v>3.1</v>
      </c>
      <c r="N871" s="36"/>
      <c r="O871" s="3">
        <v>0.37</v>
      </c>
      <c r="P871" s="4">
        <f t="shared" si="252"/>
        <v>0</v>
      </c>
      <c r="R871" s="3">
        <v>41</v>
      </c>
      <c r="S871" s="3">
        <v>1.56</v>
      </c>
      <c r="X871" s="36"/>
      <c r="AN871" s="23"/>
    </row>
    <row r="872" spans="1:50" s="71" customFormat="1" ht="15" customHeight="1" x14ac:dyDescent="0.2">
      <c r="A872" s="70" t="s">
        <v>370</v>
      </c>
      <c r="B872" s="70" t="s">
        <v>374</v>
      </c>
      <c r="C872" s="71" t="s">
        <v>375</v>
      </c>
      <c r="D872" s="71" t="s">
        <v>25</v>
      </c>
      <c r="E872" s="71" t="s">
        <v>46</v>
      </c>
      <c r="F872" s="78" t="s">
        <v>782</v>
      </c>
      <c r="H872" s="71" t="s">
        <v>33</v>
      </c>
      <c r="I872" s="87"/>
      <c r="J872" s="72">
        <f t="shared" ref="J872" si="253">AVERAGE(J858:J871)</f>
        <v>86.7</v>
      </c>
      <c r="K872" s="72">
        <f t="shared" ref="K872:S872" si="254">AVERAGE(K858:K871)</f>
        <v>1.6890750000000001</v>
      </c>
      <c r="L872" s="72">
        <f t="shared" si="254"/>
        <v>124.41626666666667</v>
      </c>
      <c r="M872" s="72">
        <f t="shared" si="254"/>
        <v>2.3142714285714283</v>
      </c>
      <c r="N872" s="72">
        <f t="shared" si="254"/>
        <v>55.333333333333336</v>
      </c>
      <c r="O872" s="72">
        <f t="shared" si="254"/>
        <v>0.38166666666666665</v>
      </c>
      <c r="P872" s="72">
        <f t="shared" si="254"/>
        <v>0</v>
      </c>
      <c r="Q872" s="72">
        <f t="shared" si="254"/>
        <v>47.666666666666664</v>
      </c>
      <c r="R872" s="72">
        <f t="shared" si="254"/>
        <v>29.923576923076926</v>
      </c>
      <c r="S872" s="72">
        <f t="shared" si="254"/>
        <v>1.6557142857142859</v>
      </c>
      <c r="T872" s="72"/>
      <c r="U872" s="72"/>
      <c r="V872" s="72"/>
      <c r="W872" s="72"/>
      <c r="X872" s="72"/>
      <c r="Y872" s="72"/>
      <c r="Z872" s="72"/>
      <c r="AA872" s="72"/>
      <c r="AB872" s="72"/>
      <c r="AC872" s="73"/>
      <c r="AD872" s="73"/>
      <c r="AE872" s="73"/>
      <c r="AF872" s="73"/>
      <c r="AG872" s="73"/>
      <c r="AH872" s="73"/>
      <c r="AI872" s="73"/>
      <c r="AJ872" s="73"/>
      <c r="AK872" s="73"/>
      <c r="AL872" s="73"/>
      <c r="AM872" s="73"/>
      <c r="AN872" s="73"/>
      <c r="AO872" s="73"/>
      <c r="AP872" s="73"/>
      <c r="AQ872" s="73"/>
      <c r="AR872" s="73"/>
      <c r="AS872" s="73"/>
      <c r="AT872" s="73"/>
      <c r="AU872" s="73"/>
      <c r="AV872" s="73"/>
      <c r="AW872" s="73"/>
      <c r="AX872" s="73"/>
    </row>
    <row r="873" spans="1:50" s="22" customFormat="1" ht="15" customHeight="1" x14ac:dyDescent="0.2">
      <c r="A873" s="21" t="s">
        <v>370</v>
      </c>
      <c r="B873" s="21" t="s">
        <v>376</v>
      </c>
      <c r="C873" s="22" t="s">
        <v>0</v>
      </c>
      <c r="D873" s="2"/>
      <c r="E873" s="2"/>
      <c r="H873" s="22" t="s">
        <v>166</v>
      </c>
      <c r="I873" s="65" t="s">
        <v>378</v>
      </c>
      <c r="J873" s="4"/>
      <c r="K873" s="4">
        <v>0.67</v>
      </c>
      <c r="L873" s="4">
        <v>184</v>
      </c>
      <c r="M873" s="4">
        <v>0.13</v>
      </c>
      <c r="N873" s="4"/>
      <c r="O873" s="4"/>
      <c r="P873" s="4" t="s">
        <v>0</v>
      </c>
      <c r="Q873" s="4"/>
      <c r="R873" s="4">
        <v>24</v>
      </c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23"/>
      <c r="AD873" s="23"/>
      <c r="AE873" s="23"/>
      <c r="AF873" s="23"/>
      <c r="AG873" s="23"/>
      <c r="AH873" s="23"/>
      <c r="AI873" s="23"/>
      <c r="AJ873" s="23"/>
      <c r="AK873" s="23"/>
      <c r="AL873" s="23"/>
      <c r="AM873" s="23"/>
      <c r="AN873" s="23"/>
      <c r="AO873" s="23"/>
      <c r="AP873" s="23"/>
      <c r="AQ873" s="23"/>
      <c r="AR873" s="23"/>
      <c r="AS873" s="23"/>
      <c r="AT873" s="23"/>
      <c r="AU873" s="23"/>
      <c r="AV873" s="23"/>
      <c r="AW873" s="23"/>
      <c r="AX873" s="23"/>
    </row>
    <row r="874" spans="1:50" s="22" customFormat="1" ht="15" customHeight="1" x14ac:dyDescent="0.2">
      <c r="A874" s="21" t="s">
        <v>370</v>
      </c>
      <c r="B874" s="21" t="s">
        <v>376</v>
      </c>
      <c r="C874" s="22" t="s">
        <v>0</v>
      </c>
      <c r="D874" s="2"/>
      <c r="E874" s="2"/>
      <c r="H874" s="22" t="s">
        <v>166</v>
      </c>
      <c r="I874" s="65" t="s">
        <v>378</v>
      </c>
      <c r="J874" s="4"/>
      <c r="K874" s="4">
        <v>3.33</v>
      </c>
      <c r="L874" s="4">
        <v>230.67</v>
      </c>
      <c r="M874" s="4">
        <v>0.19</v>
      </c>
      <c r="N874" s="4"/>
      <c r="O874" s="4"/>
      <c r="P874" s="4" t="s">
        <v>0</v>
      </c>
      <c r="Q874" s="4"/>
      <c r="R874" s="4">
        <v>48</v>
      </c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23"/>
      <c r="AD874" s="23"/>
      <c r="AE874" s="23"/>
      <c r="AF874" s="23"/>
      <c r="AG874" s="23"/>
      <c r="AH874" s="23"/>
      <c r="AI874" s="23"/>
      <c r="AJ874" s="23"/>
      <c r="AK874" s="23"/>
      <c r="AL874" s="23"/>
      <c r="AM874" s="23"/>
      <c r="AN874" s="23"/>
      <c r="AO874" s="23"/>
      <c r="AP874" s="23"/>
      <c r="AQ874" s="23"/>
      <c r="AR874" s="23"/>
      <c r="AS874" s="23"/>
      <c r="AT874" s="23"/>
      <c r="AU874" s="23"/>
      <c r="AV874" s="23"/>
      <c r="AW874" s="23"/>
      <c r="AX874" s="23"/>
    </row>
    <row r="875" spans="1:50" s="71" customFormat="1" ht="15" customHeight="1" x14ac:dyDescent="0.2">
      <c r="A875" s="70" t="s">
        <v>370</v>
      </c>
      <c r="B875" s="70" t="s">
        <v>376</v>
      </c>
      <c r="C875" s="71" t="s">
        <v>377</v>
      </c>
      <c r="D875" s="71" t="s">
        <v>31</v>
      </c>
      <c r="E875" s="71" t="s">
        <v>42</v>
      </c>
      <c r="F875" s="71" t="s">
        <v>784</v>
      </c>
      <c r="H875" s="71" t="s">
        <v>166</v>
      </c>
      <c r="I875" s="87"/>
      <c r="J875" s="72"/>
      <c r="K875" s="72">
        <f>AVERAGE(K873:K874)</f>
        <v>2</v>
      </c>
      <c r="L875" s="72">
        <f>AVERAGE(L873:L874)</f>
        <v>207.33499999999998</v>
      </c>
      <c r="M875" s="72">
        <f>AVERAGE(M873:M874)</f>
        <v>0.16</v>
      </c>
      <c r="N875" s="72"/>
      <c r="O875" s="72"/>
      <c r="P875" s="72"/>
      <c r="Q875" s="72"/>
      <c r="R875" s="72">
        <f>AVERAGE(R873:R874)</f>
        <v>36</v>
      </c>
      <c r="S875" s="72"/>
      <c r="T875" s="72"/>
      <c r="U875" s="72"/>
      <c r="V875" s="72"/>
      <c r="W875" s="72"/>
      <c r="X875" s="72"/>
      <c r="Y875" s="72"/>
      <c r="Z875" s="72"/>
      <c r="AA875" s="72"/>
      <c r="AB875" s="72"/>
      <c r="AC875" s="73"/>
      <c r="AD875" s="73"/>
      <c r="AE875" s="73"/>
      <c r="AF875" s="73"/>
      <c r="AG875" s="73"/>
      <c r="AH875" s="73"/>
      <c r="AI875" s="73"/>
      <c r="AJ875" s="73"/>
      <c r="AK875" s="73"/>
      <c r="AL875" s="73"/>
      <c r="AM875" s="73"/>
      <c r="AN875" s="73"/>
      <c r="AO875" s="73"/>
      <c r="AP875" s="73"/>
      <c r="AQ875" s="73"/>
      <c r="AR875" s="73"/>
      <c r="AS875" s="73"/>
      <c r="AT875" s="73"/>
      <c r="AU875" s="73"/>
      <c r="AV875" s="73"/>
      <c r="AW875" s="73"/>
      <c r="AX875" s="73"/>
    </row>
    <row r="876" spans="1:50" s="22" customFormat="1" ht="17" x14ac:dyDescent="0.2">
      <c r="A876" s="21" t="s">
        <v>379</v>
      </c>
      <c r="B876" s="21" t="s">
        <v>380</v>
      </c>
      <c r="D876" s="2"/>
      <c r="E876" s="2"/>
      <c r="H876" s="22" t="s">
        <v>33</v>
      </c>
      <c r="I876" s="65" t="s">
        <v>1033</v>
      </c>
      <c r="J876" s="4">
        <v>91.1</v>
      </c>
      <c r="K876" s="4"/>
      <c r="L876" s="4"/>
      <c r="M876" s="4"/>
      <c r="N876" s="4"/>
      <c r="O876" s="4"/>
      <c r="P876" s="4" t="s">
        <v>0</v>
      </c>
      <c r="Q876" s="4"/>
      <c r="R876" s="4">
        <v>11</v>
      </c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23"/>
      <c r="AD876" s="23"/>
      <c r="AE876" s="23"/>
      <c r="AF876" s="23"/>
      <c r="AG876" s="23"/>
      <c r="AH876" s="23"/>
      <c r="AI876" s="23"/>
      <c r="AJ876" s="23"/>
      <c r="AK876" s="23"/>
      <c r="AL876" s="23"/>
      <c r="AM876" s="23"/>
      <c r="AN876" s="23"/>
      <c r="AO876" s="23"/>
      <c r="AP876" s="23"/>
      <c r="AQ876" s="23"/>
      <c r="AR876" s="23"/>
      <c r="AS876" s="23"/>
      <c r="AT876" s="23"/>
      <c r="AU876" s="23"/>
      <c r="AV876" s="23"/>
      <c r="AW876" s="23"/>
      <c r="AX876" s="23"/>
    </row>
    <row r="877" spans="1:50" s="71" customFormat="1" ht="15" customHeight="1" x14ac:dyDescent="0.2">
      <c r="A877" s="70" t="s">
        <v>379</v>
      </c>
      <c r="B877" s="70" t="s">
        <v>380</v>
      </c>
      <c r="C877" s="71" t="s">
        <v>381</v>
      </c>
      <c r="D877" s="71" t="s">
        <v>31</v>
      </c>
      <c r="E877" s="71" t="s">
        <v>46</v>
      </c>
      <c r="F877" s="78" t="s">
        <v>782</v>
      </c>
      <c r="H877" s="71" t="s">
        <v>33</v>
      </c>
      <c r="I877" s="87"/>
      <c r="J877" s="72">
        <f>J876</f>
        <v>91.1</v>
      </c>
      <c r="K877" s="72"/>
      <c r="L877" s="72"/>
      <c r="M877" s="72"/>
      <c r="N877" s="72"/>
      <c r="O877" s="72"/>
      <c r="P877" s="72"/>
      <c r="Q877" s="72"/>
      <c r="R877" s="72">
        <f>R876</f>
        <v>11</v>
      </c>
      <c r="S877" s="72"/>
      <c r="T877" s="72"/>
      <c r="U877" s="72"/>
      <c r="V877" s="72"/>
      <c r="W877" s="72"/>
      <c r="X877" s="72"/>
      <c r="Y877" s="72"/>
      <c r="Z877" s="72"/>
      <c r="AA877" s="72"/>
      <c r="AB877" s="72"/>
      <c r="AC877" s="73"/>
      <c r="AD877" s="73"/>
      <c r="AE877" s="73"/>
      <c r="AF877" s="73"/>
      <c r="AG877" s="73"/>
      <c r="AH877" s="73"/>
      <c r="AI877" s="73"/>
      <c r="AJ877" s="73"/>
      <c r="AK877" s="73"/>
      <c r="AL877" s="73"/>
      <c r="AM877" s="73"/>
      <c r="AN877" s="73"/>
      <c r="AO877" s="73"/>
      <c r="AP877" s="73"/>
      <c r="AQ877" s="73"/>
      <c r="AR877" s="73"/>
      <c r="AS877" s="73"/>
      <c r="AT877" s="73"/>
      <c r="AU877" s="73"/>
      <c r="AV877" s="73"/>
      <c r="AW877" s="73"/>
      <c r="AX877" s="73"/>
    </row>
    <row r="878" spans="1:50" s="22" customFormat="1" ht="15" customHeight="1" x14ac:dyDescent="0.2">
      <c r="A878" s="21" t="s">
        <v>708</v>
      </c>
      <c r="B878" s="21" t="s">
        <v>203</v>
      </c>
      <c r="C878" s="22" t="s">
        <v>0</v>
      </c>
      <c r="D878" s="2"/>
      <c r="E878" s="2"/>
      <c r="H878" s="22" t="s">
        <v>33</v>
      </c>
      <c r="I878" s="65" t="s">
        <v>1021</v>
      </c>
      <c r="J878" s="4">
        <v>91.4</v>
      </c>
      <c r="K878" s="4">
        <v>1.6</v>
      </c>
      <c r="L878" s="4">
        <v>67</v>
      </c>
      <c r="M878" s="4">
        <v>2.4</v>
      </c>
      <c r="N878" s="4">
        <v>14</v>
      </c>
      <c r="O878" s="4">
        <v>0.87</v>
      </c>
      <c r="P878" s="4">
        <f>AK878</f>
        <v>0</v>
      </c>
      <c r="Q878" s="4"/>
      <c r="R878" s="4">
        <v>26</v>
      </c>
      <c r="S878" s="4">
        <v>0.72</v>
      </c>
      <c r="T878" s="4"/>
      <c r="U878" s="4"/>
      <c r="V878" s="4"/>
      <c r="W878" s="4"/>
      <c r="X878" s="4"/>
      <c r="Y878" s="4"/>
      <c r="Z878" s="4"/>
      <c r="AA878" s="4"/>
      <c r="AB878" s="4"/>
      <c r="AC878" s="23"/>
      <c r="AD878" s="23"/>
      <c r="AE878" s="23"/>
      <c r="AF878" s="23"/>
      <c r="AG878" s="23"/>
      <c r="AH878" s="23"/>
      <c r="AI878" s="23"/>
      <c r="AJ878" s="23"/>
      <c r="AK878" s="23"/>
      <c r="AL878" s="23"/>
      <c r="AM878" s="23"/>
      <c r="AN878" s="23"/>
      <c r="AO878" s="23"/>
      <c r="AP878" s="23"/>
      <c r="AQ878" s="23"/>
      <c r="AR878" s="23"/>
      <c r="AS878" s="23"/>
      <c r="AT878" s="23"/>
      <c r="AU878" s="23"/>
      <c r="AV878" s="23"/>
      <c r="AW878" s="23"/>
      <c r="AX878" s="23"/>
    </row>
    <row r="879" spans="1:50" s="22" customFormat="1" ht="15" customHeight="1" x14ac:dyDescent="0.2">
      <c r="A879" s="21" t="s">
        <v>708</v>
      </c>
      <c r="B879" s="21" t="s">
        <v>203</v>
      </c>
      <c r="C879" s="22" t="s">
        <v>0</v>
      </c>
      <c r="D879" s="2"/>
      <c r="E879" s="2"/>
      <c r="H879" s="22" t="s">
        <v>33</v>
      </c>
      <c r="I879" s="243" t="s">
        <v>1022</v>
      </c>
      <c r="J879" s="4">
        <v>84.6</v>
      </c>
      <c r="K879" s="4">
        <v>7.8</v>
      </c>
      <c r="L879" s="4">
        <v>110</v>
      </c>
      <c r="M879" s="4">
        <v>3.7</v>
      </c>
      <c r="N879" s="4">
        <v>42</v>
      </c>
      <c r="O879" s="4">
        <v>0.7</v>
      </c>
      <c r="P879" s="4" t="s">
        <v>0</v>
      </c>
      <c r="Q879" s="4">
        <v>170</v>
      </c>
      <c r="R879" s="4">
        <v>42</v>
      </c>
      <c r="S879" s="4">
        <v>4.2</v>
      </c>
      <c r="T879" s="4"/>
      <c r="U879" s="4"/>
      <c r="V879" s="4"/>
      <c r="W879" s="4"/>
      <c r="X879" s="4"/>
      <c r="Y879" s="4"/>
      <c r="Z879" s="4"/>
      <c r="AA879" s="4"/>
      <c r="AB879" s="4"/>
      <c r="AC879" s="23"/>
      <c r="AD879" s="23"/>
      <c r="AE879" s="23"/>
      <c r="AF879" s="23"/>
      <c r="AG879" s="23"/>
      <c r="AH879" s="23"/>
      <c r="AI879" s="23"/>
      <c r="AJ879" s="23"/>
      <c r="AK879" s="23"/>
      <c r="AL879" s="23"/>
      <c r="AM879" s="23"/>
      <c r="AN879" s="23"/>
      <c r="AO879" s="23"/>
      <c r="AP879" s="23"/>
      <c r="AQ879" s="23"/>
      <c r="AR879" s="23"/>
      <c r="AS879" s="23"/>
      <c r="AT879" s="23"/>
      <c r="AU879" s="23"/>
      <c r="AV879" s="23"/>
      <c r="AW879" s="23"/>
      <c r="AX879" s="23"/>
    </row>
    <row r="880" spans="1:50" s="71" customFormat="1" ht="15" customHeight="1" x14ac:dyDescent="0.2">
      <c r="A880" s="70" t="s">
        <v>708</v>
      </c>
      <c r="B880" s="70" t="s">
        <v>203</v>
      </c>
      <c r="C880" s="71" t="s">
        <v>709</v>
      </c>
      <c r="D880" s="71" t="s">
        <v>31</v>
      </c>
      <c r="E880" s="71" t="s">
        <v>46</v>
      </c>
      <c r="F880" s="78" t="s">
        <v>782</v>
      </c>
      <c r="H880" s="71" t="s">
        <v>33</v>
      </c>
      <c r="I880" s="87"/>
      <c r="J880" s="72">
        <f t="shared" ref="J880:S880" si="255">AVERAGE(J878:J879)</f>
        <v>88</v>
      </c>
      <c r="K880" s="72">
        <f t="shared" si="255"/>
        <v>4.7</v>
      </c>
      <c r="L880" s="72">
        <f t="shared" si="255"/>
        <v>88.5</v>
      </c>
      <c r="M880" s="72">
        <f t="shared" si="255"/>
        <v>3.05</v>
      </c>
      <c r="N880" s="72">
        <f t="shared" si="255"/>
        <v>28</v>
      </c>
      <c r="O880" s="72">
        <f t="shared" si="255"/>
        <v>0.78499999999999992</v>
      </c>
      <c r="P880" s="72">
        <f t="shared" si="255"/>
        <v>0</v>
      </c>
      <c r="Q880" s="72">
        <f t="shared" si="255"/>
        <v>170</v>
      </c>
      <c r="R880" s="72">
        <f t="shared" si="255"/>
        <v>34</v>
      </c>
      <c r="S880" s="72">
        <f t="shared" si="255"/>
        <v>2.46</v>
      </c>
      <c r="T880" s="72"/>
      <c r="U880" s="72"/>
      <c r="V880" s="72"/>
      <c r="W880" s="72"/>
      <c r="X880" s="72"/>
      <c r="Y880" s="72"/>
      <c r="Z880" s="72"/>
      <c r="AA880" s="72"/>
      <c r="AB880" s="72"/>
      <c r="AC880" s="73"/>
      <c r="AD880" s="73"/>
      <c r="AE880" s="73"/>
      <c r="AF880" s="73"/>
      <c r="AG880" s="73"/>
      <c r="AH880" s="73"/>
      <c r="AI880" s="73"/>
      <c r="AJ880" s="73"/>
      <c r="AK880" s="73"/>
      <c r="AL880" s="73"/>
      <c r="AM880" s="73"/>
      <c r="AN880" s="73"/>
      <c r="AO880" s="73"/>
      <c r="AP880" s="73"/>
      <c r="AQ880" s="73"/>
      <c r="AR880" s="73"/>
      <c r="AS880" s="73"/>
      <c r="AT880" s="73"/>
      <c r="AU880" s="73"/>
      <c r="AV880" s="73"/>
      <c r="AW880" s="73"/>
      <c r="AX880" s="73"/>
    </row>
    <row r="881" spans="1:50" ht="34" x14ac:dyDescent="0.2">
      <c r="A881" s="24" t="s">
        <v>382</v>
      </c>
      <c r="B881" s="24" t="s">
        <v>383</v>
      </c>
      <c r="H881" s="2" t="s">
        <v>27</v>
      </c>
      <c r="I881" s="243" t="s">
        <v>1009</v>
      </c>
      <c r="K881" s="3">
        <v>1.1599999999999999</v>
      </c>
      <c r="L881" s="3">
        <v>35</v>
      </c>
      <c r="M881" s="3">
        <v>1.18</v>
      </c>
      <c r="O881" s="3">
        <v>0.25</v>
      </c>
      <c r="P881" s="4">
        <f t="shared" ref="P881:P885" si="256">AN881</f>
        <v>0</v>
      </c>
      <c r="Q881" s="3">
        <v>31</v>
      </c>
      <c r="R881" s="3">
        <v>15</v>
      </c>
      <c r="S881" s="3">
        <v>0.2</v>
      </c>
      <c r="AN881" s="23"/>
    </row>
    <row r="882" spans="1:50" ht="34" x14ac:dyDescent="0.2">
      <c r="A882" s="24" t="s">
        <v>382</v>
      </c>
      <c r="B882" s="24" t="s">
        <v>383</v>
      </c>
      <c r="H882" s="2" t="s">
        <v>27</v>
      </c>
      <c r="I882" s="243" t="s">
        <v>1009</v>
      </c>
      <c r="K882" s="3">
        <v>2.9</v>
      </c>
      <c r="L882" s="3">
        <v>89</v>
      </c>
      <c r="M882" s="3">
        <v>1.1299999999999999</v>
      </c>
      <c r="O882" s="3">
        <v>0.82</v>
      </c>
      <c r="P882" s="4">
        <f t="shared" si="256"/>
        <v>0</v>
      </c>
      <c r="Q882" s="3">
        <v>31</v>
      </c>
      <c r="R882" s="3">
        <v>14</v>
      </c>
      <c r="S882" s="3">
        <v>0.19</v>
      </c>
      <c r="AN882" s="23"/>
    </row>
    <row r="883" spans="1:50" ht="34" x14ac:dyDescent="0.2">
      <c r="A883" s="24" t="s">
        <v>382</v>
      </c>
      <c r="B883" s="24" t="s">
        <v>383</v>
      </c>
      <c r="H883" s="2" t="s">
        <v>27</v>
      </c>
      <c r="I883" s="243" t="s">
        <v>1005</v>
      </c>
      <c r="J883" s="3">
        <v>87</v>
      </c>
      <c r="K883" s="3">
        <v>1.5</v>
      </c>
      <c r="L883" s="3">
        <v>0.6</v>
      </c>
      <c r="M883" s="3">
        <v>5.4</v>
      </c>
      <c r="N883" s="36"/>
      <c r="P883" s="4">
        <f t="shared" si="256"/>
        <v>0</v>
      </c>
      <c r="Q883" s="3">
        <v>62</v>
      </c>
      <c r="R883" s="3">
        <v>11</v>
      </c>
      <c r="X883" s="36"/>
      <c r="AN883" s="23"/>
    </row>
    <row r="884" spans="1:50" ht="34" x14ac:dyDescent="0.2">
      <c r="A884" s="24" t="s">
        <v>382</v>
      </c>
      <c r="B884" s="24" t="s">
        <v>383</v>
      </c>
      <c r="H884" s="2" t="s">
        <v>27</v>
      </c>
      <c r="I884" s="243" t="s">
        <v>1010</v>
      </c>
      <c r="J884" s="3">
        <v>87</v>
      </c>
      <c r="K884" s="3">
        <v>1.5</v>
      </c>
      <c r="L884" s="3">
        <v>130</v>
      </c>
      <c r="M884" s="3">
        <v>1.2</v>
      </c>
      <c r="N884" s="36">
        <v>37</v>
      </c>
      <c r="P884" s="4">
        <f t="shared" si="256"/>
        <v>0</v>
      </c>
      <c r="R884" s="3">
        <v>11</v>
      </c>
      <c r="X884" s="36"/>
      <c r="AI884" s="23"/>
      <c r="AN884" s="23"/>
    </row>
    <row r="885" spans="1:50" ht="34" x14ac:dyDescent="0.2">
      <c r="A885" s="24" t="s">
        <v>382</v>
      </c>
      <c r="B885" s="24" t="s">
        <v>383</v>
      </c>
      <c r="H885" s="2" t="s">
        <v>27</v>
      </c>
      <c r="I885" s="243" t="s">
        <v>1009</v>
      </c>
      <c r="K885" s="3">
        <v>1.22</v>
      </c>
      <c r="L885" s="3">
        <v>25</v>
      </c>
      <c r="M885" s="3">
        <v>0.69</v>
      </c>
      <c r="P885" s="4">
        <f t="shared" si="256"/>
        <v>0</v>
      </c>
      <c r="R885" s="3">
        <v>31</v>
      </c>
      <c r="S885" s="3">
        <v>0.06</v>
      </c>
      <c r="AN885" s="23"/>
    </row>
    <row r="886" spans="1:50" ht="34" x14ac:dyDescent="0.2">
      <c r="A886" s="24" t="s">
        <v>382</v>
      </c>
      <c r="B886" s="24" t="s">
        <v>383</v>
      </c>
      <c r="H886" s="2" t="s">
        <v>27</v>
      </c>
      <c r="I886" s="243" t="s">
        <v>1009</v>
      </c>
      <c r="K886" s="3">
        <v>1.44</v>
      </c>
      <c r="L886" s="3">
        <v>45</v>
      </c>
      <c r="M886" s="3">
        <v>0.48</v>
      </c>
      <c r="O886" s="3">
        <v>0.99</v>
      </c>
      <c r="P886" s="4" t="s">
        <v>0</v>
      </c>
      <c r="R886" s="3">
        <v>22</v>
      </c>
    </row>
    <row r="887" spans="1:50" s="71" customFormat="1" x14ac:dyDescent="0.2">
      <c r="A887" s="70" t="s">
        <v>382</v>
      </c>
      <c r="B887" s="70" t="s">
        <v>383</v>
      </c>
      <c r="C887" s="71" t="s">
        <v>384</v>
      </c>
      <c r="D887" s="71" t="s">
        <v>25</v>
      </c>
      <c r="E887" s="71" t="s">
        <v>42</v>
      </c>
      <c r="F887" s="71" t="s">
        <v>784</v>
      </c>
      <c r="H887" s="71" t="s">
        <v>27</v>
      </c>
      <c r="I887" s="87"/>
      <c r="J887" s="72">
        <f t="shared" ref="J887" si="257">AVERAGE(J881:J886)</f>
        <v>87</v>
      </c>
      <c r="K887" s="72">
        <f t="shared" ref="K887:S887" si="258">AVERAGE(K881:K886)</f>
        <v>1.6199999999999999</v>
      </c>
      <c r="L887" s="72">
        <f t="shared" si="258"/>
        <v>54.1</v>
      </c>
      <c r="M887" s="72">
        <f t="shared" si="258"/>
        <v>1.68</v>
      </c>
      <c r="N887" s="72">
        <f t="shared" si="258"/>
        <v>37</v>
      </c>
      <c r="O887" s="72">
        <f t="shared" si="258"/>
        <v>0.68666666666666654</v>
      </c>
      <c r="P887" s="72">
        <f t="shared" si="258"/>
        <v>0</v>
      </c>
      <c r="Q887" s="72">
        <f t="shared" si="258"/>
        <v>41.333333333333336</v>
      </c>
      <c r="R887" s="72">
        <f t="shared" si="258"/>
        <v>17.333333333333332</v>
      </c>
      <c r="S887" s="72">
        <f t="shared" si="258"/>
        <v>0.15</v>
      </c>
      <c r="T887" s="72"/>
      <c r="U887" s="72"/>
      <c r="V887" s="72"/>
      <c r="W887" s="72"/>
      <c r="X887" s="72"/>
      <c r="Y887" s="72"/>
      <c r="Z887" s="72"/>
      <c r="AA887" s="72"/>
      <c r="AB887" s="72"/>
      <c r="AC887" s="73"/>
      <c r="AD887" s="73"/>
      <c r="AE887" s="73"/>
      <c r="AF887" s="73"/>
      <c r="AG887" s="73"/>
      <c r="AH887" s="73"/>
      <c r="AI887" s="73"/>
      <c r="AJ887" s="73"/>
      <c r="AK887" s="73"/>
      <c r="AL887" s="73"/>
      <c r="AM887" s="73"/>
      <c r="AN887" s="73"/>
      <c r="AO887" s="73"/>
      <c r="AP887" s="73"/>
      <c r="AQ887" s="73"/>
      <c r="AR887" s="73"/>
      <c r="AS887" s="73"/>
      <c r="AT887" s="73"/>
      <c r="AU887" s="73"/>
      <c r="AV887" s="73"/>
      <c r="AW887" s="73"/>
      <c r="AX887" s="73"/>
    </row>
    <row r="888" spans="1:50" ht="17" x14ac:dyDescent="0.2">
      <c r="A888" s="24" t="s">
        <v>382</v>
      </c>
      <c r="B888" s="24" t="s">
        <v>383</v>
      </c>
      <c r="C888" s="32" t="s">
        <v>0</v>
      </c>
      <c r="H888" s="2" t="s">
        <v>37</v>
      </c>
      <c r="I888" s="243" t="s">
        <v>1007</v>
      </c>
      <c r="J888" s="3">
        <v>87.87</v>
      </c>
      <c r="K888" s="3">
        <v>3.3</v>
      </c>
      <c r="L888" s="3">
        <v>50</v>
      </c>
      <c r="M888" s="3">
        <v>0.74</v>
      </c>
      <c r="N888" s="3">
        <v>40</v>
      </c>
      <c r="O888" s="3">
        <v>0.37</v>
      </c>
      <c r="P888" s="4">
        <f t="shared" ref="P888:P889" si="259">AN888</f>
        <v>0</v>
      </c>
      <c r="Q888" s="3">
        <v>62</v>
      </c>
      <c r="R888" s="3">
        <v>12.9</v>
      </c>
      <c r="S888" s="3">
        <v>0.51</v>
      </c>
      <c r="AI888" s="23"/>
      <c r="AN888" s="23"/>
    </row>
    <row r="889" spans="1:50" ht="34" x14ac:dyDescent="0.2">
      <c r="A889" s="24" t="s">
        <v>382</v>
      </c>
      <c r="B889" s="24" t="s">
        <v>383</v>
      </c>
      <c r="H889" s="2" t="s">
        <v>37</v>
      </c>
      <c r="I889" s="243" t="s">
        <v>1005</v>
      </c>
      <c r="J889" s="3">
        <v>87.9</v>
      </c>
      <c r="L889" s="3">
        <v>50</v>
      </c>
      <c r="M889" s="3">
        <v>1.2</v>
      </c>
      <c r="P889" s="4">
        <f t="shared" si="259"/>
        <v>0</v>
      </c>
      <c r="AI889" s="23"/>
      <c r="AN889" s="23"/>
    </row>
    <row r="890" spans="1:50" s="71" customFormat="1" ht="15" customHeight="1" x14ac:dyDescent="0.2">
      <c r="A890" s="70" t="s">
        <v>382</v>
      </c>
      <c r="B890" s="70" t="s">
        <v>383</v>
      </c>
      <c r="C890" s="71" t="s">
        <v>384</v>
      </c>
      <c r="D890" s="71" t="s">
        <v>25</v>
      </c>
      <c r="E890" s="71" t="s">
        <v>42</v>
      </c>
      <c r="F890" s="71" t="s">
        <v>784</v>
      </c>
      <c r="H890" s="71" t="s">
        <v>37</v>
      </c>
      <c r="I890" s="87"/>
      <c r="J890" s="72">
        <f t="shared" ref="J890" si="260">AVERAGE(J888:J889)</f>
        <v>87.885000000000005</v>
      </c>
      <c r="K890" s="72">
        <f t="shared" ref="K890:S890" si="261">AVERAGE(K888:K889)</f>
        <v>3.3</v>
      </c>
      <c r="L890" s="72">
        <f t="shared" si="261"/>
        <v>50</v>
      </c>
      <c r="M890" s="72">
        <f t="shared" si="261"/>
        <v>0.97</v>
      </c>
      <c r="N890" s="72">
        <f t="shared" si="261"/>
        <v>40</v>
      </c>
      <c r="O890" s="72">
        <f t="shared" si="261"/>
        <v>0.37</v>
      </c>
      <c r="P890" s="72">
        <f t="shared" si="261"/>
        <v>0</v>
      </c>
      <c r="Q890" s="72">
        <f t="shared" si="261"/>
        <v>62</v>
      </c>
      <c r="R890" s="72">
        <f t="shared" si="261"/>
        <v>12.9</v>
      </c>
      <c r="S890" s="72">
        <f t="shared" si="261"/>
        <v>0.51</v>
      </c>
      <c r="T890" s="72"/>
      <c r="U890" s="72"/>
      <c r="V890" s="72"/>
      <c r="W890" s="72"/>
      <c r="X890" s="72"/>
      <c r="Y890" s="72"/>
      <c r="Z890" s="72"/>
      <c r="AA890" s="72"/>
      <c r="AB890" s="72"/>
      <c r="AC890" s="73"/>
      <c r="AD890" s="73"/>
      <c r="AE890" s="73"/>
      <c r="AF890" s="73"/>
      <c r="AG890" s="73"/>
      <c r="AH890" s="73"/>
      <c r="AI890" s="73"/>
      <c r="AJ890" s="73"/>
      <c r="AK890" s="73"/>
      <c r="AL890" s="73"/>
      <c r="AM890" s="73"/>
      <c r="AN890" s="73"/>
      <c r="AO890" s="73"/>
      <c r="AP890" s="73"/>
      <c r="AQ890" s="73"/>
      <c r="AR890" s="73"/>
      <c r="AS890" s="73"/>
      <c r="AT890" s="73"/>
      <c r="AU890" s="73"/>
      <c r="AV890" s="73"/>
      <c r="AW890" s="73"/>
      <c r="AX890" s="73"/>
    </row>
    <row r="891" spans="1:50" s="22" customFormat="1" ht="15" customHeight="1" x14ac:dyDescent="0.2">
      <c r="A891" s="21" t="s">
        <v>385</v>
      </c>
      <c r="B891" s="21" t="s">
        <v>203</v>
      </c>
      <c r="C891" s="22" t="s">
        <v>0</v>
      </c>
      <c r="D891" s="2"/>
      <c r="E891" s="2"/>
      <c r="H891" s="22" t="s">
        <v>33</v>
      </c>
      <c r="I891" s="65" t="s">
        <v>1009</v>
      </c>
      <c r="J891" s="4"/>
      <c r="K891" s="4">
        <v>1.1399999999999999</v>
      </c>
      <c r="L891" s="4">
        <v>94</v>
      </c>
      <c r="M891" s="4">
        <v>0.99</v>
      </c>
      <c r="N891" s="4"/>
      <c r="O891" s="4">
        <v>0.22</v>
      </c>
      <c r="P891" s="4">
        <f t="shared" ref="P891" si="262">AN891</f>
        <v>0</v>
      </c>
      <c r="Q891" s="4"/>
      <c r="R891" s="4">
        <v>24</v>
      </c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23"/>
      <c r="AD891" s="23"/>
      <c r="AE891" s="23"/>
      <c r="AF891" s="23"/>
      <c r="AG891" s="5"/>
      <c r="AH891" s="23"/>
      <c r="AI891" s="23"/>
      <c r="AJ891" s="23"/>
      <c r="AK891" s="23"/>
      <c r="AL891" s="23"/>
      <c r="AM891" s="23"/>
      <c r="AN891" s="23"/>
      <c r="AO891" s="23"/>
      <c r="AP891" s="23"/>
      <c r="AQ891" s="23"/>
      <c r="AR891" s="23"/>
      <c r="AS891" s="23"/>
      <c r="AT891" s="23"/>
      <c r="AU891" s="23"/>
      <c r="AV891" s="23"/>
      <c r="AW891" s="23"/>
      <c r="AX891" s="23"/>
    </row>
    <row r="892" spans="1:50" s="71" customFormat="1" ht="15" customHeight="1" x14ac:dyDescent="0.2">
      <c r="A892" s="70" t="s">
        <v>385</v>
      </c>
      <c r="B892" s="70" t="s">
        <v>203</v>
      </c>
      <c r="C892" s="71" t="s">
        <v>386</v>
      </c>
      <c r="D892" s="71" t="s">
        <v>56</v>
      </c>
      <c r="E892" s="71" t="s">
        <v>46</v>
      </c>
      <c r="F892" s="78" t="s">
        <v>782</v>
      </c>
      <c r="H892" s="71" t="s">
        <v>33</v>
      </c>
      <c r="I892" s="87"/>
      <c r="J892" s="72"/>
      <c r="K892" s="72">
        <f>K891</f>
        <v>1.1399999999999999</v>
      </c>
      <c r="L892" s="72">
        <f>L891</f>
        <v>94</v>
      </c>
      <c r="M892" s="72">
        <f>M891</f>
        <v>0.99</v>
      </c>
      <c r="N892" s="72"/>
      <c r="O892" s="72">
        <f>O891</f>
        <v>0.22</v>
      </c>
      <c r="P892" s="72">
        <f>P891</f>
        <v>0</v>
      </c>
      <c r="Q892" s="72"/>
      <c r="R892" s="72">
        <f>R891</f>
        <v>24</v>
      </c>
      <c r="S892" s="72"/>
      <c r="T892" s="72"/>
      <c r="U892" s="72"/>
      <c r="V892" s="72"/>
      <c r="W892" s="72"/>
      <c r="X892" s="72"/>
      <c r="Y892" s="72"/>
      <c r="Z892" s="72"/>
      <c r="AA892" s="72"/>
      <c r="AB892" s="72"/>
      <c r="AC892" s="73"/>
      <c r="AD892" s="73"/>
      <c r="AE892" s="73"/>
      <c r="AF892" s="73"/>
      <c r="AG892" s="73"/>
      <c r="AH892" s="73"/>
      <c r="AI892" s="73"/>
      <c r="AJ892" s="73"/>
      <c r="AK892" s="73"/>
      <c r="AL892" s="73"/>
      <c r="AM892" s="73"/>
      <c r="AN892" s="73"/>
      <c r="AO892" s="73"/>
      <c r="AP892" s="73"/>
      <c r="AQ892" s="73"/>
      <c r="AR892" s="73"/>
      <c r="AS892" s="73"/>
      <c r="AT892" s="73"/>
      <c r="AU892" s="73"/>
      <c r="AV892" s="73"/>
      <c r="AW892" s="73"/>
      <c r="AX892" s="73"/>
    </row>
    <row r="893" spans="1:50" ht="17" x14ac:dyDescent="0.2">
      <c r="A893" s="24" t="s">
        <v>385</v>
      </c>
      <c r="B893" s="24" t="s">
        <v>331</v>
      </c>
      <c r="C893" s="52" t="s">
        <v>0</v>
      </c>
      <c r="H893" s="2" t="s">
        <v>33</v>
      </c>
      <c r="I893" s="243" t="s">
        <v>1007</v>
      </c>
      <c r="J893" s="3">
        <v>95.64</v>
      </c>
      <c r="K893" s="3">
        <v>1.2</v>
      </c>
      <c r="L893" s="3">
        <v>18</v>
      </c>
      <c r="M893" s="3">
        <v>0.41</v>
      </c>
      <c r="N893" s="3">
        <v>7</v>
      </c>
      <c r="O893" s="3">
        <v>0.15</v>
      </c>
      <c r="P893" s="4">
        <f t="shared" ref="P893:P907" si="263">AN893</f>
        <v>0</v>
      </c>
      <c r="Q893" s="3">
        <v>29</v>
      </c>
      <c r="R893" s="3">
        <v>2.8</v>
      </c>
      <c r="S893" s="3">
        <v>0.18</v>
      </c>
      <c r="AI893" s="23"/>
      <c r="AN893" s="23"/>
    </row>
    <row r="894" spans="1:50" ht="17" x14ac:dyDescent="0.2">
      <c r="A894" s="24" t="s">
        <v>385</v>
      </c>
      <c r="B894" s="24" t="s">
        <v>331</v>
      </c>
      <c r="C894" s="52" t="s">
        <v>0</v>
      </c>
      <c r="H894" s="2" t="s">
        <v>33</v>
      </c>
      <c r="I894" s="243" t="s">
        <v>1007</v>
      </c>
      <c r="J894" s="3">
        <v>95.64</v>
      </c>
      <c r="K894" s="3">
        <v>0.9</v>
      </c>
      <c r="L894" s="3">
        <v>33</v>
      </c>
      <c r="M894" s="3">
        <v>1.2</v>
      </c>
      <c r="N894" s="3">
        <v>12</v>
      </c>
      <c r="O894" s="3">
        <v>0.2</v>
      </c>
      <c r="P894" s="4">
        <f t="shared" si="263"/>
        <v>0</v>
      </c>
      <c r="Q894" s="3">
        <v>36</v>
      </c>
      <c r="R894" s="3">
        <v>3.7</v>
      </c>
      <c r="S894" s="3">
        <v>0.15</v>
      </c>
      <c r="AI894" s="23"/>
      <c r="AN894" s="23"/>
    </row>
    <row r="895" spans="1:50" ht="17" x14ac:dyDescent="0.2">
      <c r="A895" s="24" t="s">
        <v>385</v>
      </c>
      <c r="B895" s="24" t="s">
        <v>331</v>
      </c>
      <c r="C895" s="52" t="s">
        <v>0</v>
      </c>
      <c r="H895" s="2" t="s">
        <v>33</v>
      </c>
      <c r="I895" s="243" t="s">
        <v>1007</v>
      </c>
      <c r="J895" s="3">
        <v>94.98</v>
      </c>
      <c r="K895" s="3">
        <v>1.3</v>
      </c>
      <c r="L895" s="3">
        <v>36</v>
      </c>
      <c r="M895" s="3">
        <v>0.86</v>
      </c>
      <c r="N895" s="3">
        <v>13</v>
      </c>
      <c r="O895" s="3">
        <v>0.18</v>
      </c>
      <c r="P895" s="4">
        <f t="shared" si="263"/>
        <v>0</v>
      </c>
      <c r="Q895" s="3">
        <v>38</v>
      </c>
      <c r="R895" s="3">
        <v>9.1999999999999993</v>
      </c>
      <c r="S895" s="3">
        <v>0.22</v>
      </c>
      <c r="AI895" s="23"/>
      <c r="AN895" s="23"/>
    </row>
    <row r="896" spans="1:50" ht="17" x14ac:dyDescent="0.2">
      <c r="A896" s="34" t="s">
        <v>385</v>
      </c>
      <c r="B896" s="34" t="s">
        <v>331</v>
      </c>
      <c r="C896" s="35" t="s">
        <v>181</v>
      </c>
      <c r="H896" s="2" t="s">
        <v>33</v>
      </c>
      <c r="I896" s="245" t="s">
        <v>1007</v>
      </c>
      <c r="J896" s="36">
        <v>95.6</v>
      </c>
      <c r="K896" s="36">
        <v>1.1000000000000001</v>
      </c>
      <c r="L896" s="36">
        <v>35</v>
      </c>
      <c r="M896" s="3">
        <v>1.24</v>
      </c>
      <c r="N896" s="3">
        <v>13</v>
      </c>
      <c r="O896" s="3">
        <v>0.2</v>
      </c>
      <c r="P896" s="4">
        <f t="shared" si="263"/>
        <v>0</v>
      </c>
      <c r="Q896" s="3">
        <v>73</v>
      </c>
      <c r="R896" s="36">
        <v>3.7</v>
      </c>
      <c r="S896" s="3">
        <v>0.18</v>
      </c>
      <c r="T896" s="36"/>
      <c r="U896" s="36"/>
      <c r="V896" s="36"/>
      <c r="Z896" s="36"/>
      <c r="AA896" s="36"/>
      <c r="AB896" s="36"/>
      <c r="AI896" s="23"/>
      <c r="AN896" s="23"/>
    </row>
    <row r="897" spans="1:50" ht="17" x14ac:dyDescent="0.2">
      <c r="A897" s="24" t="s">
        <v>385</v>
      </c>
      <c r="B897" s="24" t="s">
        <v>331</v>
      </c>
      <c r="C897" s="32" t="s">
        <v>0</v>
      </c>
      <c r="H897" s="2" t="s">
        <v>33</v>
      </c>
      <c r="I897" s="243" t="s">
        <v>1007</v>
      </c>
      <c r="J897" s="3">
        <v>94.61</v>
      </c>
      <c r="K897" s="3">
        <v>2.1</v>
      </c>
      <c r="L897" s="3">
        <v>33</v>
      </c>
      <c r="M897" s="3">
        <v>0.97</v>
      </c>
      <c r="N897" s="3">
        <v>14</v>
      </c>
      <c r="O897" s="3">
        <v>0.23</v>
      </c>
      <c r="P897" s="4">
        <f t="shared" si="263"/>
        <v>0</v>
      </c>
      <c r="Q897" s="3">
        <v>136</v>
      </c>
      <c r="R897" s="3">
        <v>4</v>
      </c>
      <c r="S897" s="3">
        <v>0.13</v>
      </c>
      <c r="AI897" s="23"/>
      <c r="AN897" s="23"/>
    </row>
    <row r="898" spans="1:50" ht="34" x14ac:dyDescent="0.2">
      <c r="A898" s="24" t="s">
        <v>385</v>
      </c>
      <c r="B898" s="24" t="s">
        <v>331</v>
      </c>
      <c r="H898" s="2" t="s">
        <v>33</v>
      </c>
      <c r="I898" s="243" t="s">
        <v>1009</v>
      </c>
      <c r="K898" s="3">
        <v>0.63</v>
      </c>
      <c r="L898" s="3">
        <v>43</v>
      </c>
      <c r="M898" s="3">
        <v>2.4500000000000002</v>
      </c>
      <c r="O898" s="3">
        <v>0.19</v>
      </c>
      <c r="P898" s="4">
        <f t="shared" si="263"/>
        <v>0</v>
      </c>
      <c r="R898" s="3">
        <v>15</v>
      </c>
      <c r="S898" s="3">
        <v>0.12</v>
      </c>
      <c r="AN898" s="23"/>
    </row>
    <row r="899" spans="1:50" ht="34" x14ac:dyDescent="0.2">
      <c r="A899" s="24" t="s">
        <v>385</v>
      </c>
      <c r="B899" s="24" t="s">
        <v>331</v>
      </c>
      <c r="H899" s="2" t="s">
        <v>33</v>
      </c>
      <c r="I899" s="243" t="s">
        <v>1010</v>
      </c>
      <c r="J899" s="3">
        <v>95.5</v>
      </c>
      <c r="K899" s="3">
        <v>0.5</v>
      </c>
      <c r="L899" s="3">
        <v>35</v>
      </c>
      <c r="M899" s="3">
        <v>1.8</v>
      </c>
      <c r="N899" s="3">
        <v>11</v>
      </c>
      <c r="P899" s="4">
        <f t="shared" si="263"/>
        <v>0</v>
      </c>
      <c r="R899" s="3">
        <v>8</v>
      </c>
      <c r="AI899" s="23"/>
      <c r="AN899" s="23"/>
    </row>
    <row r="900" spans="1:50" ht="34" x14ac:dyDescent="0.2">
      <c r="A900" s="31" t="s">
        <v>385</v>
      </c>
      <c r="B900" s="31" t="s">
        <v>331</v>
      </c>
      <c r="H900" s="2" t="s">
        <v>33</v>
      </c>
      <c r="I900" s="243" t="s">
        <v>1009</v>
      </c>
      <c r="K900" s="3">
        <v>0.48</v>
      </c>
      <c r="L900" s="3">
        <v>47</v>
      </c>
      <c r="M900" s="3">
        <v>1.51</v>
      </c>
      <c r="O900" s="3">
        <v>0.19</v>
      </c>
      <c r="P900" s="4">
        <f t="shared" si="263"/>
        <v>0</v>
      </c>
      <c r="R900" s="3">
        <v>22</v>
      </c>
      <c r="S900" s="3">
        <v>1.1299999999999999</v>
      </c>
      <c r="AN900" s="23"/>
    </row>
    <row r="901" spans="1:50" ht="34" x14ac:dyDescent="0.2">
      <c r="A901" s="24" t="s">
        <v>385</v>
      </c>
      <c r="B901" s="24" t="s">
        <v>331</v>
      </c>
      <c r="H901" s="2" t="s">
        <v>33</v>
      </c>
      <c r="I901" s="243" t="s">
        <v>1010</v>
      </c>
      <c r="J901" s="3">
        <v>95</v>
      </c>
      <c r="K901" s="3">
        <v>0.51</v>
      </c>
      <c r="L901" s="3">
        <v>22</v>
      </c>
      <c r="M901" s="3">
        <v>1.5</v>
      </c>
      <c r="N901" s="3">
        <v>11</v>
      </c>
      <c r="P901" s="4">
        <f t="shared" si="263"/>
        <v>0</v>
      </c>
      <c r="R901" s="3">
        <v>7</v>
      </c>
      <c r="AI901" s="23"/>
      <c r="AN901" s="23"/>
    </row>
    <row r="902" spans="1:50" ht="34" x14ac:dyDescent="0.2">
      <c r="A902" s="24" t="s">
        <v>385</v>
      </c>
      <c r="B902" s="24" t="s">
        <v>331</v>
      </c>
      <c r="H902" s="2" t="s">
        <v>33</v>
      </c>
      <c r="I902" s="243" t="s">
        <v>1010</v>
      </c>
      <c r="J902" s="3">
        <v>94</v>
      </c>
      <c r="K902" s="3">
        <v>0.7</v>
      </c>
      <c r="L902" s="3">
        <v>68</v>
      </c>
      <c r="M902" s="3">
        <v>1.4</v>
      </c>
      <c r="N902" s="3">
        <v>11</v>
      </c>
      <c r="P902" s="4">
        <f t="shared" si="263"/>
        <v>0</v>
      </c>
      <c r="R902" s="3">
        <v>18</v>
      </c>
      <c r="AI902" s="23"/>
      <c r="AN902" s="23"/>
    </row>
    <row r="903" spans="1:50" ht="34" x14ac:dyDescent="0.2">
      <c r="A903" s="24" t="s">
        <v>385</v>
      </c>
      <c r="B903" s="24" t="s">
        <v>331</v>
      </c>
      <c r="H903" s="2" t="s">
        <v>33</v>
      </c>
      <c r="I903" s="243" t="s">
        <v>1010</v>
      </c>
      <c r="J903" s="3">
        <v>94.9</v>
      </c>
      <c r="K903" s="3">
        <v>0.7</v>
      </c>
      <c r="L903" s="3">
        <v>44</v>
      </c>
      <c r="M903" s="3">
        <v>1.3</v>
      </c>
      <c r="N903" s="3">
        <v>9</v>
      </c>
      <c r="P903" s="4">
        <f t="shared" si="263"/>
        <v>0</v>
      </c>
      <c r="R903" s="3">
        <v>22</v>
      </c>
      <c r="AI903" s="23"/>
      <c r="AN903" s="23"/>
    </row>
    <row r="904" spans="1:50" ht="34" x14ac:dyDescent="0.2">
      <c r="A904" s="24" t="s">
        <v>385</v>
      </c>
      <c r="B904" s="24" t="s">
        <v>331</v>
      </c>
      <c r="H904" s="2" t="s">
        <v>33</v>
      </c>
      <c r="I904" s="243" t="s">
        <v>1009</v>
      </c>
      <c r="K904" s="3">
        <v>0.41</v>
      </c>
      <c r="L904" s="3">
        <v>43</v>
      </c>
      <c r="M904" s="3">
        <v>0.99</v>
      </c>
      <c r="O904" s="3">
        <v>0.17</v>
      </c>
      <c r="P904" s="4">
        <f t="shared" si="263"/>
        <v>0</v>
      </c>
      <c r="R904" s="3">
        <v>13</v>
      </c>
      <c r="S904" s="3">
        <v>0.68</v>
      </c>
      <c r="AN904" s="23"/>
    </row>
    <row r="905" spans="1:50" ht="34" x14ac:dyDescent="0.2">
      <c r="A905" s="31" t="s">
        <v>385</v>
      </c>
      <c r="B905" s="31" t="s">
        <v>331</v>
      </c>
      <c r="H905" s="2" t="s">
        <v>33</v>
      </c>
      <c r="I905" s="243" t="s">
        <v>1009</v>
      </c>
      <c r="K905" s="3">
        <v>0.44</v>
      </c>
      <c r="L905" s="3">
        <v>44</v>
      </c>
      <c r="M905" s="3">
        <v>0.91</v>
      </c>
      <c r="O905" s="3">
        <v>0.21</v>
      </c>
      <c r="P905" s="4">
        <f t="shared" si="263"/>
        <v>0</v>
      </c>
      <c r="R905" s="3">
        <v>8</v>
      </c>
      <c r="S905" s="3">
        <v>0.69</v>
      </c>
      <c r="AN905" s="23"/>
    </row>
    <row r="906" spans="1:50" ht="34" x14ac:dyDescent="0.2">
      <c r="A906" s="31" t="s">
        <v>385</v>
      </c>
      <c r="B906" s="31" t="s">
        <v>331</v>
      </c>
      <c r="H906" s="2" t="s">
        <v>33</v>
      </c>
      <c r="I906" s="243" t="s">
        <v>1009</v>
      </c>
      <c r="K906" s="3">
        <v>0.36</v>
      </c>
      <c r="L906" s="3">
        <v>21</v>
      </c>
      <c r="M906" s="3">
        <v>0.66</v>
      </c>
      <c r="O906" s="3">
        <v>0.12</v>
      </c>
      <c r="P906" s="4">
        <f t="shared" si="263"/>
        <v>0</v>
      </c>
      <c r="R906" s="3">
        <v>4</v>
      </c>
      <c r="S906" s="3">
        <v>0.28000000000000003</v>
      </c>
      <c r="AN906" s="23"/>
    </row>
    <row r="907" spans="1:50" ht="34" x14ac:dyDescent="0.2">
      <c r="A907" s="34" t="s">
        <v>385</v>
      </c>
      <c r="B907" s="34" t="s">
        <v>331</v>
      </c>
      <c r="H907" s="2" t="s">
        <v>33</v>
      </c>
      <c r="I907" s="243" t="s">
        <v>1010</v>
      </c>
      <c r="J907" s="3">
        <v>94.5</v>
      </c>
      <c r="K907" s="3">
        <v>0.4</v>
      </c>
      <c r="L907" s="3">
        <v>39</v>
      </c>
      <c r="M907" s="36">
        <v>0.6</v>
      </c>
      <c r="N907" s="3">
        <v>28</v>
      </c>
      <c r="P907" s="4">
        <f t="shared" si="263"/>
        <v>0</v>
      </c>
      <c r="R907" s="3">
        <v>6</v>
      </c>
      <c r="W907" s="36"/>
      <c r="AI907" s="23"/>
      <c r="AN907" s="23"/>
    </row>
    <row r="908" spans="1:50" ht="34" x14ac:dyDescent="0.2">
      <c r="A908" s="31" t="s">
        <v>385</v>
      </c>
      <c r="B908" s="31" t="s">
        <v>331</v>
      </c>
      <c r="H908" s="2" t="s">
        <v>33</v>
      </c>
      <c r="I908" s="243" t="s">
        <v>1009</v>
      </c>
      <c r="K908" s="3">
        <v>0.39</v>
      </c>
      <c r="L908" s="3">
        <v>94</v>
      </c>
      <c r="M908" s="3">
        <v>0.51</v>
      </c>
      <c r="O908" s="3">
        <v>0.19</v>
      </c>
      <c r="P908" s="4" t="s">
        <v>0</v>
      </c>
      <c r="R908" s="3">
        <v>6</v>
      </c>
      <c r="S908" s="3">
        <v>0.49</v>
      </c>
    </row>
    <row r="909" spans="1:50" ht="34" x14ac:dyDescent="0.2">
      <c r="A909" s="24" t="s">
        <v>385</v>
      </c>
      <c r="B909" s="24" t="s">
        <v>331</v>
      </c>
      <c r="H909" s="2" t="s">
        <v>33</v>
      </c>
      <c r="I909" s="243" t="s">
        <v>1009</v>
      </c>
      <c r="K909" s="3">
        <v>0.4</v>
      </c>
      <c r="L909" s="3">
        <v>28</v>
      </c>
      <c r="M909" s="3">
        <v>0.49</v>
      </c>
      <c r="O909" s="3">
        <v>0.15</v>
      </c>
      <c r="P909" s="4" t="s">
        <v>0</v>
      </c>
      <c r="R909" s="3">
        <v>5</v>
      </c>
      <c r="S909" s="3">
        <v>0.18</v>
      </c>
    </row>
    <row r="910" spans="1:50" ht="34" x14ac:dyDescent="0.2">
      <c r="A910" s="31" t="s">
        <v>385</v>
      </c>
      <c r="B910" s="31" t="s">
        <v>331</v>
      </c>
      <c r="H910" s="2" t="s">
        <v>33</v>
      </c>
      <c r="I910" s="243" t="s">
        <v>1009</v>
      </c>
      <c r="K910" s="3">
        <v>0.41</v>
      </c>
      <c r="L910" s="3">
        <v>27</v>
      </c>
      <c r="M910" s="3">
        <v>0.39</v>
      </c>
      <c r="O910" s="3">
        <v>0.14000000000000001</v>
      </c>
      <c r="P910" s="4" t="s">
        <v>0</v>
      </c>
      <c r="R910" s="3">
        <v>8</v>
      </c>
      <c r="S910" s="3">
        <v>0.28000000000000003</v>
      </c>
    </row>
    <row r="911" spans="1:50" ht="34" x14ac:dyDescent="0.2">
      <c r="A911" s="31" t="s">
        <v>385</v>
      </c>
      <c r="B911" s="31" t="s">
        <v>331</v>
      </c>
      <c r="H911" s="2" t="s">
        <v>33</v>
      </c>
      <c r="I911" s="243" t="s">
        <v>1009</v>
      </c>
      <c r="K911" s="3">
        <v>0.42</v>
      </c>
      <c r="L911" s="3">
        <v>1</v>
      </c>
      <c r="M911" s="3">
        <v>0.1</v>
      </c>
      <c r="O911" s="3">
        <v>7.0000000000000007E-2</v>
      </c>
      <c r="P911" s="4" t="s">
        <v>0</v>
      </c>
      <c r="R911" s="3">
        <v>0.38</v>
      </c>
    </row>
    <row r="912" spans="1:50" s="71" customFormat="1" x14ac:dyDescent="0.2">
      <c r="A912" s="77" t="s">
        <v>385</v>
      </c>
      <c r="B912" s="77" t="s">
        <v>331</v>
      </c>
      <c r="C912" s="71" t="s">
        <v>387</v>
      </c>
      <c r="D912" s="71" t="s">
        <v>56</v>
      </c>
      <c r="E912" s="71" t="s">
        <v>46</v>
      </c>
      <c r="F912" s="78" t="s">
        <v>782</v>
      </c>
      <c r="H912" s="71" t="s">
        <v>33</v>
      </c>
      <c r="I912" s="87"/>
      <c r="J912" s="72">
        <f t="shared" ref="J912" si="264">AVERAGE(J893:J911)</f>
        <v>95.037000000000006</v>
      </c>
      <c r="K912" s="72">
        <f t="shared" ref="K912:S912" si="265">AVERAGE(K893:K911)</f>
        <v>0.70263157894736827</v>
      </c>
      <c r="L912" s="72">
        <f t="shared" si="265"/>
        <v>37.421052631578945</v>
      </c>
      <c r="M912" s="72">
        <f t="shared" si="265"/>
        <v>1.0152631578947371</v>
      </c>
      <c r="N912" s="72">
        <f t="shared" si="265"/>
        <v>12.9</v>
      </c>
      <c r="O912" s="72">
        <f t="shared" si="265"/>
        <v>0.17071428571428568</v>
      </c>
      <c r="P912" s="72">
        <f t="shared" si="265"/>
        <v>0</v>
      </c>
      <c r="Q912" s="72">
        <f t="shared" si="265"/>
        <v>62.4</v>
      </c>
      <c r="R912" s="72">
        <f t="shared" si="265"/>
        <v>8.7252631578947373</v>
      </c>
      <c r="S912" s="72">
        <f t="shared" si="265"/>
        <v>0.36230769230769233</v>
      </c>
      <c r="T912" s="72"/>
      <c r="U912" s="72"/>
      <c r="V912" s="72"/>
      <c r="W912" s="72"/>
      <c r="X912" s="72"/>
      <c r="Y912" s="72"/>
      <c r="Z912" s="72"/>
      <c r="AA912" s="72"/>
      <c r="AB912" s="72"/>
      <c r="AC912" s="73"/>
      <c r="AD912" s="73"/>
      <c r="AE912" s="73"/>
      <c r="AF912" s="73"/>
      <c r="AG912" s="73"/>
      <c r="AH912" s="73"/>
      <c r="AI912" s="73"/>
      <c r="AJ912" s="73"/>
      <c r="AK912" s="73"/>
      <c r="AL912" s="73"/>
      <c r="AM912" s="73"/>
      <c r="AN912" s="73"/>
      <c r="AO912" s="73"/>
      <c r="AP912" s="73"/>
      <c r="AQ912" s="73"/>
      <c r="AR912" s="73"/>
      <c r="AS912" s="73"/>
      <c r="AT912" s="73"/>
      <c r="AU912" s="73"/>
      <c r="AV912" s="73"/>
      <c r="AW912" s="73"/>
      <c r="AX912" s="73"/>
    </row>
    <row r="913" spans="1:50" ht="34" x14ac:dyDescent="0.2">
      <c r="A913" s="24" t="s">
        <v>388</v>
      </c>
      <c r="B913" s="24" t="s">
        <v>389</v>
      </c>
      <c r="C913" s="2" t="s">
        <v>0</v>
      </c>
      <c r="H913" s="2" t="s">
        <v>27</v>
      </c>
      <c r="I913" s="243" t="s">
        <v>1009</v>
      </c>
      <c r="K913" s="3">
        <v>0.69</v>
      </c>
      <c r="L913" s="3">
        <v>7</v>
      </c>
      <c r="M913" s="3">
        <v>0.3</v>
      </c>
      <c r="P913" s="4">
        <f t="shared" ref="P913:P915" si="266">AN913</f>
        <v>0</v>
      </c>
      <c r="R913" s="3">
        <v>5</v>
      </c>
      <c r="AN913" s="23"/>
    </row>
    <row r="914" spans="1:50" ht="15" customHeight="1" x14ac:dyDescent="0.2">
      <c r="A914" s="24" t="s">
        <v>388</v>
      </c>
      <c r="B914" s="24" t="s">
        <v>389</v>
      </c>
      <c r="C914" s="32" t="s">
        <v>0</v>
      </c>
      <c r="H914" s="2" t="s">
        <v>27</v>
      </c>
      <c r="I914" s="243" t="s">
        <v>1007</v>
      </c>
      <c r="J914" s="3">
        <v>95.54</v>
      </c>
      <c r="K914" s="3">
        <v>0.5</v>
      </c>
      <c r="L914" s="3">
        <v>26</v>
      </c>
      <c r="M914" s="3">
        <v>0.2</v>
      </c>
      <c r="N914" s="3">
        <v>11</v>
      </c>
      <c r="O914" s="3">
        <v>0.7</v>
      </c>
      <c r="P914" s="4">
        <f t="shared" si="266"/>
        <v>0</v>
      </c>
      <c r="Q914" s="3">
        <v>6</v>
      </c>
      <c r="R914" s="3">
        <v>10.1</v>
      </c>
      <c r="AI914" s="23"/>
      <c r="AN914" s="23"/>
    </row>
    <row r="915" spans="1:50" ht="15" customHeight="1" x14ac:dyDescent="0.2">
      <c r="A915" s="31" t="s">
        <v>388</v>
      </c>
      <c r="B915" s="31" t="s">
        <v>389</v>
      </c>
      <c r="H915" s="2" t="s">
        <v>27</v>
      </c>
      <c r="I915" s="243" t="s">
        <v>1009</v>
      </c>
      <c r="K915" s="3">
        <v>0.34</v>
      </c>
      <c r="L915" s="3">
        <v>17</v>
      </c>
      <c r="M915" s="3">
        <v>0.77</v>
      </c>
      <c r="O915" s="3">
        <v>0.1</v>
      </c>
      <c r="P915" s="4">
        <f t="shared" si="266"/>
        <v>0</v>
      </c>
      <c r="R915" s="3">
        <v>12</v>
      </c>
      <c r="S915" s="3">
        <v>0.06</v>
      </c>
      <c r="AN915" s="23"/>
    </row>
    <row r="916" spans="1:50" ht="15" customHeight="1" x14ac:dyDescent="0.2">
      <c r="A916" s="31" t="s">
        <v>388</v>
      </c>
      <c r="B916" s="31" t="s">
        <v>389</v>
      </c>
      <c r="H916" s="2" t="s">
        <v>27</v>
      </c>
      <c r="I916" s="243" t="s">
        <v>1009</v>
      </c>
      <c r="K916" s="3">
        <v>0.39</v>
      </c>
      <c r="L916" s="3">
        <v>25</v>
      </c>
      <c r="M916" s="3">
        <v>0.69</v>
      </c>
      <c r="O916" s="3">
        <v>0.56999999999999995</v>
      </c>
      <c r="P916" s="4" t="s">
        <v>0</v>
      </c>
      <c r="R916" s="3">
        <v>15</v>
      </c>
      <c r="S916" s="3">
        <v>0.08</v>
      </c>
    </row>
    <row r="917" spans="1:50" ht="15" customHeight="1" x14ac:dyDescent="0.2">
      <c r="A917" s="24" t="s">
        <v>388</v>
      </c>
      <c r="B917" s="24" t="s">
        <v>389</v>
      </c>
      <c r="H917" s="2" t="s">
        <v>27</v>
      </c>
      <c r="I917" s="243" t="s">
        <v>1010</v>
      </c>
      <c r="J917" s="3">
        <v>94.7</v>
      </c>
      <c r="K917" s="3">
        <v>0.5</v>
      </c>
      <c r="L917" s="3">
        <v>23</v>
      </c>
      <c r="M917" s="3">
        <v>0.5</v>
      </c>
      <c r="N917" s="3">
        <v>11</v>
      </c>
      <c r="P917" s="4">
        <f t="shared" ref="P917" si="267">AN917</f>
        <v>0</v>
      </c>
      <c r="R917" s="3">
        <v>12</v>
      </c>
      <c r="AI917" s="23"/>
      <c r="AN917" s="23"/>
    </row>
    <row r="918" spans="1:50" ht="15" customHeight="1" x14ac:dyDescent="0.2">
      <c r="A918" s="31" t="s">
        <v>388</v>
      </c>
      <c r="B918" s="31" t="s">
        <v>389</v>
      </c>
      <c r="H918" s="2" t="s">
        <v>27</v>
      </c>
      <c r="I918" s="243" t="s">
        <v>1009</v>
      </c>
      <c r="K918" s="3">
        <v>0.38</v>
      </c>
      <c r="L918" s="3">
        <v>24.5</v>
      </c>
      <c r="M918" s="3">
        <v>0.28000000000000003</v>
      </c>
      <c r="O918" s="3">
        <v>0.06</v>
      </c>
      <c r="P918" s="4" t="s">
        <v>0</v>
      </c>
      <c r="R918" s="3">
        <v>20</v>
      </c>
      <c r="S918" s="3">
        <v>0.03</v>
      </c>
    </row>
    <row r="919" spans="1:50" ht="15" customHeight="1" x14ac:dyDescent="0.2">
      <c r="A919" s="24" t="s">
        <v>388</v>
      </c>
      <c r="B919" s="24" t="s">
        <v>389</v>
      </c>
      <c r="H919" s="2" t="s">
        <v>27</v>
      </c>
      <c r="I919" s="243" t="s">
        <v>1009</v>
      </c>
      <c r="K919" s="3">
        <v>0.41</v>
      </c>
      <c r="L919" s="3">
        <v>17</v>
      </c>
      <c r="M919" s="3">
        <v>0.26</v>
      </c>
      <c r="O919" s="3">
        <v>0.16</v>
      </c>
      <c r="P919" s="4" t="s">
        <v>0</v>
      </c>
      <c r="R919" s="3">
        <v>12</v>
      </c>
      <c r="S919" s="3">
        <v>0.08</v>
      </c>
    </row>
    <row r="920" spans="1:50" ht="15" customHeight="1" x14ac:dyDescent="0.2">
      <c r="A920" s="24" t="s">
        <v>388</v>
      </c>
      <c r="B920" s="24" t="s">
        <v>389</v>
      </c>
      <c r="H920" s="2" t="s">
        <v>27</v>
      </c>
      <c r="I920" s="243" t="s">
        <v>1009</v>
      </c>
      <c r="K920" s="3">
        <v>0.39</v>
      </c>
      <c r="L920" s="3">
        <v>8</v>
      </c>
      <c r="O920" s="3">
        <v>0.1</v>
      </c>
      <c r="P920" s="4" t="s">
        <v>0</v>
      </c>
      <c r="R920" s="3">
        <v>5</v>
      </c>
      <c r="S920" s="3">
        <v>0.14000000000000001</v>
      </c>
    </row>
    <row r="921" spans="1:50" ht="15" customHeight="1" x14ac:dyDescent="0.2">
      <c r="A921" s="24" t="s">
        <v>388</v>
      </c>
      <c r="B921" s="24" t="s">
        <v>389</v>
      </c>
      <c r="H921" s="2" t="s">
        <v>27</v>
      </c>
      <c r="I921" s="243" t="s">
        <v>1009</v>
      </c>
      <c r="K921" s="3">
        <v>0.67</v>
      </c>
      <c r="L921" s="3">
        <v>11</v>
      </c>
      <c r="O921" s="3">
        <v>7.0000000000000007E-2</v>
      </c>
      <c r="P921" s="4" t="s">
        <v>0</v>
      </c>
      <c r="R921" s="3">
        <v>4</v>
      </c>
      <c r="S921" s="3">
        <v>0.06</v>
      </c>
    </row>
    <row r="922" spans="1:50" s="71" customFormat="1" ht="15" customHeight="1" x14ac:dyDescent="0.2">
      <c r="A922" s="70" t="s">
        <v>388</v>
      </c>
      <c r="B922" s="70" t="s">
        <v>389</v>
      </c>
      <c r="C922" s="71" t="s">
        <v>390</v>
      </c>
      <c r="D922" s="71" t="s">
        <v>56</v>
      </c>
      <c r="E922" s="71" t="s">
        <v>42</v>
      </c>
      <c r="F922" s="71" t="s">
        <v>784</v>
      </c>
      <c r="H922" s="71" t="s">
        <v>27</v>
      </c>
      <c r="I922" s="87"/>
      <c r="J922" s="72">
        <f t="shared" ref="J922" si="268">AVERAGE(J913:J921)</f>
        <v>95.12</v>
      </c>
      <c r="K922" s="72">
        <f t="shared" ref="K922:S922" si="269">AVERAGE(K913:K921)</f>
        <v>0.4744444444444445</v>
      </c>
      <c r="L922" s="72">
        <f t="shared" si="269"/>
        <v>17.611111111111111</v>
      </c>
      <c r="M922" s="72">
        <f t="shared" si="269"/>
        <v>0.42857142857142855</v>
      </c>
      <c r="N922" s="72">
        <f t="shared" si="269"/>
        <v>11</v>
      </c>
      <c r="O922" s="72">
        <f t="shared" si="269"/>
        <v>0.25142857142857145</v>
      </c>
      <c r="P922" s="72">
        <f t="shared" si="269"/>
        <v>0</v>
      </c>
      <c r="Q922" s="72">
        <f t="shared" si="269"/>
        <v>6</v>
      </c>
      <c r="R922" s="72">
        <f t="shared" si="269"/>
        <v>10.566666666666666</v>
      </c>
      <c r="S922" s="72">
        <f t="shared" si="269"/>
        <v>7.4999999999999997E-2</v>
      </c>
      <c r="T922" s="72"/>
      <c r="U922" s="72"/>
      <c r="V922" s="72"/>
      <c r="W922" s="72"/>
      <c r="X922" s="72"/>
      <c r="Y922" s="72"/>
      <c r="Z922" s="72"/>
      <c r="AA922" s="72"/>
      <c r="AB922" s="72"/>
      <c r="AC922" s="73"/>
      <c r="AD922" s="73"/>
      <c r="AE922" s="73"/>
      <c r="AF922" s="73"/>
      <c r="AG922" s="73"/>
      <c r="AH922" s="73"/>
      <c r="AI922" s="73"/>
      <c r="AJ922" s="73"/>
      <c r="AK922" s="73"/>
      <c r="AL922" s="73"/>
      <c r="AM922" s="73"/>
      <c r="AN922" s="73"/>
      <c r="AO922" s="73"/>
      <c r="AP922" s="73"/>
      <c r="AQ922" s="73"/>
      <c r="AR922" s="73"/>
      <c r="AS922" s="73"/>
      <c r="AT922" s="73"/>
      <c r="AU922" s="73"/>
      <c r="AV922" s="73"/>
      <c r="AW922" s="73"/>
      <c r="AX922" s="73"/>
    </row>
    <row r="923" spans="1:50" s="22" customFormat="1" ht="15" customHeight="1" x14ac:dyDescent="0.2">
      <c r="A923" s="25" t="s">
        <v>391</v>
      </c>
      <c r="B923" s="25" t="s">
        <v>392</v>
      </c>
      <c r="C923" s="22" t="s">
        <v>0</v>
      </c>
      <c r="D923" s="2"/>
      <c r="E923" s="2"/>
      <c r="H923" s="26" t="s">
        <v>37</v>
      </c>
      <c r="I923" s="65" t="s">
        <v>1023</v>
      </c>
      <c r="J923" s="4">
        <v>68</v>
      </c>
      <c r="K923" s="4"/>
      <c r="L923" s="4"/>
      <c r="M923" s="4"/>
      <c r="N923" s="4"/>
      <c r="O923" s="4"/>
      <c r="P923" s="4" t="s">
        <v>0</v>
      </c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23"/>
      <c r="AD923" s="23"/>
      <c r="AE923" s="23"/>
      <c r="AF923" s="23"/>
      <c r="AG923" s="23"/>
      <c r="AH923" s="23"/>
      <c r="AI923" s="23"/>
      <c r="AJ923" s="23"/>
      <c r="AK923" s="23"/>
      <c r="AL923" s="23"/>
      <c r="AM923" s="23"/>
      <c r="AN923" s="23"/>
      <c r="AO923" s="23"/>
      <c r="AP923" s="23"/>
      <c r="AQ923" s="23"/>
      <c r="AR923" s="23"/>
      <c r="AS923" s="23"/>
      <c r="AT923" s="23"/>
      <c r="AU923" s="23"/>
      <c r="AV923" s="23"/>
      <c r="AW923" s="23"/>
      <c r="AX923" s="23"/>
    </row>
    <row r="924" spans="1:50" s="71" customFormat="1" ht="15" customHeight="1" x14ac:dyDescent="0.2">
      <c r="A924" s="77" t="s">
        <v>391</v>
      </c>
      <c r="B924" s="77" t="s">
        <v>392</v>
      </c>
      <c r="C924" s="71" t="s">
        <v>393</v>
      </c>
      <c r="D924" s="71" t="s">
        <v>31</v>
      </c>
      <c r="E924" s="71" t="s">
        <v>42</v>
      </c>
      <c r="F924" s="71" t="s">
        <v>784</v>
      </c>
      <c r="H924" s="78" t="s">
        <v>37</v>
      </c>
      <c r="I924" s="87"/>
      <c r="J924" s="72">
        <f>J923</f>
        <v>68</v>
      </c>
      <c r="K924" s="72"/>
      <c r="L924" s="72"/>
      <c r="M924" s="72"/>
      <c r="N924" s="72"/>
      <c r="O924" s="72"/>
      <c r="P924" s="72"/>
      <c r="Q924" s="72"/>
      <c r="R924" s="72"/>
      <c r="S924" s="72"/>
      <c r="T924" s="72"/>
      <c r="U924" s="72"/>
      <c r="V924" s="72"/>
      <c r="W924" s="72"/>
      <c r="X924" s="72"/>
      <c r="Y924" s="72"/>
      <c r="Z924" s="72"/>
      <c r="AA924" s="72"/>
      <c r="AB924" s="72"/>
      <c r="AC924" s="73"/>
      <c r="AD924" s="73"/>
      <c r="AE924" s="73"/>
      <c r="AF924" s="73"/>
      <c r="AG924" s="73"/>
      <c r="AH924" s="73"/>
      <c r="AI924" s="73"/>
      <c r="AJ924" s="73"/>
      <c r="AK924" s="73"/>
      <c r="AL924" s="73"/>
      <c r="AM924" s="73"/>
      <c r="AN924" s="73"/>
      <c r="AO924" s="73"/>
      <c r="AP924" s="73"/>
      <c r="AQ924" s="73"/>
      <c r="AR924" s="73"/>
      <c r="AS924" s="73"/>
      <c r="AT924" s="73"/>
      <c r="AU924" s="73"/>
      <c r="AV924" s="73"/>
      <c r="AW924" s="73"/>
      <c r="AX924" s="73"/>
    </row>
    <row r="925" spans="1:50" s="22" customFormat="1" ht="15" customHeight="1" x14ac:dyDescent="0.2">
      <c r="A925" s="25" t="s">
        <v>394</v>
      </c>
      <c r="B925" s="25" t="s">
        <v>395</v>
      </c>
      <c r="C925" s="26" t="s">
        <v>0</v>
      </c>
      <c r="D925" s="2"/>
      <c r="E925" s="2"/>
      <c r="F925" s="26"/>
      <c r="G925" s="26"/>
      <c r="H925" s="26" t="s">
        <v>33</v>
      </c>
      <c r="I925" s="65" t="s">
        <v>1006</v>
      </c>
      <c r="J925" s="4">
        <v>93</v>
      </c>
      <c r="K925" s="4" t="s">
        <v>55</v>
      </c>
      <c r="L925" s="4">
        <v>141.99759999999989</v>
      </c>
      <c r="M925" s="4" t="s">
        <v>55</v>
      </c>
      <c r="N925" s="4"/>
      <c r="O925" s="4"/>
      <c r="P925" s="4">
        <f t="shared" ref="P925" si="270">AN925</f>
        <v>0</v>
      </c>
      <c r="Q925" s="4"/>
      <c r="R925" s="4">
        <v>4.9979999999999967</v>
      </c>
      <c r="S925" s="4"/>
      <c r="T925" s="4"/>
      <c r="U925" s="4"/>
      <c r="V925" s="4"/>
      <c r="W925" s="4"/>
      <c r="X925" s="4"/>
      <c r="Y925" s="4"/>
      <c r="Z925" s="4"/>
      <c r="AA925" s="4"/>
      <c r="AB925" s="4"/>
      <c r="AD925" s="23"/>
      <c r="AE925" s="23"/>
      <c r="AF925" s="23"/>
      <c r="AG925" s="23"/>
      <c r="AH925" s="23"/>
      <c r="AI925" s="23"/>
      <c r="AJ925" s="23"/>
      <c r="AK925" s="23"/>
      <c r="AL925" s="23"/>
      <c r="AM925" s="23"/>
      <c r="AN925" s="23"/>
      <c r="AO925" s="23"/>
      <c r="AP925" s="23"/>
      <c r="AQ925" s="23"/>
      <c r="AR925" s="23"/>
      <c r="AS925" s="23"/>
      <c r="AT925" s="23"/>
      <c r="AU925" s="23"/>
      <c r="AV925" s="23"/>
      <c r="AW925" s="23"/>
      <c r="AX925" s="23"/>
    </row>
    <row r="926" spans="1:50" s="71" customFormat="1" ht="15" customHeight="1" x14ac:dyDescent="0.2">
      <c r="A926" s="77" t="s">
        <v>394</v>
      </c>
      <c r="B926" s="77" t="s">
        <v>395</v>
      </c>
      <c r="C926" s="78" t="s">
        <v>396</v>
      </c>
      <c r="D926" s="71" t="s">
        <v>31</v>
      </c>
      <c r="E926" s="78" t="s">
        <v>46</v>
      </c>
      <c r="F926" s="78" t="s">
        <v>782</v>
      </c>
      <c r="G926" s="78" t="s">
        <v>71</v>
      </c>
      <c r="H926" s="78" t="s">
        <v>33</v>
      </c>
      <c r="I926" s="87"/>
      <c r="J926" s="72">
        <f>J925</f>
        <v>93</v>
      </c>
      <c r="K926" s="72"/>
      <c r="L926" s="72">
        <f>L925</f>
        <v>141.99759999999989</v>
      </c>
      <c r="M926" s="72"/>
      <c r="N926" s="72"/>
      <c r="O926" s="72"/>
      <c r="P926" s="72">
        <f>P925</f>
        <v>0</v>
      </c>
      <c r="Q926" s="72"/>
      <c r="R926" s="72">
        <f>R925</f>
        <v>4.9979999999999967</v>
      </c>
      <c r="S926" s="72"/>
      <c r="T926" s="72"/>
      <c r="U926" s="72"/>
      <c r="V926" s="72"/>
      <c r="W926" s="72"/>
      <c r="X926" s="72"/>
      <c r="Y926" s="72"/>
      <c r="Z926" s="72"/>
      <c r="AA926" s="72"/>
      <c r="AB926" s="72"/>
      <c r="AC926" s="73"/>
      <c r="AD926" s="73"/>
      <c r="AE926" s="73"/>
      <c r="AF926" s="73"/>
      <c r="AG926" s="73"/>
      <c r="AH926" s="73"/>
      <c r="AI926" s="73"/>
      <c r="AJ926" s="73"/>
      <c r="AK926" s="73"/>
      <c r="AL926" s="73"/>
      <c r="AM926" s="73"/>
      <c r="AN926" s="73"/>
      <c r="AO926" s="73"/>
      <c r="AP926" s="73"/>
      <c r="AQ926" s="73"/>
      <c r="AR926" s="73"/>
      <c r="AS926" s="73"/>
      <c r="AT926" s="73"/>
      <c r="AU926" s="73"/>
      <c r="AV926" s="73"/>
      <c r="AW926" s="73"/>
      <c r="AX926" s="73"/>
    </row>
    <row r="927" spans="1:50" ht="15" customHeight="1" x14ac:dyDescent="0.2">
      <c r="A927" s="24" t="s">
        <v>394</v>
      </c>
      <c r="B927" s="24" t="s">
        <v>79</v>
      </c>
      <c r="H927" s="2" t="s">
        <v>33</v>
      </c>
      <c r="I927" s="243" t="s">
        <v>456</v>
      </c>
      <c r="J927" s="3">
        <f>100-5.6</f>
        <v>94.4</v>
      </c>
      <c r="K927" s="3">
        <v>0.73</v>
      </c>
      <c r="L927" s="3">
        <v>113.68</v>
      </c>
      <c r="M927" s="3">
        <v>30.27</v>
      </c>
      <c r="O927" s="3">
        <v>0.94</v>
      </c>
      <c r="P927" s="4" t="s">
        <v>0</v>
      </c>
    </row>
    <row r="928" spans="1:50" s="71" customFormat="1" ht="15" customHeight="1" x14ac:dyDescent="0.2">
      <c r="A928" s="70" t="s">
        <v>394</v>
      </c>
      <c r="B928" s="70" t="s">
        <v>79</v>
      </c>
      <c r="C928" s="71" t="s">
        <v>396</v>
      </c>
      <c r="D928" s="71" t="s">
        <v>31</v>
      </c>
      <c r="E928" s="71" t="s">
        <v>46</v>
      </c>
      <c r="F928" s="78" t="s">
        <v>782</v>
      </c>
      <c r="G928" s="71" t="s">
        <v>71</v>
      </c>
      <c r="H928" s="71" t="s">
        <v>33</v>
      </c>
      <c r="I928" s="87"/>
      <c r="J928" s="72">
        <f>J927</f>
        <v>94.4</v>
      </c>
      <c r="K928" s="72">
        <f>K927</f>
        <v>0.73</v>
      </c>
      <c r="L928" s="72">
        <f>L927</f>
        <v>113.68</v>
      </c>
      <c r="M928" s="72">
        <f>M927</f>
        <v>30.27</v>
      </c>
      <c r="N928" s="72"/>
      <c r="O928" s="72">
        <f>O927</f>
        <v>0.94</v>
      </c>
      <c r="P928" s="72"/>
      <c r="Q928" s="72"/>
      <c r="R928" s="72"/>
      <c r="S928" s="72"/>
      <c r="T928" s="72"/>
      <c r="U928" s="72"/>
      <c r="V928" s="72"/>
      <c r="W928" s="72"/>
      <c r="X928" s="72"/>
      <c r="Y928" s="72"/>
      <c r="Z928" s="72"/>
      <c r="AA928" s="72"/>
      <c r="AB928" s="72"/>
      <c r="AC928" s="73"/>
      <c r="AD928" s="73"/>
      <c r="AE928" s="73"/>
      <c r="AF928" s="73"/>
      <c r="AG928" s="73"/>
      <c r="AH928" s="73"/>
      <c r="AI928" s="73"/>
      <c r="AJ928" s="73"/>
      <c r="AK928" s="73"/>
      <c r="AL928" s="73"/>
      <c r="AM928" s="73"/>
      <c r="AN928" s="73"/>
      <c r="AO928" s="73"/>
      <c r="AP928" s="73"/>
      <c r="AQ928" s="73"/>
      <c r="AR928" s="73"/>
      <c r="AS928" s="73"/>
      <c r="AT928" s="73"/>
      <c r="AU928" s="73"/>
      <c r="AV928" s="73"/>
      <c r="AW928" s="73"/>
      <c r="AX928" s="73"/>
    </row>
    <row r="929" spans="1:50" s="22" customFormat="1" ht="15" customHeight="1" x14ac:dyDescent="0.2">
      <c r="A929" s="21" t="s">
        <v>397</v>
      </c>
      <c r="B929" s="21" t="s">
        <v>398</v>
      </c>
      <c r="C929" s="22" t="s">
        <v>0</v>
      </c>
      <c r="D929" s="2"/>
      <c r="E929" s="2"/>
      <c r="H929" s="22" t="s">
        <v>33</v>
      </c>
      <c r="I929" s="65" t="s">
        <v>1010</v>
      </c>
      <c r="J929" s="4">
        <v>88.2</v>
      </c>
      <c r="K929" s="4">
        <v>1.1000000000000001</v>
      </c>
      <c r="L929" s="4">
        <v>179</v>
      </c>
      <c r="M929" s="4">
        <v>2.5</v>
      </c>
      <c r="N929" s="4" t="s">
        <v>0</v>
      </c>
      <c r="O929" s="4"/>
      <c r="P929" s="4">
        <f t="shared" ref="P929" si="271">AN929</f>
        <v>0</v>
      </c>
      <c r="Q929" s="4"/>
      <c r="R929" s="4">
        <v>73</v>
      </c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23"/>
      <c r="AD929" s="23"/>
      <c r="AE929" s="23"/>
      <c r="AF929" s="23"/>
      <c r="AG929" s="23"/>
      <c r="AH929" s="23"/>
      <c r="AI929" s="23"/>
      <c r="AJ929" s="23"/>
      <c r="AK929" s="23"/>
      <c r="AL929" s="23"/>
      <c r="AM929" s="23"/>
      <c r="AN929" s="23"/>
      <c r="AO929" s="23"/>
      <c r="AP929" s="23"/>
      <c r="AQ929" s="23"/>
      <c r="AR929" s="23"/>
      <c r="AS929" s="23"/>
      <c r="AT929" s="23"/>
      <c r="AU929" s="23"/>
      <c r="AV929" s="23"/>
      <c r="AW929" s="23"/>
      <c r="AX929" s="23"/>
    </row>
    <row r="930" spans="1:50" s="71" customFormat="1" ht="15" customHeight="1" x14ac:dyDescent="0.2">
      <c r="A930" s="70" t="s">
        <v>397</v>
      </c>
      <c r="B930" s="70" t="s">
        <v>398</v>
      </c>
      <c r="C930" s="71" t="s">
        <v>399</v>
      </c>
      <c r="D930" s="71" t="s">
        <v>56</v>
      </c>
      <c r="E930" s="71" t="s">
        <v>46</v>
      </c>
      <c r="F930" s="78" t="s">
        <v>782</v>
      </c>
      <c r="H930" s="71" t="s">
        <v>33</v>
      </c>
      <c r="I930" s="87"/>
      <c r="J930" s="72">
        <f t="shared" ref="J930" si="272">J929</f>
        <v>88.2</v>
      </c>
      <c r="K930" s="72">
        <f>K929</f>
        <v>1.1000000000000001</v>
      </c>
      <c r="L930" s="72">
        <f>L929</f>
        <v>179</v>
      </c>
      <c r="M930" s="72">
        <f>M929</f>
        <v>2.5</v>
      </c>
      <c r="N930" s="72"/>
      <c r="O930" s="72"/>
      <c r="P930" s="72"/>
      <c r="Q930" s="72"/>
      <c r="R930" s="72">
        <f>R929</f>
        <v>73</v>
      </c>
      <c r="S930" s="72"/>
      <c r="T930" s="72"/>
      <c r="U930" s="72"/>
      <c r="V930" s="72"/>
      <c r="W930" s="72"/>
      <c r="X930" s="72"/>
      <c r="Y930" s="72"/>
      <c r="Z930" s="72"/>
      <c r="AA930" s="72"/>
      <c r="AB930" s="72"/>
      <c r="AC930" s="73"/>
      <c r="AD930" s="73"/>
      <c r="AE930" s="73"/>
      <c r="AF930" s="73"/>
      <c r="AG930" s="73"/>
      <c r="AH930" s="73"/>
      <c r="AI930" s="73"/>
      <c r="AJ930" s="73"/>
      <c r="AK930" s="73"/>
      <c r="AL930" s="73"/>
      <c r="AM930" s="73"/>
      <c r="AN930" s="73"/>
      <c r="AO930" s="73"/>
      <c r="AP930" s="73"/>
      <c r="AQ930" s="73"/>
      <c r="AR930" s="73"/>
      <c r="AS930" s="73"/>
      <c r="AT930" s="73"/>
      <c r="AU930" s="73"/>
      <c r="AV930" s="73"/>
      <c r="AW930" s="73"/>
      <c r="AX930" s="73"/>
    </row>
    <row r="931" spans="1:50" s="41" customFormat="1" ht="15" customHeight="1" x14ac:dyDescent="0.2">
      <c r="A931" s="40" t="s">
        <v>400</v>
      </c>
      <c r="B931" s="40" t="s">
        <v>401</v>
      </c>
      <c r="D931" s="2"/>
      <c r="E931" s="2"/>
      <c r="H931" s="41" t="s">
        <v>33</v>
      </c>
      <c r="I931" s="248" t="s">
        <v>1005</v>
      </c>
      <c r="J931" s="43">
        <v>81</v>
      </c>
      <c r="K931" s="43">
        <v>4.7</v>
      </c>
      <c r="L931" s="43">
        <v>417</v>
      </c>
      <c r="M931" s="43"/>
      <c r="N931" s="43"/>
      <c r="O931" s="43"/>
      <c r="P931" s="4">
        <f t="shared" ref="P931" si="273">AN931</f>
        <v>0</v>
      </c>
      <c r="Q931" s="43"/>
      <c r="R931" s="43">
        <v>78</v>
      </c>
      <c r="S931" s="43"/>
      <c r="T931" s="43"/>
      <c r="U931" s="43"/>
      <c r="V931" s="43"/>
      <c r="W931" s="43"/>
      <c r="X931" s="43"/>
      <c r="Y931" s="43"/>
      <c r="Z931" s="43"/>
      <c r="AA931" s="43"/>
      <c r="AB931" s="43"/>
      <c r="AC931" s="44"/>
      <c r="AD931" s="44"/>
      <c r="AE931" s="44"/>
      <c r="AF931" s="44"/>
      <c r="AG931" s="44"/>
      <c r="AH931" s="44"/>
      <c r="AI931" s="23"/>
      <c r="AJ931" s="44"/>
      <c r="AK931" s="44"/>
      <c r="AL931" s="44"/>
      <c r="AM931" s="44"/>
      <c r="AN931" s="23"/>
      <c r="AO931" s="44"/>
      <c r="AP931" s="44"/>
      <c r="AQ931" s="44"/>
      <c r="AR931" s="44"/>
      <c r="AS931" s="44"/>
      <c r="AT931" s="44"/>
      <c r="AU931" s="44"/>
      <c r="AV931" s="44"/>
      <c r="AW931" s="44"/>
      <c r="AX931" s="44"/>
    </row>
    <row r="932" spans="1:50" s="41" customFormat="1" ht="15" customHeight="1" x14ac:dyDescent="0.2">
      <c r="A932" s="40" t="s">
        <v>400</v>
      </c>
      <c r="B932" s="40" t="s">
        <v>401</v>
      </c>
      <c r="D932" s="2"/>
      <c r="E932" s="2"/>
      <c r="H932" s="41" t="s">
        <v>33</v>
      </c>
      <c r="I932" s="248" t="s">
        <v>861</v>
      </c>
      <c r="J932" s="43"/>
      <c r="K932" s="43"/>
      <c r="L932" s="43">
        <f>21400/100</f>
        <v>214</v>
      </c>
      <c r="M932" s="43">
        <f>211/100</f>
        <v>2.11</v>
      </c>
      <c r="N932" s="43">
        <f>5660/100</f>
        <v>56.6</v>
      </c>
      <c r="O932" s="43"/>
      <c r="P932" s="4" t="s">
        <v>0</v>
      </c>
      <c r="Q932" s="43"/>
      <c r="R932" s="43"/>
      <c r="S932" s="43"/>
      <c r="T932" s="43"/>
      <c r="U932" s="43"/>
      <c r="V932" s="43"/>
      <c r="W932" s="43"/>
      <c r="X932" s="43"/>
      <c r="Y932" s="43"/>
      <c r="Z932" s="43"/>
      <c r="AA932" s="43"/>
      <c r="AB932" s="43"/>
      <c r="AC932" s="44"/>
      <c r="AD932" s="44"/>
      <c r="AE932" s="44"/>
      <c r="AF932" s="44"/>
      <c r="AG932" s="44"/>
      <c r="AH932" s="44"/>
      <c r="AI932" s="44"/>
      <c r="AJ932" s="44"/>
      <c r="AK932" s="44"/>
      <c r="AL932" s="44"/>
      <c r="AM932" s="44"/>
      <c r="AN932" s="44"/>
      <c r="AO932" s="44"/>
      <c r="AP932" s="44"/>
      <c r="AQ932" s="44"/>
      <c r="AR932" s="44"/>
      <c r="AS932" s="44"/>
      <c r="AT932" s="44"/>
      <c r="AU932" s="44"/>
      <c r="AV932" s="44"/>
      <c r="AW932" s="44"/>
      <c r="AX932" s="44"/>
    </row>
    <row r="933" spans="1:50" s="71" customFormat="1" ht="15" customHeight="1" x14ac:dyDescent="0.2">
      <c r="A933" s="70" t="s">
        <v>400</v>
      </c>
      <c r="B933" s="70" t="s">
        <v>401</v>
      </c>
      <c r="C933" s="71" t="s">
        <v>878</v>
      </c>
      <c r="D933" s="71" t="s">
        <v>31</v>
      </c>
      <c r="E933" s="71" t="s">
        <v>42</v>
      </c>
      <c r="F933" s="71" t="s">
        <v>784</v>
      </c>
      <c r="H933" s="71" t="s">
        <v>33</v>
      </c>
      <c r="I933" s="87"/>
      <c r="J933" s="72">
        <f>J931</f>
        <v>81</v>
      </c>
      <c r="K933" s="72">
        <f>K931</f>
        <v>4.7</v>
      </c>
      <c r="L933" s="72">
        <f>L931</f>
        <v>417</v>
      </c>
      <c r="M933" s="72"/>
      <c r="N933" s="72"/>
      <c r="O933" s="72"/>
      <c r="P933" s="72">
        <f>P931</f>
        <v>0</v>
      </c>
      <c r="Q933" s="72"/>
      <c r="R933" s="72">
        <f>R931</f>
        <v>78</v>
      </c>
      <c r="S933" s="72"/>
      <c r="T933" s="72"/>
      <c r="U933" s="72"/>
      <c r="V933" s="72"/>
      <c r="W933" s="72"/>
      <c r="X933" s="72"/>
      <c r="Y933" s="72"/>
      <c r="Z933" s="72"/>
      <c r="AA933" s="72"/>
      <c r="AB933" s="72"/>
      <c r="AC933" s="73"/>
      <c r="AD933" s="73"/>
      <c r="AE933" s="73"/>
      <c r="AF933" s="73"/>
      <c r="AG933" s="73"/>
      <c r="AH933" s="73"/>
      <c r="AI933" s="73"/>
      <c r="AJ933" s="73"/>
      <c r="AK933" s="73"/>
      <c r="AL933" s="73"/>
      <c r="AM933" s="73"/>
      <c r="AN933" s="73"/>
      <c r="AO933" s="73"/>
      <c r="AP933" s="73"/>
      <c r="AQ933" s="73"/>
      <c r="AR933" s="73"/>
      <c r="AS933" s="73"/>
      <c r="AT933" s="73"/>
      <c r="AU933" s="73"/>
      <c r="AV933" s="73"/>
      <c r="AW933" s="73"/>
      <c r="AX933" s="73"/>
    </row>
    <row r="934" spans="1:50" s="22" customFormat="1" ht="15" customHeight="1" x14ac:dyDescent="0.2">
      <c r="A934" s="21" t="s">
        <v>402</v>
      </c>
      <c r="B934" s="21" t="s">
        <v>245</v>
      </c>
      <c r="D934" s="2"/>
      <c r="E934" s="2"/>
      <c r="H934" s="22" t="s">
        <v>37</v>
      </c>
      <c r="I934" s="65" t="s">
        <v>1026</v>
      </c>
      <c r="J934" s="4">
        <v>75.400000000000006</v>
      </c>
      <c r="K934" s="4">
        <v>1.8</v>
      </c>
      <c r="L934" s="4">
        <v>158</v>
      </c>
      <c r="M934" s="4">
        <v>3.8</v>
      </c>
      <c r="N934" s="4"/>
      <c r="O934" s="4"/>
      <c r="P934" s="4">
        <f>8/1000</f>
        <v>8.0000000000000002E-3</v>
      </c>
      <c r="Q934" s="4"/>
      <c r="R934" s="4">
        <v>40</v>
      </c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23"/>
      <c r="AD934" s="23"/>
      <c r="AE934" s="23"/>
      <c r="AF934" s="23"/>
      <c r="AG934" s="23"/>
      <c r="AH934" s="23"/>
      <c r="AI934" s="23"/>
      <c r="AJ934" s="23"/>
      <c r="AK934" s="23"/>
      <c r="AL934" s="23"/>
      <c r="AM934" s="23"/>
      <c r="AN934" s="23"/>
      <c r="AO934" s="23"/>
      <c r="AP934" s="23"/>
      <c r="AQ934" s="23"/>
      <c r="AR934" s="23"/>
      <c r="AS934" s="23"/>
      <c r="AT934" s="23"/>
      <c r="AU934" s="23"/>
      <c r="AV934" s="23"/>
      <c r="AW934" s="23"/>
      <c r="AX934" s="23"/>
    </row>
    <row r="935" spans="1:50" s="22" customFormat="1" ht="15" customHeight="1" x14ac:dyDescent="0.2">
      <c r="A935" s="21" t="s">
        <v>402</v>
      </c>
      <c r="B935" s="21" t="s">
        <v>245</v>
      </c>
      <c r="D935" s="2"/>
      <c r="E935" s="2"/>
      <c r="H935" s="22" t="s">
        <v>37</v>
      </c>
      <c r="I935" s="65" t="s">
        <v>403</v>
      </c>
      <c r="J935" s="4">
        <v>68.5</v>
      </c>
      <c r="K935" s="4">
        <v>3.32</v>
      </c>
      <c r="L935" s="4">
        <v>46.57</v>
      </c>
      <c r="M935" s="4">
        <v>0.89</v>
      </c>
      <c r="N935" s="4">
        <v>54.9</v>
      </c>
      <c r="O935" s="4">
        <v>0.82</v>
      </c>
      <c r="P935" s="4" t="s">
        <v>0</v>
      </c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23"/>
      <c r="AD935" s="23"/>
      <c r="AE935" s="23"/>
      <c r="AF935" s="23"/>
      <c r="AG935" s="23"/>
      <c r="AH935" s="23"/>
      <c r="AI935" s="23"/>
      <c r="AJ935" s="23"/>
      <c r="AK935" s="23"/>
      <c r="AL935" s="23"/>
      <c r="AM935" s="23"/>
      <c r="AN935" s="23"/>
      <c r="AO935" s="23"/>
      <c r="AP935" s="23"/>
      <c r="AQ935" s="23"/>
      <c r="AR935" s="23"/>
      <c r="AS935" s="23"/>
      <c r="AT935" s="23"/>
      <c r="AU935" s="23"/>
      <c r="AV935" s="23"/>
      <c r="AW935" s="23"/>
      <c r="AX935" s="23"/>
    </row>
    <row r="936" spans="1:50" s="71" customFormat="1" ht="15" customHeight="1" x14ac:dyDescent="0.2">
      <c r="A936" s="70" t="s">
        <v>402</v>
      </c>
      <c r="B936" s="70" t="s">
        <v>245</v>
      </c>
      <c r="C936" s="71" t="s">
        <v>404</v>
      </c>
      <c r="D936" s="71" t="s">
        <v>31</v>
      </c>
      <c r="E936" s="71" t="s">
        <v>32</v>
      </c>
      <c r="F936" s="71" t="s">
        <v>781</v>
      </c>
      <c r="H936" s="71" t="s">
        <v>37</v>
      </c>
      <c r="I936" s="87" t="s">
        <v>0</v>
      </c>
      <c r="J936" s="72">
        <f t="shared" ref="J936:P936" si="274">AVERAGE(J934:J935)</f>
        <v>71.95</v>
      </c>
      <c r="K936" s="72">
        <f t="shared" si="274"/>
        <v>2.56</v>
      </c>
      <c r="L936" s="72">
        <f t="shared" si="274"/>
        <v>102.285</v>
      </c>
      <c r="M936" s="72">
        <f t="shared" si="274"/>
        <v>2.3449999999999998</v>
      </c>
      <c r="N936" s="72">
        <f t="shared" si="274"/>
        <v>54.9</v>
      </c>
      <c r="O936" s="72">
        <f t="shared" si="274"/>
        <v>0.82</v>
      </c>
      <c r="P936" s="72">
        <f t="shared" si="274"/>
        <v>8.0000000000000002E-3</v>
      </c>
      <c r="Q936" s="72"/>
      <c r="R936" s="72">
        <f>AVERAGE(R934:R935)</f>
        <v>40</v>
      </c>
      <c r="S936" s="72"/>
      <c r="T936" s="72"/>
      <c r="U936" s="72"/>
      <c r="V936" s="72"/>
      <c r="W936" s="72"/>
      <c r="X936" s="72"/>
      <c r="Y936" s="72"/>
      <c r="Z936" s="72"/>
      <c r="AA936" s="72"/>
      <c r="AB936" s="72"/>
      <c r="AC936" s="73"/>
      <c r="AD936" s="73"/>
      <c r="AE936" s="73"/>
      <c r="AF936" s="73"/>
      <c r="AG936" s="73"/>
      <c r="AH936" s="73"/>
      <c r="AI936" s="73"/>
      <c r="AJ936" s="73"/>
      <c r="AK936" s="73"/>
      <c r="AL936" s="73"/>
      <c r="AM936" s="73"/>
      <c r="AN936" s="73"/>
      <c r="AO936" s="73"/>
      <c r="AP936" s="73"/>
      <c r="AQ936" s="73"/>
      <c r="AR936" s="73"/>
      <c r="AS936" s="73"/>
      <c r="AT936" s="73"/>
      <c r="AU936" s="73"/>
      <c r="AV936" s="73"/>
      <c r="AW936" s="73"/>
      <c r="AX936" s="73"/>
    </row>
    <row r="937" spans="1:50" s="22" customFormat="1" ht="15" customHeight="1" x14ac:dyDescent="0.2">
      <c r="A937" s="21" t="s">
        <v>405</v>
      </c>
      <c r="B937" s="21" t="s">
        <v>406</v>
      </c>
      <c r="D937" s="2"/>
      <c r="E937" s="2"/>
      <c r="F937" s="26"/>
      <c r="H937" s="22" t="s">
        <v>166</v>
      </c>
      <c r="I937" s="65" t="s">
        <v>917</v>
      </c>
      <c r="J937" s="4">
        <v>79.34</v>
      </c>
      <c r="K937" s="4">
        <v>3.81</v>
      </c>
      <c r="L937" s="4">
        <v>770.87</v>
      </c>
      <c r="M937" s="4"/>
      <c r="N937" s="4">
        <v>228.1</v>
      </c>
      <c r="O937" s="4">
        <v>0.66</v>
      </c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23"/>
      <c r="AD937" s="23"/>
      <c r="AE937" s="23"/>
      <c r="AF937" s="23"/>
      <c r="AG937" s="23"/>
      <c r="AH937" s="23"/>
      <c r="AI937" s="23"/>
      <c r="AJ937" s="23"/>
      <c r="AK937" s="23"/>
      <c r="AL937" s="23"/>
      <c r="AM937" s="23"/>
      <c r="AN937" s="23"/>
      <c r="AO937" s="23"/>
      <c r="AP937" s="23"/>
      <c r="AQ937" s="23"/>
      <c r="AR937" s="23"/>
      <c r="AS937" s="23"/>
      <c r="AT937" s="23"/>
      <c r="AU937" s="23"/>
      <c r="AV937" s="23"/>
      <c r="AW937" s="23"/>
      <c r="AX937" s="23"/>
    </row>
    <row r="938" spans="1:50" s="71" customFormat="1" ht="15" customHeight="1" x14ac:dyDescent="0.2">
      <c r="A938" s="70" t="s">
        <v>405</v>
      </c>
      <c r="B938" s="70" t="s">
        <v>406</v>
      </c>
      <c r="C938" s="71" t="s">
        <v>407</v>
      </c>
      <c r="D938" s="71" t="s">
        <v>31</v>
      </c>
      <c r="E938" s="71" t="s">
        <v>46</v>
      </c>
      <c r="F938" s="78" t="s">
        <v>782</v>
      </c>
      <c r="G938" s="78" t="s">
        <v>71</v>
      </c>
      <c r="H938" s="71" t="s">
        <v>166</v>
      </c>
      <c r="I938" s="87"/>
      <c r="J938" s="72">
        <f>J937</f>
        <v>79.34</v>
      </c>
      <c r="K938" s="72">
        <f>K937</f>
        <v>3.81</v>
      </c>
      <c r="L938" s="72">
        <f>L937</f>
        <v>770.87</v>
      </c>
      <c r="M938" s="72"/>
      <c r="N938" s="72">
        <f>N937</f>
        <v>228.1</v>
      </c>
      <c r="O938" s="72">
        <f>O937</f>
        <v>0.66</v>
      </c>
      <c r="P938" s="72"/>
      <c r="Q938" s="72"/>
      <c r="R938" s="72"/>
      <c r="S938" s="72"/>
      <c r="T938" s="72"/>
      <c r="U938" s="72"/>
      <c r="V938" s="72"/>
      <c r="W938" s="72"/>
      <c r="X938" s="72"/>
      <c r="Y938" s="72"/>
      <c r="Z938" s="72"/>
      <c r="AA938" s="72"/>
      <c r="AB938" s="72"/>
      <c r="AC938" s="73"/>
      <c r="AD938" s="73"/>
      <c r="AE938" s="73"/>
      <c r="AF938" s="73"/>
      <c r="AG938" s="73"/>
      <c r="AH938" s="73"/>
      <c r="AI938" s="73"/>
      <c r="AJ938" s="73"/>
      <c r="AK938" s="73"/>
      <c r="AL938" s="73"/>
      <c r="AM938" s="73"/>
      <c r="AN938" s="73"/>
      <c r="AO938" s="73"/>
      <c r="AP938" s="73"/>
      <c r="AQ938" s="73"/>
      <c r="AR938" s="73"/>
      <c r="AS938" s="73"/>
      <c r="AT938" s="73"/>
      <c r="AU938" s="73"/>
      <c r="AV938" s="73"/>
      <c r="AW938" s="73"/>
      <c r="AX938" s="73"/>
    </row>
    <row r="939" spans="1:50" s="22" customFormat="1" ht="15" customHeight="1" x14ac:dyDescent="0.2">
      <c r="A939" s="21" t="s">
        <v>405</v>
      </c>
      <c r="B939" s="21" t="s">
        <v>406</v>
      </c>
      <c r="D939" s="2"/>
      <c r="E939" s="2"/>
      <c r="H939" s="22" t="s">
        <v>183</v>
      </c>
      <c r="I939" s="65" t="s">
        <v>1009</v>
      </c>
      <c r="J939" s="4"/>
      <c r="K939" s="4">
        <v>2.0699999999999998</v>
      </c>
      <c r="L939" s="4">
        <v>273</v>
      </c>
      <c r="M939" s="4">
        <v>0.88</v>
      </c>
      <c r="N939" s="4"/>
      <c r="O939" s="4">
        <v>0.33</v>
      </c>
      <c r="P939" s="4">
        <f t="shared" ref="P939" si="275">AN939</f>
        <v>0</v>
      </c>
      <c r="Q939" s="4">
        <v>14</v>
      </c>
      <c r="R939" s="4">
        <v>60</v>
      </c>
      <c r="S939" s="4">
        <v>0.89</v>
      </c>
      <c r="T939" s="4"/>
      <c r="U939" s="4"/>
      <c r="V939" s="4"/>
      <c r="W939" s="4"/>
      <c r="X939" s="4"/>
      <c r="Y939" s="4"/>
      <c r="Z939" s="4"/>
      <c r="AA939" s="4"/>
      <c r="AB939" s="4"/>
      <c r="AC939" s="23"/>
      <c r="AD939" s="23"/>
      <c r="AE939" s="23"/>
      <c r="AF939" s="23"/>
      <c r="AG939" s="5"/>
      <c r="AH939" s="23"/>
      <c r="AI939" s="23"/>
      <c r="AJ939" s="23"/>
      <c r="AK939" s="23"/>
      <c r="AL939" s="23"/>
      <c r="AM939" s="23"/>
      <c r="AN939" s="23"/>
      <c r="AO939" s="23"/>
      <c r="AP939" s="23"/>
      <c r="AQ939" s="23"/>
      <c r="AR939" s="23"/>
      <c r="AS939" s="23"/>
      <c r="AT939" s="23"/>
      <c r="AU939" s="23"/>
      <c r="AV939" s="23"/>
      <c r="AW939" s="23"/>
      <c r="AX939" s="23"/>
    </row>
    <row r="940" spans="1:50" s="71" customFormat="1" ht="15" customHeight="1" x14ac:dyDescent="0.2">
      <c r="A940" s="70" t="s">
        <v>405</v>
      </c>
      <c r="B940" s="70" t="s">
        <v>406</v>
      </c>
      <c r="C940" s="71" t="s">
        <v>407</v>
      </c>
      <c r="D940" s="71" t="s">
        <v>31</v>
      </c>
      <c r="E940" s="71" t="s">
        <v>46</v>
      </c>
      <c r="F940" s="78" t="s">
        <v>782</v>
      </c>
      <c r="G940" s="78" t="s">
        <v>71</v>
      </c>
      <c r="H940" s="71" t="s">
        <v>183</v>
      </c>
      <c r="I940" s="87"/>
      <c r="J940" s="72"/>
      <c r="K940" s="72">
        <f>K939</f>
        <v>2.0699999999999998</v>
      </c>
      <c r="L940" s="72">
        <f>L939</f>
        <v>273</v>
      </c>
      <c r="M940" s="72">
        <f>M939</f>
        <v>0.88</v>
      </c>
      <c r="N940" s="72"/>
      <c r="O940" s="72">
        <f t="shared" ref="O940:S940" si="276">O939</f>
        <v>0.33</v>
      </c>
      <c r="P940" s="72">
        <f t="shared" si="276"/>
        <v>0</v>
      </c>
      <c r="Q940" s="72">
        <f t="shared" si="276"/>
        <v>14</v>
      </c>
      <c r="R940" s="72">
        <f t="shared" si="276"/>
        <v>60</v>
      </c>
      <c r="S940" s="72">
        <f t="shared" si="276"/>
        <v>0.89</v>
      </c>
      <c r="T940" s="72"/>
      <c r="U940" s="72"/>
      <c r="V940" s="72"/>
      <c r="W940" s="86"/>
      <c r="X940" s="72"/>
      <c r="Y940" s="72"/>
      <c r="Z940" s="72"/>
      <c r="AA940" s="72"/>
      <c r="AB940" s="72"/>
      <c r="AC940" s="73"/>
      <c r="AD940" s="73"/>
      <c r="AE940" s="73"/>
      <c r="AF940" s="73"/>
      <c r="AG940" s="73"/>
      <c r="AH940" s="73"/>
      <c r="AI940" s="73"/>
      <c r="AJ940" s="73"/>
      <c r="AK940" s="73"/>
      <c r="AL940" s="73"/>
      <c r="AM940" s="73"/>
      <c r="AN940" s="73"/>
      <c r="AO940" s="73"/>
      <c r="AP940" s="73"/>
      <c r="AQ940" s="73"/>
      <c r="AR940" s="73"/>
      <c r="AS940" s="73"/>
      <c r="AT940" s="73"/>
      <c r="AU940" s="73"/>
      <c r="AV940" s="73"/>
      <c r="AW940" s="73"/>
      <c r="AX940" s="73"/>
    </row>
    <row r="941" spans="1:50" ht="15" customHeight="1" x14ac:dyDescent="0.2">
      <c r="A941" s="24" t="s">
        <v>405</v>
      </c>
      <c r="B941" s="24" t="s">
        <v>406</v>
      </c>
      <c r="D941" s="22"/>
      <c r="E941" s="22"/>
      <c r="F941" s="22"/>
      <c r="G941" s="22"/>
      <c r="H941" s="2" t="s">
        <v>121</v>
      </c>
      <c r="I941" s="243" t="s">
        <v>1004</v>
      </c>
      <c r="M941" s="3">
        <v>5.2</v>
      </c>
      <c r="P941" s="4">
        <f t="shared" ref="P941:P943" si="277">AN941</f>
        <v>0</v>
      </c>
      <c r="AI941" s="23"/>
      <c r="AN941" s="23"/>
    </row>
    <row r="942" spans="1:50" ht="15" customHeight="1" x14ac:dyDescent="0.2">
      <c r="A942" s="31" t="s">
        <v>405</v>
      </c>
      <c r="B942" s="31" t="s">
        <v>406</v>
      </c>
      <c r="C942" s="1"/>
      <c r="D942" s="22"/>
      <c r="E942" s="22"/>
      <c r="F942" s="22"/>
      <c r="G942" s="22"/>
      <c r="H942" s="1" t="s">
        <v>33</v>
      </c>
      <c r="I942" s="243" t="s">
        <v>1006</v>
      </c>
      <c r="J942" s="3">
        <v>90</v>
      </c>
      <c r="K942" s="3" t="s">
        <v>55</v>
      </c>
      <c r="L942" s="3">
        <v>61.999999999999986</v>
      </c>
      <c r="M942" s="3">
        <v>2.0999999999999996</v>
      </c>
      <c r="P942" s="4">
        <f t="shared" si="277"/>
        <v>0</v>
      </c>
      <c r="R942" s="3">
        <v>53.999999999999986</v>
      </c>
      <c r="AE942" s="23"/>
      <c r="AN942" s="23"/>
    </row>
    <row r="943" spans="1:50" ht="15" customHeight="1" x14ac:dyDescent="0.2">
      <c r="A943" s="24" t="s">
        <v>408</v>
      </c>
      <c r="B943" s="24" t="s">
        <v>406</v>
      </c>
      <c r="D943" s="22"/>
      <c r="E943" s="22"/>
      <c r="F943" s="22"/>
      <c r="G943" s="22"/>
      <c r="H943" s="2" t="s">
        <v>33</v>
      </c>
      <c r="I943" s="243" t="s">
        <v>1019</v>
      </c>
      <c r="L943" s="3">
        <v>33</v>
      </c>
      <c r="M943" s="3">
        <v>2</v>
      </c>
      <c r="P943" s="4">
        <f t="shared" si="277"/>
        <v>0</v>
      </c>
      <c r="R943" s="3">
        <v>54</v>
      </c>
      <c r="AI943" s="23"/>
      <c r="AN943" s="23"/>
    </row>
    <row r="944" spans="1:50" s="71" customFormat="1" ht="15" customHeight="1" x14ac:dyDescent="0.2">
      <c r="A944" s="70" t="s">
        <v>408</v>
      </c>
      <c r="B944" s="70" t="s">
        <v>406</v>
      </c>
      <c r="C944" s="71" t="s">
        <v>407</v>
      </c>
      <c r="D944" s="71" t="s">
        <v>31</v>
      </c>
      <c r="E944" s="71" t="s">
        <v>46</v>
      </c>
      <c r="F944" s="78" t="s">
        <v>782</v>
      </c>
      <c r="G944" s="78" t="s">
        <v>71</v>
      </c>
      <c r="H944" s="71" t="s">
        <v>33</v>
      </c>
      <c r="I944" s="87"/>
      <c r="J944" s="72">
        <f>AVERAGE(J941:J943)</f>
        <v>90</v>
      </c>
      <c r="K944" s="72"/>
      <c r="L944" s="72">
        <f>AVERAGE(L941:L943)</f>
        <v>47.499999999999993</v>
      </c>
      <c r="M944" s="72">
        <f>AVERAGE(M941:M943)</f>
        <v>3.1</v>
      </c>
      <c r="N944" s="72"/>
      <c r="O944" s="72"/>
      <c r="P944" s="72">
        <f>AVERAGE(P941:P943)</f>
        <v>0</v>
      </c>
      <c r="Q944" s="72"/>
      <c r="R944" s="72">
        <f>AVERAGE(R941:R943)</f>
        <v>53.999999999999993</v>
      </c>
      <c r="S944" s="72"/>
      <c r="T944" s="72"/>
      <c r="U944" s="72"/>
      <c r="V944" s="72"/>
      <c r="W944" s="72"/>
      <c r="X944" s="72"/>
      <c r="Y944" s="72"/>
      <c r="Z944" s="72"/>
      <c r="AA944" s="72"/>
      <c r="AB944" s="72"/>
      <c r="AC944" s="73"/>
      <c r="AD944" s="73"/>
      <c r="AE944" s="73"/>
      <c r="AF944" s="73"/>
      <c r="AG944" s="73"/>
      <c r="AH944" s="73"/>
      <c r="AI944" s="73"/>
      <c r="AJ944" s="73"/>
      <c r="AK944" s="73"/>
      <c r="AL944" s="73"/>
      <c r="AM944" s="73"/>
      <c r="AN944" s="73"/>
      <c r="AO944" s="73"/>
      <c r="AP944" s="73"/>
      <c r="AQ944" s="73"/>
      <c r="AR944" s="73"/>
      <c r="AS944" s="73"/>
      <c r="AT944" s="73"/>
      <c r="AU944" s="73"/>
      <c r="AV944" s="73"/>
      <c r="AW944" s="73"/>
      <c r="AX944" s="73"/>
    </row>
    <row r="945" spans="1:50" s="41" customFormat="1" ht="15" customHeight="1" x14ac:dyDescent="0.2">
      <c r="A945" s="40" t="s">
        <v>409</v>
      </c>
      <c r="B945" s="40" t="s">
        <v>410</v>
      </c>
      <c r="D945" s="22"/>
      <c r="E945" s="22"/>
      <c r="H945" s="41" t="s">
        <v>33</v>
      </c>
      <c r="I945" s="248" t="s">
        <v>1009</v>
      </c>
      <c r="J945" s="43"/>
      <c r="K945" s="43">
        <v>1.56</v>
      </c>
      <c r="L945" s="43">
        <v>175</v>
      </c>
      <c r="M945" s="43">
        <v>3.16</v>
      </c>
      <c r="N945" s="43"/>
      <c r="O945" s="43">
        <v>0.62</v>
      </c>
      <c r="P945" s="4">
        <f t="shared" ref="P945:P946" si="278">AN945</f>
        <v>0</v>
      </c>
      <c r="Q945" s="43">
        <v>7</v>
      </c>
      <c r="R945" s="43"/>
      <c r="S945" s="43"/>
      <c r="T945" s="43"/>
      <c r="U945" s="43"/>
      <c r="V945" s="43"/>
      <c r="W945" s="43"/>
      <c r="X945" s="43"/>
      <c r="Y945" s="43"/>
      <c r="Z945" s="43"/>
      <c r="AA945" s="43"/>
      <c r="AB945" s="43"/>
      <c r="AC945" s="44"/>
      <c r="AD945" s="44"/>
      <c r="AE945" s="44"/>
      <c r="AF945" s="44"/>
      <c r="AG945" s="5"/>
      <c r="AH945" s="44"/>
      <c r="AI945" s="44"/>
      <c r="AJ945" s="44"/>
      <c r="AK945" s="44"/>
      <c r="AL945" s="44"/>
      <c r="AM945" s="44"/>
      <c r="AN945" s="23"/>
      <c r="AO945" s="44"/>
      <c r="AP945" s="44"/>
      <c r="AQ945" s="44"/>
      <c r="AR945" s="44"/>
      <c r="AS945" s="44"/>
      <c r="AT945" s="44"/>
      <c r="AU945" s="44"/>
      <c r="AV945" s="44"/>
      <c r="AW945" s="44"/>
      <c r="AX945" s="44"/>
    </row>
    <row r="946" spans="1:50" s="41" customFormat="1" ht="15" customHeight="1" x14ac:dyDescent="0.2">
      <c r="A946" s="40" t="s">
        <v>409</v>
      </c>
      <c r="B946" s="40" t="s">
        <v>410</v>
      </c>
      <c r="D946" s="22"/>
      <c r="E946" s="22"/>
      <c r="H946" s="41" t="s">
        <v>33</v>
      </c>
      <c r="I946" s="248" t="s">
        <v>1009</v>
      </c>
      <c r="J946" s="43"/>
      <c r="K946" s="43">
        <v>2.0499999999999998</v>
      </c>
      <c r="L946" s="43">
        <v>273</v>
      </c>
      <c r="M946" s="43">
        <v>13.32</v>
      </c>
      <c r="N946" s="43"/>
      <c r="O946" s="43">
        <v>0.9</v>
      </c>
      <c r="P946" s="4">
        <f t="shared" si="278"/>
        <v>0</v>
      </c>
      <c r="Q946" s="43">
        <v>15</v>
      </c>
      <c r="R946" s="43">
        <v>29</v>
      </c>
      <c r="S946" s="43">
        <v>3.74</v>
      </c>
      <c r="T946" s="43"/>
      <c r="U946" s="43"/>
      <c r="V946" s="43"/>
      <c r="W946" s="43"/>
      <c r="X946" s="43"/>
      <c r="Y946" s="43"/>
      <c r="Z946" s="43"/>
      <c r="AA946" s="43"/>
      <c r="AB946" s="43"/>
      <c r="AC946" s="44"/>
      <c r="AD946" s="44"/>
      <c r="AE946" s="44"/>
      <c r="AF946" s="44"/>
      <c r="AG946" s="5"/>
      <c r="AH946" s="44"/>
      <c r="AI946" s="44"/>
      <c r="AJ946" s="44"/>
      <c r="AK946" s="44"/>
      <c r="AL946" s="44"/>
      <c r="AM946" s="44"/>
      <c r="AN946" s="23"/>
      <c r="AO946" s="44"/>
      <c r="AP946" s="44"/>
      <c r="AQ946" s="44"/>
      <c r="AR946" s="44"/>
      <c r="AS946" s="44"/>
      <c r="AT946" s="44"/>
      <c r="AU946" s="44"/>
      <c r="AV946" s="44"/>
      <c r="AW946" s="44"/>
      <c r="AX946" s="44"/>
    </row>
    <row r="947" spans="1:50" s="71" customFormat="1" ht="15" customHeight="1" x14ac:dyDescent="0.2">
      <c r="A947" s="70" t="s">
        <v>409</v>
      </c>
      <c r="B947" s="70" t="s">
        <v>410</v>
      </c>
      <c r="C947" s="71" t="s">
        <v>411</v>
      </c>
      <c r="D947" s="71" t="s">
        <v>31</v>
      </c>
      <c r="E947" s="71" t="s">
        <v>46</v>
      </c>
      <c r="F947" s="78" t="s">
        <v>782</v>
      </c>
      <c r="G947" s="78" t="s">
        <v>71</v>
      </c>
      <c r="H947" s="71" t="s">
        <v>33</v>
      </c>
      <c r="I947" s="87"/>
      <c r="J947" s="72" t="s">
        <v>0</v>
      </c>
      <c r="K947" s="72">
        <f>AVERAGE(K945:K946)</f>
        <v>1.8049999999999999</v>
      </c>
      <c r="L947" s="72">
        <f>AVERAGE(L945:L946)</f>
        <v>224</v>
      </c>
      <c r="M947" s="72">
        <f>AVERAGE(M945:M946)</f>
        <v>8.24</v>
      </c>
      <c r="N947" s="72"/>
      <c r="O947" s="72">
        <f t="shared" ref="O947:S947" si="279">AVERAGE(O945:O946)</f>
        <v>0.76</v>
      </c>
      <c r="P947" s="72">
        <f t="shared" si="279"/>
        <v>0</v>
      </c>
      <c r="Q947" s="72">
        <f t="shared" si="279"/>
        <v>11</v>
      </c>
      <c r="R947" s="72">
        <f t="shared" si="279"/>
        <v>29</v>
      </c>
      <c r="S947" s="72">
        <f t="shared" si="279"/>
        <v>3.74</v>
      </c>
      <c r="T947" s="72"/>
      <c r="U947" s="72"/>
      <c r="V947" s="72"/>
      <c r="W947" s="72"/>
      <c r="X947" s="72"/>
      <c r="Y947" s="72"/>
      <c r="Z947" s="72"/>
      <c r="AA947" s="72"/>
      <c r="AB947" s="72"/>
      <c r="AC947" s="73"/>
      <c r="AD947" s="73"/>
      <c r="AE947" s="73"/>
      <c r="AF947" s="73"/>
      <c r="AG947" s="73"/>
      <c r="AH947" s="73"/>
      <c r="AI947" s="73"/>
      <c r="AJ947" s="73"/>
      <c r="AK947" s="73"/>
      <c r="AL947" s="73"/>
      <c r="AM947" s="73"/>
      <c r="AN947" s="73"/>
      <c r="AO947" s="73"/>
      <c r="AP947" s="73"/>
      <c r="AQ947" s="73"/>
      <c r="AR947" s="73"/>
      <c r="AS947" s="73"/>
      <c r="AT947" s="73"/>
      <c r="AU947" s="73"/>
      <c r="AV947" s="73"/>
      <c r="AW947" s="73"/>
      <c r="AX947" s="73"/>
    </row>
    <row r="948" spans="1:50" ht="15" customHeight="1" x14ac:dyDescent="0.2">
      <c r="A948" s="24" t="s">
        <v>412</v>
      </c>
      <c r="B948" s="24" t="s">
        <v>413</v>
      </c>
      <c r="D948" s="22"/>
      <c r="E948" s="22"/>
      <c r="H948" s="2" t="s">
        <v>27</v>
      </c>
      <c r="I948" s="243" t="s">
        <v>1005</v>
      </c>
      <c r="J948" s="3">
        <v>94.2</v>
      </c>
      <c r="K948" s="3">
        <v>1.7</v>
      </c>
      <c r="L948" s="3">
        <v>12</v>
      </c>
      <c r="M948" s="3">
        <v>0.3</v>
      </c>
      <c r="P948" s="4">
        <f t="shared" ref="P948:P949" si="280">AN948</f>
        <v>0</v>
      </c>
      <c r="Q948" s="3">
        <v>37</v>
      </c>
      <c r="R948" s="3">
        <v>3</v>
      </c>
      <c r="AI948" s="23"/>
      <c r="AN948" s="23"/>
    </row>
    <row r="949" spans="1:50" ht="15" customHeight="1" x14ac:dyDescent="0.2">
      <c r="A949" s="24" t="s">
        <v>412</v>
      </c>
      <c r="B949" s="24" t="s">
        <v>414</v>
      </c>
      <c r="D949" s="22"/>
      <c r="E949" s="22"/>
      <c r="H949" s="2" t="s">
        <v>27</v>
      </c>
      <c r="I949" s="243" t="s">
        <v>1010</v>
      </c>
      <c r="J949" s="3">
        <v>94.6</v>
      </c>
      <c r="K949" s="3">
        <v>0.5</v>
      </c>
      <c r="L949" s="3">
        <v>18</v>
      </c>
      <c r="M949" s="3">
        <v>0.5</v>
      </c>
      <c r="P949" s="4">
        <f t="shared" si="280"/>
        <v>0</v>
      </c>
      <c r="R949" s="3">
        <v>12</v>
      </c>
      <c r="AN949" s="23"/>
    </row>
    <row r="950" spans="1:50" s="71" customFormat="1" ht="15" customHeight="1" x14ac:dyDescent="0.2">
      <c r="A950" s="70" t="s">
        <v>412</v>
      </c>
      <c r="B950" s="70" t="s">
        <v>414</v>
      </c>
      <c r="C950" s="71" t="s">
        <v>415</v>
      </c>
      <c r="D950" s="71" t="s">
        <v>56</v>
      </c>
      <c r="E950" s="71" t="s">
        <v>42</v>
      </c>
      <c r="F950" s="71" t="s">
        <v>784</v>
      </c>
      <c r="H950" s="71" t="s">
        <v>27</v>
      </c>
      <c r="I950" s="87"/>
      <c r="J950" s="72">
        <f t="shared" ref="J950" si="281">AVERAGE(J948:J949)</f>
        <v>94.4</v>
      </c>
      <c r="K950" s="72">
        <f>AVERAGE(K948:K949)</f>
        <v>1.1000000000000001</v>
      </c>
      <c r="L950" s="72">
        <f>AVERAGE(L948:L949)</f>
        <v>15</v>
      </c>
      <c r="M950" s="72">
        <f>AVERAGE(M948:M949)</f>
        <v>0.4</v>
      </c>
      <c r="N950" s="72"/>
      <c r="O950" s="72"/>
      <c r="P950" s="72">
        <f>AVERAGE(P948:P949)</f>
        <v>0</v>
      </c>
      <c r="Q950" s="72">
        <f>AVERAGE(Q948:Q949)</f>
        <v>37</v>
      </c>
      <c r="R950" s="72">
        <f>AVERAGE(R948:R949)</f>
        <v>7.5</v>
      </c>
      <c r="S950" s="72"/>
      <c r="T950" s="72"/>
      <c r="U950" s="72"/>
      <c r="V950" s="72"/>
      <c r="W950" s="72"/>
      <c r="X950" s="72"/>
      <c r="Y950" s="72"/>
      <c r="Z950" s="72"/>
      <c r="AA950" s="72"/>
      <c r="AB950" s="72"/>
      <c r="AC950" s="73"/>
      <c r="AD950" s="73"/>
      <c r="AE950" s="73"/>
      <c r="AF950" s="73"/>
      <c r="AG950" s="73"/>
      <c r="AH950" s="73"/>
      <c r="AI950" s="73"/>
      <c r="AJ950" s="73"/>
      <c r="AK950" s="73"/>
      <c r="AL950" s="73"/>
      <c r="AM950" s="73"/>
      <c r="AN950" s="73"/>
      <c r="AO950" s="73"/>
      <c r="AP950" s="73"/>
      <c r="AQ950" s="73"/>
      <c r="AR950" s="73"/>
      <c r="AS950" s="73"/>
      <c r="AT950" s="73"/>
      <c r="AU950" s="73"/>
      <c r="AV950" s="73"/>
      <c r="AW950" s="73"/>
      <c r="AX950" s="73"/>
    </row>
    <row r="951" spans="1:50" s="22" customFormat="1" ht="15" customHeight="1" x14ac:dyDescent="0.2">
      <c r="A951" s="21" t="s">
        <v>412</v>
      </c>
      <c r="B951" s="21" t="s">
        <v>416</v>
      </c>
      <c r="C951" s="22" t="s">
        <v>0</v>
      </c>
      <c r="H951" s="22" t="s">
        <v>166</v>
      </c>
      <c r="I951" s="65" t="s">
        <v>1009</v>
      </c>
      <c r="J951" s="4"/>
      <c r="K951" s="4">
        <v>1.23</v>
      </c>
      <c r="L951" s="4">
        <v>58</v>
      </c>
      <c r="M951" s="4">
        <v>1.1599999999999999</v>
      </c>
      <c r="N951" s="4"/>
      <c r="O951" s="4"/>
      <c r="P951" s="4">
        <f t="shared" ref="P951" si="282">AN951</f>
        <v>0</v>
      </c>
      <c r="Q951" s="4"/>
      <c r="R951" s="4">
        <v>20</v>
      </c>
      <c r="S951" s="4">
        <v>1.1100000000000001</v>
      </c>
      <c r="T951" s="4"/>
      <c r="U951" s="4"/>
      <c r="V951" s="4"/>
      <c r="W951" s="4"/>
      <c r="X951" s="4"/>
      <c r="Y951" s="4"/>
      <c r="Z951" s="4"/>
      <c r="AA951" s="4"/>
      <c r="AB951" s="4"/>
      <c r="AC951" s="23"/>
      <c r="AD951" s="23"/>
      <c r="AE951" s="23"/>
      <c r="AF951" s="23"/>
      <c r="AG951" s="5"/>
      <c r="AH951" s="23"/>
      <c r="AI951" s="23"/>
      <c r="AJ951" s="23"/>
      <c r="AK951" s="23"/>
      <c r="AL951" s="23"/>
      <c r="AM951" s="23"/>
      <c r="AN951" s="23"/>
      <c r="AO951" s="23"/>
      <c r="AP951" s="23"/>
      <c r="AQ951" s="23"/>
      <c r="AR951" s="23"/>
      <c r="AS951" s="23"/>
      <c r="AT951" s="23"/>
      <c r="AU951" s="23"/>
      <c r="AV951" s="23"/>
      <c r="AW951" s="23"/>
      <c r="AX951" s="23"/>
    </row>
    <row r="952" spans="1:50" s="71" customFormat="1" ht="15" customHeight="1" x14ac:dyDescent="0.2">
      <c r="A952" s="70" t="s">
        <v>412</v>
      </c>
      <c r="B952" s="70" t="s">
        <v>416</v>
      </c>
      <c r="C952" s="71" t="s">
        <v>415</v>
      </c>
      <c r="D952" s="71" t="s">
        <v>56</v>
      </c>
      <c r="E952" s="71" t="s">
        <v>42</v>
      </c>
      <c r="F952" s="71" t="s">
        <v>784</v>
      </c>
      <c r="H952" s="71" t="s">
        <v>166</v>
      </c>
      <c r="I952" s="87"/>
      <c r="J952" s="72"/>
      <c r="K952" s="72">
        <f>K951</f>
        <v>1.23</v>
      </c>
      <c r="L952" s="72">
        <f>L951</f>
        <v>58</v>
      </c>
      <c r="M952" s="72">
        <f>M951</f>
        <v>1.1599999999999999</v>
      </c>
      <c r="N952" s="72"/>
      <c r="O952" s="72"/>
      <c r="P952" s="72">
        <f>P951</f>
        <v>0</v>
      </c>
      <c r="Q952" s="72"/>
      <c r="R952" s="72">
        <f>R951</f>
        <v>20</v>
      </c>
      <c r="S952" s="72">
        <f>S951</f>
        <v>1.1100000000000001</v>
      </c>
      <c r="T952" s="72"/>
      <c r="U952" s="72"/>
      <c r="V952" s="72"/>
      <c r="W952" s="72"/>
      <c r="X952" s="72"/>
      <c r="Y952" s="72"/>
      <c r="Z952" s="72"/>
      <c r="AA952" s="72"/>
      <c r="AB952" s="72"/>
      <c r="AC952" s="73"/>
      <c r="AD952" s="73"/>
      <c r="AE952" s="73"/>
      <c r="AF952" s="73"/>
      <c r="AG952" s="73"/>
      <c r="AH952" s="73"/>
      <c r="AI952" s="73"/>
      <c r="AJ952" s="73"/>
      <c r="AK952" s="73"/>
      <c r="AL952" s="73"/>
      <c r="AM952" s="73"/>
      <c r="AN952" s="73"/>
      <c r="AO952" s="73"/>
      <c r="AP952" s="73"/>
      <c r="AQ952" s="73"/>
      <c r="AR952" s="73"/>
      <c r="AS952" s="73"/>
      <c r="AT952" s="73"/>
      <c r="AU952" s="73"/>
      <c r="AV952" s="73"/>
      <c r="AW952" s="73"/>
      <c r="AX952" s="73"/>
    </row>
    <row r="953" spans="1:50" ht="15" customHeight="1" x14ac:dyDescent="0.2">
      <c r="A953" s="24" t="s">
        <v>412</v>
      </c>
      <c r="B953" s="24" t="s">
        <v>416</v>
      </c>
      <c r="D953" s="22"/>
      <c r="E953" s="22"/>
      <c r="H953" s="2" t="s">
        <v>27</v>
      </c>
      <c r="I953" s="243" t="s">
        <v>1009</v>
      </c>
      <c r="K953" s="3">
        <v>0.23</v>
      </c>
      <c r="L953" s="3">
        <v>14</v>
      </c>
      <c r="M953" s="3">
        <v>0.96</v>
      </c>
      <c r="O953" s="3">
        <v>0.43</v>
      </c>
      <c r="P953" s="4">
        <f t="shared" ref="P953:P955" si="283">AN953</f>
        <v>0</v>
      </c>
      <c r="R953" s="3">
        <v>8</v>
      </c>
      <c r="S953" s="3">
        <v>0.1</v>
      </c>
      <c r="AN953" s="23"/>
    </row>
    <row r="954" spans="1:50" ht="15" customHeight="1" x14ac:dyDescent="0.2">
      <c r="A954" s="31" t="s">
        <v>412</v>
      </c>
      <c r="B954" s="24" t="s">
        <v>416</v>
      </c>
      <c r="D954" s="22"/>
      <c r="E954" s="22"/>
      <c r="H954" s="2" t="s">
        <v>27</v>
      </c>
      <c r="I954" s="243" t="s">
        <v>1009</v>
      </c>
      <c r="K954" s="3">
        <v>0.18</v>
      </c>
      <c r="L954" s="3">
        <v>13</v>
      </c>
      <c r="M954" s="3">
        <v>0.73</v>
      </c>
      <c r="O954" s="3">
        <v>0.1</v>
      </c>
      <c r="P954" s="4">
        <f t="shared" si="283"/>
        <v>0</v>
      </c>
      <c r="R954" s="3">
        <v>8.5</v>
      </c>
      <c r="AN954" s="23"/>
    </row>
    <row r="955" spans="1:50" ht="15" customHeight="1" x14ac:dyDescent="0.2">
      <c r="A955" s="24" t="s">
        <v>412</v>
      </c>
      <c r="B955" s="24" t="s">
        <v>416</v>
      </c>
      <c r="D955" s="22"/>
      <c r="E955" s="22"/>
      <c r="H955" s="2" t="s">
        <v>27</v>
      </c>
      <c r="I955" s="243" t="s">
        <v>1010</v>
      </c>
      <c r="J955" s="3">
        <v>93.7</v>
      </c>
      <c r="K955" s="3">
        <v>1</v>
      </c>
      <c r="L955" s="3">
        <v>24</v>
      </c>
      <c r="M955" s="3">
        <v>0.7</v>
      </c>
      <c r="N955" s="3">
        <v>19</v>
      </c>
      <c r="P955" s="4">
        <f t="shared" si="283"/>
        <v>0</v>
      </c>
      <c r="R955" s="3">
        <v>10</v>
      </c>
      <c r="AI955" s="23"/>
      <c r="AN955" s="23"/>
    </row>
    <row r="956" spans="1:50" ht="15" customHeight="1" x14ac:dyDescent="0.2">
      <c r="A956" s="31" t="s">
        <v>412</v>
      </c>
      <c r="B956" s="24" t="s">
        <v>416</v>
      </c>
      <c r="D956" s="22"/>
      <c r="E956" s="22"/>
      <c r="H956" s="2" t="s">
        <v>27</v>
      </c>
      <c r="I956" s="243" t="s">
        <v>1009</v>
      </c>
      <c r="K956" s="3">
        <v>0.14000000000000001</v>
      </c>
      <c r="L956" s="3">
        <v>17</v>
      </c>
      <c r="M956" s="3">
        <v>0.32</v>
      </c>
      <c r="O956" s="3">
        <v>7.0000000000000007E-2</v>
      </c>
      <c r="P956" s="4" t="s">
        <v>0</v>
      </c>
      <c r="R956" s="3">
        <v>12</v>
      </c>
      <c r="S956" s="3">
        <v>0.1</v>
      </c>
    </row>
    <row r="957" spans="1:50" ht="15" customHeight="1" x14ac:dyDescent="0.2">
      <c r="A957" s="24" t="s">
        <v>412</v>
      </c>
      <c r="B957" s="24" t="s">
        <v>416</v>
      </c>
      <c r="D957" s="22"/>
      <c r="E957" s="22"/>
      <c r="H957" s="2" t="s">
        <v>27</v>
      </c>
      <c r="I957" s="243" t="s">
        <v>1009</v>
      </c>
      <c r="K957" s="3">
        <v>0.17</v>
      </c>
      <c r="L957" s="3">
        <v>10</v>
      </c>
      <c r="M957" s="3">
        <v>0.26</v>
      </c>
      <c r="O957" s="3">
        <v>0.16</v>
      </c>
      <c r="P957" s="4" t="s">
        <v>0</v>
      </c>
      <c r="R957" s="3">
        <v>4</v>
      </c>
      <c r="S957" s="3">
        <v>0.13</v>
      </c>
    </row>
    <row r="958" spans="1:50" ht="15" customHeight="1" x14ac:dyDescent="0.2">
      <c r="A958" s="31" t="s">
        <v>412</v>
      </c>
      <c r="B958" s="24" t="s">
        <v>416</v>
      </c>
      <c r="D958" s="22"/>
      <c r="E958" s="22"/>
      <c r="H958" s="2" t="s">
        <v>27</v>
      </c>
      <c r="I958" s="243" t="s">
        <v>1009</v>
      </c>
      <c r="K958" s="3">
        <v>0.2</v>
      </c>
      <c r="L958" s="3">
        <v>11</v>
      </c>
      <c r="O958" s="3">
        <v>0.09</v>
      </c>
      <c r="P958" s="4" t="s">
        <v>0</v>
      </c>
      <c r="R958" s="3">
        <v>6</v>
      </c>
      <c r="S958" s="3">
        <v>0.13</v>
      </c>
    </row>
    <row r="959" spans="1:50" s="71" customFormat="1" ht="15" customHeight="1" x14ac:dyDescent="0.2">
      <c r="A959" s="77" t="s">
        <v>412</v>
      </c>
      <c r="B959" s="70" t="s">
        <v>416</v>
      </c>
      <c r="C959" s="71" t="s">
        <v>415</v>
      </c>
      <c r="D959" s="71" t="s">
        <v>56</v>
      </c>
      <c r="E959" s="71" t="s">
        <v>42</v>
      </c>
      <c r="F959" s="71" t="s">
        <v>784</v>
      </c>
      <c r="H959" s="71" t="s">
        <v>27</v>
      </c>
      <c r="I959" s="87"/>
      <c r="J959" s="72">
        <f t="shared" ref="J959" si="284">AVERAGE(J953:J958)</f>
        <v>93.7</v>
      </c>
      <c r="K959" s="72">
        <f t="shared" ref="K959:P959" si="285">AVERAGE(K953:K958)</f>
        <v>0.32</v>
      </c>
      <c r="L959" s="72">
        <f t="shared" si="285"/>
        <v>14.833333333333334</v>
      </c>
      <c r="M959" s="72">
        <f t="shared" si="285"/>
        <v>0.59399999999999997</v>
      </c>
      <c r="N959" s="72">
        <f t="shared" si="285"/>
        <v>19</v>
      </c>
      <c r="O959" s="72">
        <f t="shared" si="285"/>
        <v>0.17</v>
      </c>
      <c r="P959" s="72">
        <f t="shared" si="285"/>
        <v>0</v>
      </c>
      <c r="Q959" s="72"/>
      <c r="R959" s="72">
        <f>AVERAGE(R953:R958)</f>
        <v>8.0833333333333339</v>
      </c>
      <c r="S959" s="72">
        <f>AVERAGE(S953:S958)</f>
        <v>0.115</v>
      </c>
      <c r="T959" s="72"/>
      <c r="U959" s="72"/>
      <c r="V959" s="72"/>
      <c r="W959" s="72"/>
      <c r="X959" s="72"/>
      <c r="Y959" s="72"/>
      <c r="Z959" s="72"/>
      <c r="AA959" s="72"/>
      <c r="AB959" s="72"/>
      <c r="AC959" s="73"/>
      <c r="AD959" s="73"/>
      <c r="AE959" s="73"/>
      <c r="AF959" s="73"/>
      <c r="AG959" s="73"/>
      <c r="AH959" s="73"/>
      <c r="AI959" s="73"/>
      <c r="AJ959" s="73"/>
      <c r="AK959" s="73"/>
      <c r="AL959" s="73"/>
      <c r="AM959" s="73"/>
      <c r="AN959" s="73"/>
      <c r="AO959" s="73"/>
      <c r="AP959" s="73"/>
      <c r="AQ959" s="73"/>
      <c r="AR959" s="73"/>
      <c r="AS959" s="73"/>
      <c r="AT959" s="73"/>
      <c r="AU959" s="73"/>
      <c r="AV959" s="73"/>
      <c r="AW959" s="73"/>
      <c r="AX959" s="73"/>
    </row>
    <row r="960" spans="1:50" ht="15" customHeight="1" x14ac:dyDescent="0.2">
      <c r="A960" s="24" t="s">
        <v>417</v>
      </c>
      <c r="B960" s="24" t="s">
        <v>57</v>
      </c>
      <c r="D960" s="22"/>
      <c r="E960" s="22"/>
      <c r="H960" s="2" t="s">
        <v>33</v>
      </c>
      <c r="I960" s="243" t="s">
        <v>1009</v>
      </c>
      <c r="K960" s="3">
        <v>2.6</v>
      </c>
      <c r="L960" s="3">
        <v>194</v>
      </c>
      <c r="M960" s="3">
        <v>1.42</v>
      </c>
      <c r="O960" s="3">
        <v>0.6</v>
      </c>
      <c r="P960" s="4">
        <f t="shared" ref="P960" si="286">AN960</f>
        <v>0</v>
      </c>
      <c r="Q960" s="3">
        <v>76</v>
      </c>
      <c r="R960" s="3">
        <v>21</v>
      </c>
      <c r="S960" s="3">
        <v>14.9</v>
      </c>
      <c r="AN960" s="23"/>
    </row>
    <row r="961" spans="1:50" ht="15" customHeight="1" x14ac:dyDescent="0.2">
      <c r="A961" s="24" t="s">
        <v>417</v>
      </c>
      <c r="B961" s="24" t="s">
        <v>57</v>
      </c>
      <c r="D961" s="22"/>
      <c r="E961" s="22"/>
      <c r="H961" s="2" t="s">
        <v>33</v>
      </c>
      <c r="I961" s="243" t="s">
        <v>1030</v>
      </c>
      <c r="M961" s="3">
        <v>9.5</v>
      </c>
      <c r="P961" s="4" t="s">
        <v>0</v>
      </c>
    </row>
    <row r="962" spans="1:50" ht="15" customHeight="1" x14ac:dyDescent="0.2">
      <c r="A962" s="24" t="s">
        <v>417</v>
      </c>
      <c r="B962" s="24" t="s">
        <v>57</v>
      </c>
      <c r="D962" s="22"/>
      <c r="E962" s="22"/>
      <c r="H962" s="2" t="s">
        <v>33</v>
      </c>
      <c r="I962" s="243" t="s">
        <v>1021</v>
      </c>
      <c r="J962" s="3">
        <v>87.8</v>
      </c>
      <c r="K962" s="3">
        <v>1.6</v>
      </c>
      <c r="L962" s="3">
        <v>36</v>
      </c>
      <c r="M962" s="3">
        <v>2.4</v>
      </c>
      <c r="N962" s="3">
        <v>74</v>
      </c>
      <c r="O962" s="3">
        <v>0.24</v>
      </c>
      <c r="P962" s="4">
        <v>0.3</v>
      </c>
      <c r="R962" s="3">
        <v>58</v>
      </c>
      <c r="S962" s="3">
        <v>2.99</v>
      </c>
    </row>
    <row r="963" spans="1:50" ht="15" customHeight="1" x14ac:dyDescent="0.2">
      <c r="A963" s="24" t="s">
        <v>417</v>
      </c>
      <c r="B963" s="24" t="s">
        <v>57</v>
      </c>
      <c r="D963" s="22"/>
      <c r="E963" s="22"/>
      <c r="H963" s="2" t="s">
        <v>33</v>
      </c>
      <c r="I963" s="243" t="s">
        <v>1010</v>
      </c>
      <c r="J963" s="3">
        <v>88.9</v>
      </c>
      <c r="K963" s="3">
        <v>1.4</v>
      </c>
      <c r="L963" s="3">
        <v>187</v>
      </c>
      <c r="M963" s="3">
        <v>4.3</v>
      </c>
      <c r="P963" s="4" t="s">
        <v>0</v>
      </c>
      <c r="R963" s="3">
        <v>8</v>
      </c>
    </row>
    <row r="964" spans="1:50" ht="15" customHeight="1" x14ac:dyDescent="0.2">
      <c r="A964" s="31" t="s">
        <v>417</v>
      </c>
      <c r="B964" s="31" t="s">
        <v>57</v>
      </c>
      <c r="C964" s="1"/>
      <c r="D964" s="22"/>
      <c r="E964" s="22"/>
      <c r="H964" s="1" t="s">
        <v>33</v>
      </c>
      <c r="I964" s="243" t="s">
        <v>1006</v>
      </c>
      <c r="J964" s="3">
        <v>90</v>
      </c>
      <c r="K964" s="3">
        <v>1.2999999999999998</v>
      </c>
      <c r="L964" s="3">
        <v>1.4800239999999998</v>
      </c>
      <c r="M964" s="3">
        <v>5.3975999999999989E-2</v>
      </c>
      <c r="P964" s="4">
        <f t="shared" ref="P964:P965" si="287">AN964</f>
        <v>0</v>
      </c>
      <c r="R964" s="3">
        <v>7.9975999999999994</v>
      </c>
      <c r="AE964" s="23"/>
      <c r="AN964" s="23"/>
    </row>
    <row r="965" spans="1:50" ht="15" customHeight="1" x14ac:dyDescent="0.2">
      <c r="A965" s="24" t="s">
        <v>417</v>
      </c>
      <c r="B965" s="24" t="s">
        <v>57</v>
      </c>
      <c r="D965" s="22"/>
      <c r="E965" s="22"/>
      <c r="H965" s="1" t="s">
        <v>33</v>
      </c>
      <c r="I965" s="243" t="s">
        <v>1004</v>
      </c>
      <c r="J965" s="3">
        <v>90</v>
      </c>
      <c r="K965" s="3">
        <v>1.3</v>
      </c>
      <c r="L965" s="3">
        <v>142</v>
      </c>
      <c r="P965" s="4">
        <f t="shared" si="287"/>
        <v>0</v>
      </c>
      <c r="R965" s="3">
        <v>8</v>
      </c>
      <c r="AN965" s="23"/>
    </row>
    <row r="966" spans="1:50" s="71" customFormat="1" ht="15" customHeight="1" x14ac:dyDescent="0.2">
      <c r="A966" s="70" t="s">
        <v>417</v>
      </c>
      <c r="B966" s="70" t="s">
        <v>57</v>
      </c>
      <c r="C966" s="71" t="s">
        <v>418</v>
      </c>
      <c r="D966" s="71" t="s">
        <v>31</v>
      </c>
      <c r="E966" s="71" t="s">
        <v>32</v>
      </c>
      <c r="F966" s="71" t="s">
        <v>783</v>
      </c>
      <c r="H966" s="78" t="s">
        <v>33</v>
      </c>
      <c r="I966" s="87"/>
      <c r="J966" s="72">
        <f t="shared" ref="J966" si="288">AVERAGE(J960:J965)</f>
        <v>89.174999999999997</v>
      </c>
      <c r="K966" s="72">
        <f t="shared" ref="K966:S966" si="289">AVERAGE(K960:K965)</f>
        <v>1.64</v>
      </c>
      <c r="L966" s="72">
        <f t="shared" si="289"/>
        <v>112.09600479999999</v>
      </c>
      <c r="M966" s="72">
        <f t="shared" si="289"/>
        <v>3.5347952</v>
      </c>
      <c r="N966" s="72">
        <f t="shared" si="289"/>
        <v>74</v>
      </c>
      <c r="O966" s="72">
        <f t="shared" si="289"/>
        <v>0.42</v>
      </c>
      <c r="P966" s="72">
        <f t="shared" si="289"/>
        <v>7.4999999999999997E-2</v>
      </c>
      <c r="Q966" s="72">
        <f t="shared" si="289"/>
        <v>76</v>
      </c>
      <c r="R966" s="72">
        <f t="shared" si="289"/>
        <v>20.599520000000002</v>
      </c>
      <c r="S966" s="72">
        <f t="shared" si="289"/>
        <v>8.9450000000000003</v>
      </c>
      <c r="T966" s="72"/>
      <c r="U966" s="72"/>
      <c r="V966" s="72"/>
      <c r="W966" s="72"/>
      <c r="X966" s="72"/>
      <c r="Y966" s="72"/>
      <c r="Z966" s="72"/>
      <c r="AA966" s="72"/>
      <c r="AB966" s="72"/>
      <c r="AC966" s="73"/>
      <c r="AD966" s="73"/>
      <c r="AE966" s="73"/>
      <c r="AF966" s="73"/>
      <c r="AG966" s="73"/>
      <c r="AH966" s="73"/>
      <c r="AI966" s="73"/>
      <c r="AJ966" s="73"/>
      <c r="AK966" s="73"/>
      <c r="AL966" s="73"/>
      <c r="AM966" s="73"/>
      <c r="AN966" s="73"/>
      <c r="AO966" s="73"/>
      <c r="AP966" s="73"/>
      <c r="AQ966" s="73"/>
      <c r="AR966" s="73"/>
      <c r="AS966" s="73"/>
      <c r="AT966" s="73"/>
      <c r="AU966" s="73"/>
      <c r="AV966" s="73"/>
      <c r="AW966" s="73"/>
      <c r="AX966" s="73"/>
    </row>
    <row r="967" spans="1:50" ht="15" customHeight="1" x14ac:dyDescent="0.2">
      <c r="A967" s="31" t="s">
        <v>419</v>
      </c>
      <c r="B967" s="31" t="s">
        <v>420</v>
      </c>
      <c r="C967" s="1"/>
      <c r="D967" s="22"/>
      <c r="E967" s="22"/>
      <c r="F967" s="1"/>
      <c r="G967" s="1"/>
      <c r="H967" s="1" t="s">
        <v>28</v>
      </c>
      <c r="I967" s="243" t="s">
        <v>1006</v>
      </c>
      <c r="J967" s="3">
        <v>77</v>
      </c>
      <c r="K967" s="3" t="s">
        <v>55</v>
      </c>
      <c r="L967" s="3" t="s">
        <v>55</v>
      </c>
      <c r="M967" s="3" t="s">
        <v>55</v>
      </c>
      <c r="P967" s="4" t="s">
        <v>0</v>
      </c>
      <c r="R967" s="3" t="s">
        <v>55</v>
      </c>
    </row>
    <row r="968" spans="1:50" ht="15" customHeight="1" x14ac:dyDescent="0.2">
      <c r="A968" s="31" t="s">
        <v>419</v>
      </c>
      <c r="B968" s="31" t="s">
        <v>420</v>
      </c>
      <c r="C968" s="1"/>
      <c r="D968" s="22"/>
      <c r="E968" s="22"/>
      <c r="F968" s="1"/>
      <c r="G968" s="1"/>
      <c r="H968" s="1" t="s">
        <v>28</v>
      </c>
      <c r="I968" s="243" t="s">
        <v>1006</v>
      </c>
      <c r="J968" s="3">
        <v>77</v>
      </c>
      <c r="K968" s="3" t="s">
        <v>55</v>
      </c>
      <c r="L968" s="3" t="s">
        <v>55</v>
      </c>
      <c r="M968" s="3" t="s">
        <v>55</v>
      </c>
      <c r="P968" s="4" t="s">
        <v>0</v>
      </c>
      <c r="R968" s="3" t="s">
        <v>55</v>
      </c>
    </row>
    <row r="969" spans="1:50" ht="15" customHeight="1" x14ac:dyDescent="0.2">
      <c r="A969" s="24" t="s">
        <v>419</v>
      </c>
      <c r="B969" s="24" t="s">
        <v>420</v>
      </c>
      <c r="D969" s="22"/>
      <c r="E969" s="22"/>
      <c r="H969" s="2" t="s">
        <v>28</v>
      </c>
      <c r="I969" s="243" t="s">
        <v>421</v>
      </c>
      <c r="J969" s="3">
        <v>77.400000000000006</v>
      </c>
      <c r="K969" s="3">
        <v>2.2000000000000002</v>
      </c>
      <c r="L969" s="3">
        <v>26.6</v>
      </c>
      <c r="M969" s="3">
        <v>0.9</v>
      </c>
      <c r="N969" s="3">
        <v>12.7</v>
      </c>
      <c r="O969" s="3">
        <v>0.5</v>
      </c>
      <c r="P969" s="4">
        <f t="shared" ref="P969" si="290">AN969</f>
        <v>0</v>
      </c>
      <c r="AI969" s="23"/>
      <c r="AN969" s="23"/>
    </row>
    <row r="970" spans="1:50" s="71" customFormat="1" ht="15" customHeight="1" x14ac:dyDescent="0.2">
      <c r="A970" s="70" t="s">
        <v>419</v>
      </c>
      <c r="B970" s="70" t="s">
        <v>420</v>
      </c>
      <c r="C970" s="71" t="s">
        <v>418</v>
      </c>
      <c r="D970" s="71" t="s">
        <v>31</v>
      </c>
      <c r="E970" s="71" t="s">
        <v>32</v>
      </c>
      <c r="F970" s="71" t="s">
        <v>783</v>
      </c>
      <c r="H970" s="71" t="s">
        <v>28</v>
      </c>
      <c r="I970" s="87"/>
      <c r="J970" s="72">
        <f t="shared" ref="J970:P970" si="291">AVERAGE(J967:J969)</f>
        <v>77.13333333333334</v>
      </c>
      <c r="K970" s="72">
        <f t="shared" si="291"/>
        <v>2.2000000000000002</v>
      </c>
      <c r="L970" s="72">
        <f t="shared" si="291"/>
        <v>26.6</v>
      </c>
      <c r="M970" s="72">
        <f t="shared" si="291"/>
        <v>0.9</v>
      </c>
      <c r="N970" s="72">
        <f t="shared" si="291"/>
        <v>12.7</v>
      </c>
      <c r="O970" s="72">
        <f t="shared" si="291"/>
        <v>0.5</v>
      </c>
      <c r="P970" s="72">
        <f t="shared" si="291"/>
        <v>0</v>
      </c>
      <c r="Q970" s="72"/>
      <c r="R970" s="72"/>
      <c r="S970" s="72"/>
      <c r="T970" s="72"/>
      <c r="U970" s="72"/>
      <c r="V970" s="72"/>
      <c r="W970" s="72"/>
      <c r="X970" s="72"/>
      <c r="Y970" s="72"/>
      <c r="Z970" s="72"/>
      <c r="AA970" s="72"/>
      <c r="AB970" s="72"/>
      <c r="AC970" s="73"/>
      <c r="AD970" s="73"/>
      <c r="AE970" s="73"/>
      <c r="AF970" s="73"/>
      <c r="AG970" s="73"/>
      <c r="AH970" s="73"/>
      <c r="AI970" s="73"/>
      <c r="AJ970" s="73"/>
      <c r="AK970" s="73"/>
      <c r="AL970" s="73"/>
      <c r="AM970" s="73"/>
      <c r="AN970" s="73"/>
      <c r="AO970" s="73"/>
      <c r="AP970" s="73"/>
      <c r="AQ970" s="73"/>
      <c r="AR970" s="73"/>
      <c r="AS970" s="73"/>
      <c r="AT970" s="73"/>
      <c r="AU970" s="73"/>
      <c r="AV970" s="73"/>
      <c r="AW970" s="73"/>
      <c r="AX970" s="73"/>
    </row>
    <row r="971" spans="1:50" s="22" customFormat="1" ht="15" customHeight="1" x14ac:dyDescent="0.2">
      <c r="A971" s="25" t="s">
        <v>422</v>
      </c>
      <c r="B971" s="25" t="s">
        <v>288</v>
      </c>
      <c r="C971" s="22" t="s">
        <v>0</v>
      </c>
      <c r="H971" s="22" t="s">
        <v>33</v>
      </c>
      <c r="I971" s="65" t="s">
        <v>1023</v>
      </c>
      <c r="J971" s="4">
        <v>80</v>
      </c>
      <c r="K971" s="4"/>
      <c r="L971" s="4"/>
      <c r="M971" s="4"/>
      <c r="N971" s="4"/>
      <c r="O971" s="4"/>
      <c r="P971" s="4" t="s">
        <v>0</v>
      </c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23"/>
      <c r="AD971" s="23"/>
      <c r="AE971" s="23"/>
      <c r="AF971" s="23"/>
      <c r="AG971" s="23"/>
      <c r="AH971" s="23"/>
      <c r="AI971" s="23"/>
      <c r="AJ971" s="23"/>
      <c r="AK971" s="23"/>
      <c r="AL971" s="23"/>
      <c r="AM971" s="23"/>
      <c r="AN971" s="23"/>
      <c r="AO971" s="23"/>
      <c r="AP971" s="23"/>
      <c r="AQ971" s="23"/>
      <c r="AR971" s="23"/>
      <c r="AS971" s="23"/>
      <c r="AT971" s="23"/>
      <c r="AU971" s="23"/>
      <c r="AV971" s="23"/>
      <c r="AW971" s="23"/>
      <c r="AX971" s="23"/>
    </row>
    <row r="972" spans="1:50" s="71" customFormat="1" ht="15" customHeight="1" x14ac:dyDescent="0.2">
      <c r="A972" s="77" t="s">
        <v>422</v>
      </c>
      <c r="B972" s="77" t="s">
        <v>288</v>
      </c>
      <c r="C972" s="71" t="s">
        <v>423</v>
      </c>
      <c r="D972" s="71" t="s">
        <v>31</v>
      </c>
      <c r="E972" s="71" t="s">
        <v>46</v>
      </c>
      <c r="F972" s="78" t="s">
        <v>782</v>
      </c>
      <c r="H972" s="71" t="s">
        <v>33</v>
      </c>
      <c r="I972" s="87"/>
      <c r="J972" s="72">
        <f>J971</f>
        <v>80</v>
      </c>
      <c r="K972" s="72"/>
      <c r="L972" s="72"/>
      <c r="M972" s="72"/>
      <c r="N972" s="72"/>
      <c r="O972" s="72"/>
      <c r="P972" s="72"/>
      <c r="Q972" s="72"/>
      <c r="R972" s="72"/>
      <c r="S972" s="72"/>
      <c r="T972" s="72"/>
      <c r="U972" s="72"/>
      <c r="V972" s="72"/>
      <c r="W972" s="72"/>
      <c r="X972" s="72"/>
      <c r="Y972" s="72"/>
      <c r="Z972" s="72"/>
      <c r="AA972" s="72"/>
      <c r="AB972" s="72"/>
      <c r="AC972" s="73"/>
      <c r="AD972" s="73"/>
      <c r="AE972" s="73"/>
      <c r="AF972" s="73"/>
      <c r="AG972" s="73"/>
      <c r="AH972" s="73"/>
      <c r="AI972" s="73"/>
      <c r="AJ972" s="73"/>
      <c r="AK972" s="73"/>
      <c r="AL972" s="73"/>
      <c r="AM972" s="73"/>
      <c r="AN972" s="73"/>
      <c r="AO972" s="73"/>
      <c r="AP972" s="73"/>
      <c r="AQ972" s="73"/>
      <c r="AR972" s="73"/>
      <c r="AS972" s="73"/>
      <c r="AT972" s="73"/>
      <c r="AU972" s="73"/>
      <c r="AV972" s="73"/>
      <c r="AW972" s="73"/>
      <c r="AX972" s="73"/>
    </row>
    <row r="973" spans="1:50" ht="15" customHeight="1" x14ac:dyDescent="0.2">
      <c r="A973" s="31" t="s">
        <v>422</v>
      </c>
      <c r="B973" s="31" t="s">
        <v>424</v>
      </c>
      <c r="C973" s="1"/>
      <c r="D973" s="22"/>
      <c r="E973" s="22"/>
      <c r="F973" s="1"/>
      <c r="G973" s="1"/>
      <c r="H973" s="1" t="s">
        <v>33</v>
      </c>
      <c r="I973" s="243" t="s">
        <v>1006</v>
      </c>
      <c r="J973" s="3">
        <v>92</v>
      </c>
      <c r="K973" s="3" t="s">
        <v>55</v>
      </c>
      <c r="L973" s="3">
        <v>220.99999999999989</v>
      </c>
      <c r="M973" s="3">
        <v>9.7039999999999953</v>
      </c>
      <c r="P973" s="4">
        <f t="shared" ref="P973" si="292">AN973</f>
        <v>0</v>
      </c>
      <c r="R973" s="3" t="s">
        <v>55</v>
      </c>
      <c r="AE973" s="23"/>
      <c r="AN973" s="23"/>
    </row>
    <row r="974" spans="1:50" ht="15" customHeight="1" x14ac:dyDescent="0.2">
      <c r="A974" s="31" t="s">
        <v>422</v>
      </c>
      <c r="B974" s="31" t="s">
        <v>424</v>
      </c>
      <c r="C974" s="1"/>
      <c r="D974" s="22"/>
      <c r="E974" s="22"/>
      <c r="F974" s="1"/>
      <c r="G974" s="1"/>
      <c r="H974" s="1" t="s">
        <v>33</v>
      </c>
      <c r="I974" s="243" t="s">
        <v>1016</v>
      </c>
      <c r="J974" s="3">
        <v>79.599999999999994</v>
      </c>
      <c r="K974" s="3">
        <v>3.47</v>
      </c>
      <c r="L974" s="3">
        <v>505</v>
      </c>
      <c r="M974" s="3">
        <v>4.0999999999999996</v>
      </c>
      <c r="N974" s="3">
        <v>82</v>
      </c>
      <c r="O974" s="3">
        <v>2.2000000000000002</v>
      </c>
      <c r="P974" s="4" t="s">
        <v>0</v>
      </c>
      <c r="R974" s="3">
        <v>178</v>
      </c>
    </row>
    <row r="975" spans="1:50" ht="15" customHeight="1" x14ac:dyDescent="0.2">
      <c r="A975" s="31" t="s">
        <v>422</v>
      </c>
      <c r="B975" s="31" t="s">
        <v>424</v>
      </c>
      <c r="D975" s="22"/>
      <c r="E975" s="22"/>
      <c r="H975" s="1" t="s">
        <v>33</v>
      </c>
      <c r="I975" s="243" t="s">
        <v>1023</v>
      </c>
      <c r="J975" s="3">
        <v>79</v>
      </c>
      <c r="L975" s="3">
        <v>90</v>
      </c>
      <c r="M975" s="3">
        <v>3.7</v>
      </c>
      <c r="P975" s="4">
        <f t="shared" ref="P975:P976" si="293">AN975</f>
        <v>0</v>
      </c>
      <c r="R975" s="3">
        <v>24</v>
      </c>
      <c r="AN975" s="23"/>
    </row>
    <row r="976" spans="1:50" ht="15" customHeight="1" x14ac:dyDescent="0.2">
      <c r="A976" s="31" t="s">
        <v>422</v>
      </c>
      <c r="B976" s="31" t="s">
        <v>424</v>
      </c>
      <c r="C976" s="1"/>
      <c r="D976" s="22"/>
      <c r="E976" s="22"/>
      <c r="F976" s="1"/>
      <c r="G976" s="1"/>
      <c r="H976" s="1" t="s">
        <v>33</v>
      </c>
      <c r="I976" s="243" t="s">
        <v>1006</v>
      </c>
      <c r="J976" s="3">
        <v>92</v>
      </c>
      <c r="K976" s="3">
        <v>0.8987999999999996</v>
      </c>
      <c r="L976" s="3">
        <v>89.997599999999963</v>
      </c>
      <c r="M976" s="3">
        <v>3.6959999999999984</v>
      </c>
      <c r="P976" s="4">
        <f t="shared" si="293"/>
        <v>0</v>
      </c>
      <c r="R976" s="3">
        <v>23.998799999999989</v>
      </c>
      <c r="AE976" s="23"/>
      <c r="AN976" s="23"/>
    </row>
    <row r="977" spans="1:50" s="71" customFormat="1" ht="15" customHeight="1" x14ac:dyDescent="0.2">
      <c r="A977" s="77" t="s">
        <v>422</v>
      </c>
      <c r="B977" s="77" t="s">
        <v>424</v>
      </c>
      <c r="C977" s="78" t="s">
        <v>423</v>
      </c>
      <c r="D977" s="71" t="s">
        <v>25</v>
      </c>
      <c r="E977" s="78" t="s">
        <v>46</v>
      </c>
      <c r="F977" s="78" t="s">
        <v>782</v>
      </c>
      <c r="G977" s="78"/>
      <c r="H977" s="78" t="s">
        <v>33</v>
      </c>
      <c r="I977" s="87"/>
      <c r="J977" s="72">
        <f t="shared" ref="J977:P977" si="294">AVERAGE(J973:J976)</f>
        <v>85.65</v>
      </c>
      <c r="K977" s="72">
        <f t="shared" si="294"/>
        <v>2.1844000000000001</v>
      </c>
      <c r="L977" s="72">
        <f t="shared" si="294"/>
        <v>226.49939999999995</v>
      </c>
      <c r="M977" s="72">
        <f t="shared" si="294"/>
        <v>5.299999999999998</v>
      </c>
      <c r="N977" s="72">
        <f t="shared" si="294"/>
        <v>82</v>
      </c>
      <c r="O977" s="72">
        <f t="shared" si="294"/>
        <v>2.2000000000000002</v>
      </c>
      <c r="P977" s="72">
        <f t="shared" si="294"/>
        <v>0</v>
      </c>
      <c r="Q977" s="72"/>
      <c r="R977" s="72">
        <f>AVERAGE(R973:R976)</f>
        <v>75.33293333333333</v>
      </c>
      <c r="S977" s="72"/>
      <c r="T977" s="72"/>
      <c r="U977" s="72"/>
      <c r="V977" s="72"/>
      <c r="W977" s="72"/>
      <c r="X977" s="72"/>
      <c r="Y977" s="72"/>
      <c r="Z977" s="72"/>
      <c r="AA977" s="72"/>
      <c r="AB977" s="72"/>
      <c r="AC977" s="73"/>
      <c r="AD977" s="73"/>
      <c r="AE977" s="73"/>
      <c r="AF977" s="73"/>
      <c r="AG977" s="73"/>
      <c r="AH977" s="73"/>
      <c r="AI977" s="73"/>
      <c r="AJ977" s="73"/>
      <c r="AK977" s="73"/>
      <c r="AL977" s="73"/>
      <c r="AM977" s="73"/>
      <c r="AN977" s="73"/>
      <c r="AO977" s="73"/>
      <c r="AP977" s="73"/>
      <c r="AQ977" s="73"/>
      <c r="AR977" s="73"/>
      <c r="AS977" s="73"/>
      <c r="AT977" s="73"/>
      <c r="AU977" s="73"/>
      <c r="AV977" s="73"/>
      <c r="AW977" s="73"/>
      <c r="AX977" s="73"/>
    </row>
    <row r="978" spans="1:50" ht="15" customHeight="1" x14ac:dyDescent="0.2">
      <c r="A978" s="24" t="s">
        <v>422</v>
      </c>
      <c r="B978" s="24" t="s">
        <v>425</v>
      </c>
      <c r="D978" s="22"/>
      <c r="E978" s="22"/>
      <c r="F978" s="1"/>
      <c r="G978" s="1"/>
      <c r="H978" s="2" t="s">
        <v>33</v>
      </c>
      <c r="I978" s="243" t="s">
        <v>1009</v>
      </c>
      <c r="K978" s="3">
        <v>1.04</v>
      </c>
      <c r="L978" s="3">
        <v>227</v>
      </c>
      <c r="M978" s="3">
        <v>1.6</v>
      </c>
      <c r="O978" s="3">
        <v>0.91</v>
      </c>
      <c r="P978" s="4">
        <f t="shared" ref="P978:P980" si="295">AN978</f>
        <v>0</v>
      </c>
      <c r="Q978" s="3">
        <v>29</v>
      </c>
      <c r="R978" s="3">
        <v>96</v>
      </c>
      <c r="S978" s="3">
        <v>0.17</v>
      </c>
      <c r="AN978" s="23"/>
    </row>
    <row r="979" spans="1:50" ht="15" customHeight="1" x14ac:dyDescent="0.2">
      <c r="A979" s="24" t="s">
        <v>422</v>
      </c>
      <c r="B979" s="24" t="s">
        <v>425</v>
      </c>
      <c r="D979" s="22"/>
      <c r="E979" s="22"/>
      <c r="F979" s="1"/>
      <c r="G979" s="1"/>
      <c r="H979" s="2" t="s">
        <v>33</v>
      </c>
      <c r="I979" s="243" t="s">
        <v>1009</v>
      </c>
      <c r="K979" s="3">
        <v>0.93</v>
      </c>
      <c r="L979" s="3">
        <v>265</v>
      </c>
      <c r="M979" s="3">
        <v>2.06</v>
      </c>
      <c r="O979" s="3">
        <v>0.79</v>
      </c>
      <c r="P979" s="4">
        <f t="shared" si="295"/>
        <v>0</v>
      </c>
      <c r="Q979" s="3">
        <v>33</v>
      </c>
      <c r="R979" s="3">
        <v>97</v>
      </c>
      <c r="S979" s="3">
        <v>1.26</v>
      </c>
      <c r="AN979" s="23"/>
    </row>
    <row r="980" spans="1:50" ht="15" customHeight="1" x14ac:dyDescent="0.2">
      <c r="A980" s="24" t="s">
        <v>422</v>
      </c>
      <c r="B980" s="24" t="s">
        <v>425</v>
      </c>
      <c r="D980" s="22"/>
      <c r="E980" s="22"/>
      <c r="F980" s="1"/>
      <c r="G980" s="1"/>
      <c r="H980" s="2" t="s">
        <v>33</v>
      </c>
      <c r="I980" s="243" t="s">
        <v>1009</v>
      </c>
      <c r="K980" s="3">
        <v>1.3</v>
      </c>
      <c r="L980" s="3">
        <v>264</v>
      </c>
      <c r="M980" s="3">
        <v>10.17</v>
      </c>
      <c r="P980" s="4">
        <f t="shared" si="295"/>
        <v>0</v>
      </c>
      <c r="R980" s="3">
        <v>100</v>
      </c>
      <c r="S980" s="3">
        <v>3.95</v>
      </c>
      <c r="AN980" s="23"/>
    </row>
    <row r="981" spans="1:50" s="71" customFormat="1" ht="15" customHeight="1" x14ac:dyDescent="0.2">
      <c r="A981" s="70" t="s">
        <v>422</v>
      </c>
      <c r="B981" s="70" t="s">
        <v>425</v>
      </c>
      <c r="C981" s="71" t="s">
        <v>423</v>
      </c>
      <c r="D981" s="71" t="s">
        <v>56</v>
      </c>
      <c r="E981" s="78" t="s">
        <v>46</v>
      </c>
      <c r="F981" s="78" t="s">
        <v>782</v>
      </c>
      <c r="G981" s="78"/>
      <c r="H981" s="71" t="s">
        <v>33</v>
      </c>
      <c r="I981" s="87"/>
      <c r="J981" s="72"/>
      <c r="K981" s="72">
        <f>AVERAGE(K978:K980)</f>
        <v>1.0900000000000001</v>
      </c>
      <c r="L981" s="72">
        <f>AVERAGE(L978:L980)</f>
        <v>252</v>
      </c>
      <c r="M981" s="72">
        <f>AVERAGE(M978:M980)</f>
        <v>4.6100000000000003</v>
      </c>
      <c r="N981" s="72"/>
      <c r="O981" s="72">
        <f t="shared" ref="O981:S981" si="296">AVERAGE(O978:O980)</f>
        <v>0.85000000000000009</v>
      </c>
      <c r="P981" s="72">
        <f t="shared" si="296"/>
        <v>0</v>
      </c>
      <c r="Q981" s="72">
        <f t="shared" si="296"/>
        <v>31</v>
      </c>
      <c r="R981" s="72">
        <f t="shared" si="296"/>
        <v>97.666666666666671</v>
      </c>
      <c r="S981" s="72">
        <f t="shared" si="296"/>
        <v>1.7933333333333332</v>
      </c>
      <c r="T981" s="72"/>
      <c r="U981" s="72"/>
      <c r="V981" s="72"/>
      <c r="W981" s="72"/>
      <c r="X981" s="72"/>
      <c r="Y981" s="72"/>
      <c r="Z981" s="72"/>
      <c r="AA981" s="72"/>
      <c r="AB981" s="72"/>
      <c r="AC981" s="73"/>
      <c r="AD981" s="73"/>
      <c r="AE981" s="73"/>
      <c r="AF981" s="73"/>
      <c r="AG981" s="73"/>
      <c r="AH981" s="73"/>
      <c r="AI981" s="73"/>
      <c r="AJ981" s="73"/>
      <c r="AK981" s="73"/>
      <c r="AL981" s="73"/>
      <c r="AM981" s="73"/>
      <c r="AN981" s="73"/>
      <c r="AO981" s="73"/>
      <c r="AP981" s="73"/>
      <c r="AQ981" s="73"/>
      <c r="AR981" s="73"/>
      <c r="AS981" s="73"/>
      <c r="AT981" s="73"/>
      <c r="AU981" s="73"/>
      <c r="AV981" s="73"/>
      <c r="AW981" s="73"/>
      <c r="AX981" s="73"/>
    </row>
    <row r="982" spans="1:50" ht="15" customHeight="1" x14ac:dyDescent="0.2">
      <c r="A982" s="24" t="s">
        <v>426</v>
      </c>
      <c r="B982" s="24" t="s">
        <v>245</v>
      </c>
      <c r="D982" s="22"/>
      <c r="E982" s="22"/>
      <c r="H982" s="2" t="s">
        <v>33</v>
      </c>
      <c r="I982" s="243" t="s">
        <v>1009</v>
      </c>
      <c r="K982" s="3">
        <v>3.32</v>
      </c>
      <c r="L982" s="3">
        <v>403</v>
      </c>
      <c r="M982" s="3">
        <v>4.5199999999999996</v>
      </c>
      <c r="O982" s="3">
        <v>1.79</v>
      </c>
      <c r="P982" s="4">
        <f t="shared" ref="P982:P986" si="297">AN982</f>
        <v>0</v>
      </c>
      <c r="Q982" s="3">
        <v>95</v>
      </c>
      <c r="R982" s="3">
        <v>370</v>
      </c>
      <c r="S982" s="3">
        <v>13.06</v>
      </c>
      <c r="AN982" s="23"/>
    </row>
    <row r="983" spans="1:50" ht="15" customHeight="1" x14ac:dyDescent="0.2">
      <c r="A983" s="31" t="s">
        <v>426</v>
      </c>
      <c r="B983" s="31" t="s">
        <v>245</v>
      </c>
      <c r="C983" s="1"/>
      <c r="D983" s="22"/>
      <c r="E983" s="22"/>
      <c r="H983" s="2" t="s">
        <v>33</v>
      </c>
      <c r="I983" s="243" t="s">
        <v>1006</v>
      </c>
      <c r="J983" s="3">
        <v>72</v>
      </c>
      <c r="K983" s="3">
        <v>4</v>
      </c>
      <c r="L983" s="3">
        <v>303</v>
      </c>
      <c r="M983" s="3">
        <v>7.6</v>
      </c>
      <c r="P983" s="4">
        <f t="shared" si="297"/>
        <v>0</v>
      </c>
      <c r="R983" s="3">
        <v>311</v>
      </c>
      <c r="AE983" s="23"/>
      <c r="AN983" s="23"/>
    </row>
    <row r="984" spans="1:50" ht="15" customHeight="1" x14ac:dyDescent="0.2">
      <c r="A984" s="24" t="s">
        <v>426</v>
      </c>
      <c r="B984" s="24" t="s">
        <v>245</v>
      </c>
      <c r="D984" s="22"/>
      <c r="E984" s="22"/>
      <c r="H984" s="2" t="s">
        <v>33</v>
      </c>
      <c r="I984" s="243" t="s">
        <v>1010</v>
      </c>
      <c r="J984" s="3">
        <v>84.2</v>
      </c>
      <c r="K984" s="3">
        <v>3.2</v>
      </c>
      <c r="L984" s="3">
        <v>297</v>
      </c>
      <c r="M984" s="3">
        <v>7.8</v>
      </c>
      <c r="P984" s="4">
        <f t="shared" si="297"/>
        <v>0</v>
      </c>
      <c r="R984" s="3">
        <v>316</v>
      </c>
      <c r="AI984" s="23"/>
      <c r="AN984" s="23"/>
    </row>
    <row r="985" spans="1:50" ht="15" customHeight="1" x14ac:dyDescent="0.2">
      <c r="A985" s="31" t="s">
        <v>426</v>
      </c>
      <c r="B985" s="31" t="s">
        <v>245</v>
      </c>
      <c r="C985" s="1"/>
      <c r="D985" s="22"/>
      <c r="E985" s="22"/>
      <c r="H985" s="2" t="s">
        <v>33</v>
      </c>
      <c r="I985" s="243" t="s">
        <v>1006</v>
      </c>
      <c r="J985" s="3">
        <v>77</v>
      </c>
      <c r="K985" s="3">
        <v>2.4</v>
      </c>
      <c r="L985" s="3">
        <v>206</v>
      </c>
      <c r="M985" s="3">
        <v>2</v>
      </c>
      <c r="P985" s="4">
        <f t="shared" si="297"/>
        <v>0</v>
      </c>
      <c r="R985" s="3">
        <v>290</v>
      </c>
      <c r="AE985" s="23"/>
      <c r="AN985" s="23"/>
    </row>
    <row r="986" spans="1:50" ht="15" customHeight="1" x14ac:dyDescent="0.2">
      <c r="A986" s="31" t="s">
        <v>426</v>
      </c>
      <c r="B986" s="31" t="s">
        <v>245</v>
      </c>
      <c r="C986" s="1"/>
      <c r="D986" s="22"/>
      <c r="E986" s="22"/>
      <c r="H986" s="2" t="s">
        <v>33</v>
      </c>
      <c r="I986" s="243" t="s">
        <v>1006</v>
      </c>
      <c r="J986" s="3">
        <v>81</v>
      </c>
      <c r="K986" s="3">
        <v>2.1</v>
      </c>
      <c r="L986" s="3">
        <v>144</v>
      </c>
      <c r="M986" s="3">
        <v>2.8</v>
      </c>
      <c r="P986" s="4">
        <f t="shared" si="297"/>
        <v>0</v>
      </c>
      <c r="R986" s="3">
        <v>82</v>
      </c>
      <c r="AE986" s="23"/>
      <c r="AN986" s="23"/>
    </row>
    <row r="987" spans="1:50" ht="15" customHeight="1" x14ac:dyDescent="0.2">
      <c r="A987" s="24" t="s">
        <v>427</v>
      </c>
      <c r="B987" s="24" t="s">
        <v>245</v>
      </c>
      <c r="D987" s="22"/>
      <c r="E987" s="22"/>
      <c r="H987" s="2" t="s">
        <v>33</v>
      </c>
      <c r="I987" s="243" t="s">
        <v>1019</v>
      </c>
      <c r="J987" s="3">
        <v>84.4</v>
      </c>
      <c r="K987" s="3">
        <v>2.4</v>
      </c>
      <c r="L987" s="3">
        <v>99</v>
      </c>
      <c r="M987" s="3">
        <v>1.3</v>
      </c>
      <c r="P987" s="4" t="s">
        <v>0</v>
      </c>
    </row>
    <row r="988" spans="1:50" s="71" customFormat="1" ht="15" customHeight="1" x14ac:dyDescent="0.2">
      <c r="A988" s="70" t="s">
        <v>427</v>
      </c>
      <c r="B988" s="70" t="s">
        <v>245</v>
      </c>
      <c r="C988" s="71" t="s">
        <v>428</v>
      </c>
      <c r="D988" s="71" t="s">
        <v>31</v>
      </c>
      <c r="E988" s="71" t="s">
        <v>32</v>
      </c>
      <c r="F988" s="71" t="s">
        <v>783</v>
      </c>
      <c r="H988" s="71" t="s">
        <v>33</v>
      </c>
      <c r="I988" s="87"/>
      <c r="J988" s="72">
        <f t="shared" ref="J988" si="298">AVERAGE(J982:J987)</f>
        <v>79.72</v>
      </c>
      <c r="K988" s="72">
        <f>AVERAGE(K982:K987)</f>
        <v>2.9033333333333329</v>
      </c>
      <c r="L988" s="72">
        <f>AVERAGE(L982:L987)</f>
        <v>242</v>
      </c>
      <c r="M988" s="72">
        <f>AVERAGE(M982:M987)</f>
        <v>4.3366666666666669</v>
      </c>
      <c r="N988" s="72" t="s">
        <v>0</v>
      </c>
      <c r="O988" s="72">
        <f>AVERAGE(O982:O987)</f>
        <v>1.79</v>
      </c>
      <c r="P988" s="72">
        <f>AVERAGE(P982:P987)</f>
        <v>0</v>
      </c>
      <c r="Q988" s="72">
        <f>AVERAGE(Q982:Q987)</f>
        <v>95</v>
      </c>
      <c r="R988" s="72">
        <f>AVERAGE(R982:R987)</f>
        <v>273.8</v>
      </c>
      <c r="S988" s="72">
        <f>AVERAGE(S982:S987)</f>
        <v>13.06</v>
      </c>
      <c r="T988" s="72"/>
      <c r="U988" s="72"/>
      <c r="V988" s="72"/>
      <c r="W988" s="72"/>
      <c r="X988" s="72"/>
      <c r="Y988" s="72"/>
      <c r="Z988" s="72"/>
      <c r="AA988" s="72"/>
      <c r="AB988" s="72"/>
      <c r="AC988" s="73"/>
      <c r="AD988" s="73"/>
      <c r="AE988" s="73"/>
      <c r="AF988" s="73"/>
      <c r="AG988" s="73"/>
      <c r="AH988" s="73"/>
      <c r="AI988" s="73"/>
      <c r="AJ988" s="73"/>
      <c r="AK988" s="73"/>
      <c r="AL988" s="73"/>
      <c r="AM988" s="73"/>
      <c r="AN988" s="73"/>
      <c r="AO988" s="73"/>
      <c r="AP988" s="73"/>
      <c r="AQ988" s="73"/>
      <c r="AR988" s="73"/>
      <c r="AS988" s="73"/>
      <c r="AT988" s="73"/>
      <c r="AU988" s="73"/>
      <c r="AV988" s="73"/>
      <c r="AW988" s="73"/>
      <c r="AX988" s="73"/>
    </row>
    <row r="989" spans="1:50" ht="15" customHeight="1" x14ac:dyDescent="0.2">
      <c r="A989" s="24" t="s">
        <v>429</v>
      </c>
      <c r="B989" s="24" t="s">
        <v>430</v>
      </c>
      <c r="D989" s="22"/>
      <c r="E989" s="22"/>
      <c r="H989" s="2" t="s">
        <v>28</v>
      </c>
      <c r="I989" s="243" t="s">
        <v>1012</v>
      </c>
      <c r="J989" s="3">
        <v>71.7</v>
      </c>
      <c r="K989" s="3">
        <v>0.7</v>
      </c>
      <c r="M989" s="3">
        <v>5.6</v>
      </c>
      <c r="P989" s="4" t="s">
        <v>0</v>
      </c>
      <c r="R989" s="3">
        <v>4</v>
      </c>
    </row>
    <row r="990" spans="1:50" ht="15" customHeight="1" x14ac:dyDescent="0.2">
      <c r="A990" s="24" t="s">
        <v>429</v>
      </c>
      <c r="B990" s="24" t="s">
        <v>430</v>
      </c>
      <c r="D990" s="22"/>
      <c r="E990" s="22"/>
      <c r="H990" s="2" t="s">
        <v>28</v>
      </c>
      <c r="I990" s="243" t="s">
        <v>1012</v>
      </c>
      <c r="J990" s="3">
        <v>84.7</v>
      </c>
      <c r="K990" s="3">
        <v>0.5</v>
      </c>
      <c r="L990" s="3">
        <v>17</v>
      </c>
      <c r="M990" s="3">
        <v>4</v>
      </c>
      <c r="N990" s="3">
        <v>413</v>
      </c>
      <c r="P990" s="4" t="s">
        <v>0</v>
      </c>
    </row>
    <row r="991" spans="1:50" ht="15" customHeight="1" x14ac:dyDescent="0.2">
      <c r="A991" s="24" t="s">
        <v>429</v>
      </c>
      <c r="B991" s="24" t="s">
        <v>430</v>
      </c>
      <c r="D991" s="22"/>
      <c r="E991" s="22"/>
      <c r="H991" s="2" t="s">
        <v>28</v>
      </c>
      <c r="I991" s="243" t="s">
        <v>1012</v>
      </c>
      <c r="J991" s="3">
        <v>84.1</v>
      </c>
      <c r="K991" s="3">
        <v>0.4</v>
      </c>
      <c r="L991" s="3">
        <v>8</v>
      </c>
      <c r="M991" s="3">
        <v>1.8</v>
      </c>
      <c r="N991" s="3">
        <v>224</v>
      </c>
      <c r="P991" s="4" t="s">
        <v>0</v>
      </c>
      <c r="R991" s="3">
        <v>9</v>
      </c>
    </row>
    <row r="992" spans="1:50" ht="15" customHeight="1" x14ac:dyDescent="0.2">
      <c r="A992" s="24" t="s">
        <v>429</v>
      </c>
      <c r="B992" s="24" t="s">
        <v>430</v>
      </c>
      <c r="D992" s="22"/>
      <c r="E992" s="22"/>
      <c r="H992" s="2" t="s">
        <v>28</v>
      </c>
      <c r="I992" s="243" t="s">
        <v>1012</v>
      </c>
      <c r="J992" s="3">
        <v>75.2</v>
      </c>
      <c r="K992" s="3">
        <v>0.5</v>
      </c>
      <c r="L992" s="3">
        <v>22</v>
      </c>
      <c r="M992" s="3">
        <v>0.9</v>
      </c>
      <c r="N992" s="3">
        <v>31</v>
      </c>
      <c r="P992" s="4" t="s">
        <v>0</v>
      </c>
      <c r="R992" s="3">
        <v>2</v>
      </c>
    </row>
    <row r="993" spans="1:50" ht="15" customHeight="1" x14ac:dyDescent="0.2">
      <c r="A993" s="24" t="s">
        <v>429</v>
      </c>
      <c r="B993" s="24" t="s">
        <v>430</v>
      </c>
      <c r="D993" s="22"/>
      <c r="E993" s="22"/>
      <c r="H993" s="2" t="s">
        <v>28</v>
      </c>
      <c r="I993" s="243" t="s">
        <v>1012</v>
      </c>
      <c r="J993" s="3">
        <v>83.5</v>
      </c>
      <c r="K993" s="3">
        <v>0.4</v>
      </c>
      <c r="L993" s="3">
        <v>15</v>
      </c>
      <c r="M993" s="3">
        <v>0.6</v>
      </c>
      <c r="N993" s="3">
        <v>21</v>
      </c>
      <c r="P993" s="4" t="s">
        <v>0</v>
      </c>
    </row>
    <row r="994" spans="1:50" ht="15" customHeight="1" x14ac:dyDescent="0.2">
      <c r="A994" s="24" t="s">
        <v>429</v>
      </c>
      <c r="B994" s="24" t="s">
        <v>430</v>
      </c>
      <c r="D994" s="22"/>
      <c r="E994" s="22"/>
      <c r="H994" s="2" t="s">
        <v>28</v>
      </c>
      <c r="I994" s="243" t="s">
        <v>1012</v>
      </c>
      <c r="J994" s="3">
        <v>77.7</v>
      </c>
      <c r="K994" s="3">
        <v>2</v>
      </c>
      <c r="L994" s="3">
        <v>22</v>
      </c>
      <c r="P994" s="4" t="s">
        <v>0</v>
      </c>
    </row>
    <row r="995" spans="1:50" s="71" customFormat="1" ht="15" customHeight="1" x14ac:dyDescent="0.2">
      <c r="A995" s="70" t="s">
        <v>429</v>
      </c>
      <c r="B995" s="70" t="s">
        <v>430</v>
      </c>
      <c r="C995" s="71" t="s">
        <v>431</v>
      </c>
      <c r="D995" s="71" t="s">
        <v>31</v>
      </c>
      <c r="E995" s="71" t="s">
        <v>42</v>
      </c>
      <c r="F995" s="71" t="s">
        <v>784</v>
      </c>
      <c r="H995" s="71" t="s">
        <v>28</v>
      </c>
      <c r="I995" s="87"/>
      <c r="J995" s="72">
        <f>AVERAGE(J989:J994)</f>
        <v>79.483333333333334</v>
      </c>
      <c r="K995" s="72">
        <f t="shared" ref="K995:N995" si="299">AVERAGE(K989:K994)</f>
        <v>0.75</v>
      </c>
      <c r="L995" s="72">
        <f t="shared" si="299"/>
        <v>16.8</v>
      </c>
      <c r="M995" s="72">
        <f t="shared" si="299"/>
        <v>2.58</v>
      </c>
      <c r="N995" s="72">
        <f t="shared" si="299"/>
        <v>172.25</v>
      </c>
      <c r="O995" s="72"/>
      <c r="P995" s="72"/>
      <c r="Q995" s="72"/>
      <c r="R995" s="72">
        <f>AVERAGE(R989:R994)</f>
        <v>5</v>
      </c>
      <c r="S995" s="72"/>
      <c r="T995" s="72"/>
      <c r="U995" s="72"/>
      <c r="V995" s="72"/>
      <c r="W995" s="72"/>
      <c r="X995" s="72"/>
      <c r="Y995" s="72"/>
      <c r="Z995" s="72"/>
      <c r="AA995" s="72"/>
      <c r="AB995" s="72"/>
      <c r="AC995" s="73"/>
      <c r="AD995" s="73"/>
      <c r="AE995" s="73"/>
      <c r="AF995" s="73"/>
      <c r="AG995" s="73"/>
      <c r="AH995" s="73"/>
      <c r="AI995" s="73"/>
      <c r="AJ995" s="73"/>
      <c r="AK995" s="73"/>
      <c r="AL995" s="73"/>
      <c r="AM995" s="73"/>
      <c r="AN995" s="73"/>
      <c r="AO995" s="73"/>
      <c r="AP995" s="73"/>
      <c r="AQ995" s="73"/>
      <c r="AR995" s="73"/>
      <c r="AS995" s="73"/>
      <c r="AT995" s="73"/>
      <c r="AU995" s="73"/>
      <c r="AV995" s="73"/>
      <c r="AW995" s="73"/>
      <c r="AX995" s="73"/>
    </row>
    <row r="996" spans="1:50" s="22" customFormat="1" ht="15" customHeight="1" x14ac:dyDescent="0.2">
      <c r="A996" s="21" t="s">
        <v>432</v>
      </c>
      <c r="B996" s="21" t="s">
        <v>433</v>
      </c>
      <c r="C996" s="27" t="s">
        <v>0</v>
      </c>
      <c r="H996" s="22" t="s">
        <v>33</v>
      </c>
      <c r="I996" s="65" t="s">
        <v>1007</v>
      </c>
      <c r="J996" s="4">
        <v>88.68</v>
      </c>
      <c r="K996" s="4"/>
      <c r="L996" s="4">
        <v>32</v>
      </c>
      <c r="M996" s="4">
        <v>1.31</v>
      </c>
      <c r="N996" s="4">
        <v>34</v>
      </c>
      <c r="O996" s="4">
        <v>0.83</v>
      </c>
      <c r="P996" s="4">
        <f t="shared" ref="P996" si="300">AN996</f>
        <v>0</v>
      </c>
      <c r="Q996" s="4"/>
      <c r="R996" s="4">
        <v>2.2599999999999998</v>
      </c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23"/>
      <c r="AD996" s="23"/>
      <c r="AE996" s="23"/>
      <c r="AF996" s="23"/>
      <c r="AG996" s="23"/>
      <c r="AH996" s="23"/>
      <c r="AI996" s="23"/>
      <c r="AJ996" s="23"/>
      <c r="AK996" s="23"/>
      <c r="AL996" s="23"/>
      <c r="AM996" s="23"/>
      <c r="AN996" s="23"/>
      <c r="AO996" s="23"/>
      <c r="AP996" s="23"/>
      <c r="AQ996" s="23"/>
      <c r="AR996" s="23"/>
      <c r="AS996" s="23"/>
      <c r="AT996" s="23"/>
      <c r="AU996" s="23"/>
      <c r="AV996" s="23"/>
      <c r="AW996" s="23"/>
      <c r="AX996" s="23"/>
    </row>
    <row r="997" spans="1:50" s="71" customFormat="1" ht="15" customHeight="1" x14ac:dyDescent="0.2">
      <c r="A997" s="70" t="s">
        <v>432</v>
      </c>
      <c r="B997" s="70" t="s">
        <v>433</v>
      </c>
      <c r="C997" s="84" t="s">
        <v>434</v>
      </c>
      <c r="D997" s="71" t="s">
        <v>31</v>
      </c>
      <c r="E997" s="71" t="s">
        <v>46</v>
      </c>
      <c r="F997" s="71" t="s">
        <v>782</v>
      </c>
      <c r="H997" s="71" t="s">
        <v>33</v>
      </c>
      <c r="I997" s="87"/>
      <c r="J997" s="72">
        <f>J996</f>
        <v>88.68</v>
      </c>
      <c r="K997" s="72" t="s">
        <v>0</v>
      </c>
      <c r="L997" s="72">
        <f t="shared" ref="L997:N997" si="301">L996</f>
        <v>32</v>
      </c>
      <c r="M997" s="72">
        <f t="shared" si="301"/>
        <v>1.31</v>
      </c>
      <c r="N997" s="72">
        <f t="shared" si="301"/>
        <v>34</v>
      </c>
      <c r="O997" s="72">
        <f>O996</f>
        <v>0.83</v>
      </c>
      <c r="P997" s="72">
        <f>P996</f>
        <v>0</v>
      </c>
      <c r="Q997" s="72"/>
      <c r="R997" s="72">
        <f>R996</f>
        <v>2.2599999999999998</v>
      </c>
      <c r="S997" s="72"/>
      <c r="T997" s="72"/>
      <c r="U997" s="72"/>
      <c r="V997" s="72"/>
      <c r="W997" s="72"/>
      <c r="X997" s="72"/>
      <c r="Y997" s="72"/>
      <c r="Z997" s="83"/>
      <c r="AA997" s="72"/>
      <c r="AB997" s="72"/>
      <c r="AC997" s="73"/>
      <c r="AD997" s="73"/>
      <c r="AE997" s="73"/>
      <c r="AF997" s="73"/>
      <c r="AG997" s="73"/>
      <c r="AH997" s="73"/>
      <c r="AI997" s="73"/>
      <c r="AJ997" s="73"/>
      <c r="AK997" s="73"/>
      <c r="AL997" s="73"/>
      <c r="AM997" s="73"/>
      <c r="AN997" s="73"/>
      <c r="AO997" s="73"/>
      <c r="AP997" s="73"/>
      <c r="AQ997" s="73"/>
      <c r="AR997" s="73"/>
      <c r="AS997" s="73"/>
      <c r="AT997" s="73"/>
      <c r="AU997" s="73"/>
      <c r="AV997" s="73"/>
      <c r="AW997" s="73"/>
      <c r="AX997" s="73"/>
    </row>
    <row r="998" spans="1:50" s="22" customFormat="1" ht="15" customHeight="1" x14ac:dyDescent="0.2">
      <c r="A998" s="21" t="s">
        <v>435</v>
      </c>
      <c r="B998" s="21" t="s">
        <v>436</v>
      </c>
      <c r="H998" s="22" t="s">
        <v>33</v>
      </c>
      <c r="I998" s="65" t="s">
        <v>1004</v>
      </c>
      <c r="J998" s="4">
        <v>76.599999999999994</v>
      </c>
      <c r="K998" s="4">
        <v>3.4</v>
      </c>
      <c r="L998" s="4"/>
      <c r="M998" s="4">
        <v>3.7</v>
      </c>
      <c r="N998" s="4"/>
      <c r="O998" s="4"/>
      <c r="P998" s="4">
        <f t="shared" ref="P998" si="302">AN998</f>
        <v>0</v>
      </c>
      <c r="Q998" s="4"/>
      <c r="R998" s="4">
        <v>115</v>
      </c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23"/>
      <c r="AD998" s="23"/>
      <c r="AE998" s="23"/>
      <c r="AF998" s="23"/>
      <c r="AG998" s="5"/>
      <c r="AH998" s="23"/>
      <c r="AI998" s="23"/>
      <c r="AJ998" s="23"/>
      <c r="AK998" s="23"/>
      <c r="AL998" s="23"/>
      <c r="AM998" s="23"/>
      <c r="AN998" s="23"/>
      <c r="AO998" s="23"/>
      <c r="AP998" s="23"/>
      <c r="AQ998" s="23"/>
      <c r="AR998" s="23"/>
      <c r="AS998" s="23"/>
      <c r="AT998" s="23"/>
      <c r="AU998" s="23"/>
      <c r="AV998" s="23"/>
      <c r="AW998" s="23"/>
      <c r="AX998" s="23"/>
    </row>
    <row r="999" spans="1:50" s="71" customFormat="1" ht="15" customHeight="1" x14ac:dyDescent="0.2">
      <c r="A999" s="70" t="s">
        <v>435</v>
      </c>
      <c r="B999" s="70" t="s">
        <v>436</v>
      </c>
      <c r="C999" s="71" t="s">
        <v>437</v>
      </c>
      <c r="D999" s="71" t="s">
        <v>31</v>
      </c>
      <c r="E999" s="71" t="s">
        <v>32</v>
      </c>
      <c r="F999" s="71" t="s">
        <v>781</v>
      </c>
      <c r="H999" s="71" t="s">
        <v>33</v>
      </c>
      <c r="I999" s="87"/>
      <c r="J999" s="72">
        <f>J998</f>
        <v>76.599999999999994</v>
      </c>
      <c r="K999" s="72">
        <f>K998</f>
        <v>3.4</v>
      </c>
      <c r="L999" s="72"/>
      <c r="M999" s="72">
        <f>M998</f>
        <v>3.7</v>
      </c>
      <c r="N999" s="72"/>
      <c r="O999" s="72"/>
      <c r="P999" s="83">
        <f>P998</f>
        <v>0</v>
      </c>
      <c r="Q999" s="72"/>
      <c r="R999" s="83">
        <f>R998</f>
        <v>115</v>
      </c>
      <c r="S999" s="72"/>
      <c r="T999" s="72"/>
      <c r="U999" s="72"/>
      <c r="V999" s="72"/>
      <c r="W999" s="72"/>
      <c r="X999" s="72"/>
      <c r="Y999" s="72"/>
      <c r="Z999" s="72"/>
      <c r="AA999" s="72"/>
      <c r="AB999" s="72"/>
      <c r="AC999" s="73"/>
      <c r="AD999" s="73"/>
      <c r="AE999" s="73"/>
      <c r="AF999" s="73"/>
      <c r="AG999" s="73"/>
      <c r="AH999" s="73"/>
      <c r="AI999" s="73"/>
      <c r="AJ999" s="73"/>
      <c r="AK999" s="73"/>
      <c r="AL999" s="73"/>
      <c r="AM999" s="73"/>
      <c r="AN999" s="73"/>
      <c r="AO999" s="73"/>
      <c r="AP999" s="73"/>
      <c r="AQ999" s="73"/>
      <c r="AR999" s="73"/>
      <c r="AS999" s="73"/>
      <c r="AT999" s="73"/>
      <c r="AU999" s="73"/>
      <c r="AV999" s="73"/>
      <c r="AW999" s="73"/>
      <c r="AX999" s="73"/>
    </row>
    <row r="1000" spans="1:50" ht="15" customHeight="1" x14ac:dyDescent="0.2">
      <c r="A1000" s="24" t="s">
        <v>777</v>
      </c>
      <c r="B1000" s="24" t="s">
        <v>778</v>
      </c>
      <c r="D1000" s="22"/>
      <c r="E1000" s="22"/>
      <c r="H1000" s="2" t="s">
        <v>131</v>
      </c>
      <c r="I1000" s="243" t="s">
        <v>701</v>
      </c>
      <c r="J1000" s="3">
        <v>84</v>
      </c>
      <c r="L1000" s="3">
        <v>400</v>
      </c>
      <c r="N1000" s="3">
        <v>50</v>
      </c>
      <c r="P1000" s="4" t="s">
        <v>0</v>
      </c>
      <c r="R1000" s="3">
        <v>12.5</v>
      </c>
    </row>
    <row r="1001" spans="1:50" s="71" customFormat="1" ht="15" customHeight="1" x14ac:dyDescent="0.2">
      <c r="A1001" s="70" t="s">
        <v>777</v>
      </c>
      <c r="B1001" s="70" t="s">
        <v>778</v>
      </c>
      <c r="D1001" s="71" t="s">
        <v>31</v>
      </c>
      <c r="E1001" s="71" t="s">
        <v>32</v>
      </c>
      <c r="F1001" s="71" t="s">
        <v>781</v>
      </c>
      <c r="H1001" s="71" t="s">
        <v>131</v>
      </c>
      <c r="I1001" s="87"/>
      <c r="J1001" s="72">
        <f>J1000</f>
        <v>84</v>
      </c>
      <c r="K1001" s="72"/>
      <c r="L1001" s="72">
        <f>L1000</f>
        <v>400</v>
      </c>
      <c r="M1001" s="72"/>
      <c r="N1001" s="72">
        <f>N1000</f>
        <v>50</v>
      </c>
      <c r="O1001" s="72"/>
      <c r="P1001" s="72"/>
      <c r="Q1001" s="72"/>
      <c r="R1001" s="72">
        <f>R1000</f>
        <v>12.5</v>
      </c>
      <c r="S1001" s="72"/>
      <c r="T1001" s="72"/>
      <c r="U1001" s="72"/>
      <c r="V1001" s="72"/>
      <c r="W1001" s="72"/>
      <c r="X1001" s="72"/>
      <c r="Y1001" s="72"/>
      <c r="Z1001" s="72"/>
      <c r="AA1001" s="72"/>
      <c r="AB1001" s="72"/>
      <c r="AC1001" s="73"/>
      <c r="AD1001" s="73"/>
      <c r="AE1001" s="73"/>
      <c r="AF1001" s="73"/>
      <c r="AG1001" s="73"/>
      <c r="AH1001" s="73"/>
      <c r="AI1001" s="73"/>
      <c r="AJ1001" s="73"/>
      <c r="AK1001" s="73"/>
      <c r="AL1001" s="73"/>
      <c r="AM1001" s="73"/>
      <c r="AN1001" s="73"/>
      <c r="AO1001" s="73"/>
      <c r="AP1001" s="73"/>
      <c r="AQ1001" s="73"/>
      <c r="AR1001" s="73"/>
      <c r="AS1001" s="73"/>
      <c r="AT1001" s="73"/>
      <c r="AU1001" s="73"/>
      <c r="AV1001" s="73"/>
      <c r="AW1001" s="73"/>
      <c r="AX1001" s="73"/>
    </row>
    <row r="1002" spans="1:50" s="22" customFormat="1" ht="15" customHeight="1" x14ac:dyDescent="0.2">
      <c r="A1002" s="21" t="s">
        <v>438</v>
      </c>
      <c r="B1002" s="21" t="s">
        <v>439</v>
      </c>
      <c r="H1002" s="22" t="s">
        <v>33</v>
      </c>
      <c r="I1002" s="65" t="s">
        <v>1010</v>
      </c>
      <c r="J1002" s="4">
        <v>94</v>
      </c>
      <c r="K1002" s="4"/>
      <c r="L1002" s="4">
        <v>90</v>
      </c>
      <c r="M1002" s="4">
        <v>0.6</v>
      </c>
      <c r="N1002" s="4"/>
      <c r="O1002" s="4"/>
      <c r="P1002" s="4">
        <f t="shared" ref="P1002" si="303">AN1002</f>
        <v>0</v>
      </c>
      <c r="Q1002" s="4"/>
      <c r="R1002" s="4">
        <v>23</v>
      </c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23"/>
      <c r="AD1002" s="23"/>
      <c r="AE1002" s="23"/>
      <c r="AF1002" s="23"/>
      <c r="AG1002" s="23"/>
      <c r="AH1002" s="23"/>
      <c r="AI1002" s="23"/>
      <c r="AJ1002" s="23"/>
      <c r="AK1002" s="23"/>
      <c r="AL1002" s="23"/>
      <c r="AM1002" s="23"/>
      <c r="AN1002" s="23"/>
      <c r="AO1002" s="23"/>
      <c r="AP1002" s="23"/>
      <c r="AQ1002" s="23"/>
      <c r="AR1002" s="23"/>
      <c r="AS1002" s="23"/>
      <c r="AT1002" s="23"/>
      <c r="AU1002" s="23"/>
      <c r="AV1002" s="23"/>
      <c r="AW1002" s="23"/>
      <c r="AX1002" s="23"/>
    </row>
    <row r="1003" spans="1:50" s="71" customFormat="1" ht="15" customHeight="1" x14ac:dyDescent="0.2">
      <c r="A1003" s="70" t="s">
        <v>438</v>
      </c>
      <c r="B1003" s="70" t="s">
        <v>439</v>
      </c>
      <c r="C1003" s="71" t="s">
        <v>440</v>
      </c>
      <c r="D1003" s="71" t="s">
        <v>31</v>
      </c>
      <c r="E1003" s="71" t="s">
        <v>46</v>
      </c>
      <c r="F1003" s="71" t="s">
        <v>782</v>
      </c>
      <c r="H1003" s="71" t="s">
        <v>33</v>
      </c>
      <c r="I1003" s="87"/>
      <c r="J1003" s="72">
        <f>J1002</f>
        <v>94</v>
      </c>
      <c r="K1003" s="72"/>
      <c r="L1003" s="72">
        <f>L1002</f>
        <v>90</v>
      </c>
      <c r="M1003" s="72">
        <f>M1002</f>
        <v>0.6</v>
      </c>
      <c r="N1003" s="72"/>
      <c r="O1003" s="72"/>
      <c r="P1003" s="72">
        <f>P1002</f>
        <v>0</v>
      </c>
      <c r="Q1003" s="72"/>
      <c r="R1003" s="72">
        <f>R1002</f>
        <v>23</v>
      </c>
      <c r="S1003" s="72"/>
      <c r="T1003" s="72"/>
      <c r="U1003" s="72"/>
      <c r="V1003" s="72"/>
      <c r="W1003" s="72"/>
      <c r="X1003" s="72"/>
      <c r="Y1003" s="72"/>
      <c r="Z1003" s="72"/>
      <c r="AA1003" s="72"/>
      <c r="AB1003" s="72"/>
      <c r="AC1003" s="73"/>
      <c r="AD1003" s="73"/>
      <c r="AE1003" s="73"/>
      <c r="AF1003" s="73"/>
      <c r="AG1003" s="73"/>
      <c r="AH1003" s="73"/>
      <c r="AI1003" s="73"/>
      <c r="AJ1003" s="73"/>
      <c r="AK1003" s="73"/>
      <c r="AL1003" s="73"/>
      <c r="AM1003" s="73"/>
      <c r="AN1003" s="73"/>
      <c r="AO1003" s="73"/>
      <c r="AP1003" s="73"/>
      <c r="AQ1003" s="73"/>
      <c r="AR1003" s="73"/>
      <c r="AS1003" s="73"/>
      <c r="AT1003" s="73"/>
      <c r="AU1003" s="73"/>
      <c r="AV1003" s="73"/>
      <c r="AW1003" s="73"/>
      <c r="AX1003" s="73"/>
    </row>
    <row r="1004" spans="1:50" ht="51" x14ac:dyDescent="0.2">
      <c r="A1004" s="24" t="s">
        <v>735</v>
      </c>
      <c r="B1004" s="24" t="s">
        <v>736</v>
      </c>
      <c r="D1004" s="22"/>
      <c r="E1004" s="22"/>
      <c r="H1004" s="2" t="s">
        <v>131</v>
      </c>
      <c r="I1004" s="243" t="s">
        <v>1011</v>
      </c>
      <c r="J1004" s="3">
        <v>91</v>
      </c>
      <c r="K1004" s="3">
        <v>2.6</v>
      </c>
      <c r="L1004" s="3">
        <v>68</v>
      </c>
      <c r="M1004" s="3">
        <v>0.2</v>
      </c>
      <c r="N1004" s="3">
        <v>37</v>
      </c>
      <c r="O1004" s="3">
        <v>0.5</v>
      </c>
      <c r="P1004" s="4" t="s">
        <v>0</v>
      </c>
      <c r="R1004" s="3">
        <v>2</v>
      </c>
      <c r="S1004" s="3">
        <v>0.2</v>
      </c>
    </row>
    <row r="1005" spans="1:50" s="71" customFormat="1" ht="15" customHeight="1" x14ac:dyDescent="0.2">
      <c r="A1005" s="70" t="s">
        <v>735</v>
      </c>
      <c r="B1005" s="70" t="s">
        <v>736</v>
      </c>
      <c r="C1005" s="71" t="s">
        <v>737</v>
      </c>
      <c r="D1005" s="71" t="s">
        <v>31</v>
      </c>
      <c r="E1005" s="71" t="s">
        <v>32</v>
      </c>
      <c r="F1005" s="71" t="s">
        <v>780</v>
      </c>
      <c r="H1005" s="71" t="s">
        <v>131</v>
      </c>
      <c r="I1005" s="87"/>
      <c r="J1005" s="72">
        <f>J1004</f>
        <v>91</v>
      </c>
      <c r="K1005" s="72">
        <f t="shared" ref="K1005:O1005" si="304">K1004</f>
        <v>2.6</v>
      </c>
      <c r="L1005" s="72">
        <f t="shared" si="304"/>
        <v>68</v>
      </c>
      <c r="M1005" s="72">
        <f t="shared" si="304"/>
        <v>0.2</v>
      </c>
      <c r="N1005" s="72">
        <f t="shared" si="304"/>
        <v>37</v>
      </c>
      <c r="O1005" s="72">
        <f t="shared" si="304"/>
        <v>0.5</v>
      </c>
      <c r="P1005" s="72"/>
      <c r="Q1005" s="72"/>
      <c r="R1005" s="72">
        <f>R1004</f>
        <v>2</v>
      </c>
      <c r="S1005" s="72">
        <f>S1004</f>
        <v>0.2</v>
      </c>
      <c r="T1005" s="72"/>
      <c r="U1005" s="72"/>
      <c r="V1005" s="72"/>
      <c r="W1005" s="72"/>
      <c r="X1005" s="72"/>
      <c r="Y1005" s="72"/>
      <c r="Z1005" s="72"/>
      <c r="AA1005" s="72"/>
      <c r="AB1005" s="72"/>
      <c r="AC1005" s="73"/>
      <c r="AD1005" s="73"/>
      <c r="AE1005" s="73"/>
      <c r="AF1005" s="73"/>
      <c r="AG1005" s="73"/>
      <c r="AH1005" s="73"/>
      <c r="AI1005" s="73"/>
      <c r="AJ1005" s="73"/>
      <c r="AK1005" s="73"/>
      <c r="AL1005" s="73"/>
      <c r="AM1005" s="73"/>
      <c r="AN1005" s="73"/>
      <c r="AO1005" s="73"/>
      <c r="AP1005" s="73"/>
      <c r="AQ1005" s="73"/>
      <c r="AR1005" s="73"/>
      <c r="AS1005" s="73"/>
      <c r="AT1005" s="73"/>
      <c r="AU1005" s="73"/>
      <c r="AV1005" s="73"/>
      <c r="AW1005" s="73"/>
      <c r="AX1005" s="73"/>
    </row>
    <row r="1006" spans="1:50" ht="15" customHeight="1" x14ac:dyDescent="0.2">
      <c r="A1006" s="24" t="s">
        <v>441</v>
      </c>
      <c r="B1006" s="24" t="s">
        <v>442</v>
      </c>
      <c r="D1006" s="22"/>
      <c r="E1006" s="22"/>
      <c r="H1006" s="2" t="s">
        <v>27</v>
      </c>
      <c r="I1006" s="243" t="s">
        <v>1005</v>
      </c>
      <c r="J1006" s="3">
        <v>94</v>
      </c>
      <c r="K1006" s="3">
        <v>2.8</v>
      </c>
      <c r="L1006" s="3">
        <v>19</v>
      </c>
      <c r="M1006" s="3">
        <v>0.4</v>
      </c>
      <c r="N1006" s="3">
        <v>17</v>
      </c>
      <c r="O1006" s="3">
        <v>0.8</v>
      </c>
      <c r="P1006" s="4">
        <f t="shared" ref="P1006:P1016" si="305">AN1006</f>
        <v>0</v>
      </c>
      <c r="Q1006" s="3">
        <v>72</v>
      </c>
      <c r="R1006" s="3">
        <v>84</v>
      </c>
      <c r="AI1006" s="23"/>
      <c r="AN1006" s="23"/>
    </row>
    <row r="1007" spans="1:50" ht="15" customHeight="1" x14ac:dyDescent="0.2">
      <c r="A1007" s="31" t="s">
        <v>441</v>
      </c>
      <c r="B1007" s="31" t="s">
        <v>442</v>
      </c>
      <c r="D1007" s="22"/>
      <c r="E1007" s="22"/>
      <c r="H1007" s="2" t="s">
        <v>27</v>
      </c>
      <c r="I1007" s="243" t="s">
        <v>1009</v>
      </c>
      <c r="K1007" s="3">
        <v>0.81</v>
      </c>
      <c r="L1007" s="3">
        <v>25</v>
      </c>
      <c r="M1007" s="3">
        <v>1.36</v>
      </c>
      <c r="O1007" s="3">
        <v>0.41</v>
      </c>
      <c r="P1007" s="4">
        <f t="shared" si="305"/>
        <v>0</v>
      </c>
      <c r="R1007" s="3">
        <v>54</v>
      </c>
      <c r="S1007" s="3">
        <v>0.93</v>
      </c>
      <c r="AN1007" s="23"/>
    </row>
    <row r="1008" spans="1:50" ht="15" customHeight="1" x14ac:dyDescent="0.2">
      <c r="A1008" s="31" t="s">
        <v>441</v>
      </c>
      <c r="B1008" s="31" t="s">
        <v>442</v>
      </c>
      <c r="D1008" s="22"/>
      <c r="E1008" s="22"/>
      <c r="H1008" s="2" t="s">
        <v>27</v>
      </c>
      <c r="I1008" s="243" t="s">
        <v>1009</v>
      </c>
      <c r="K1008" s="3">
        <v>0.9</v>
      </c>
      <c r="L1008" s="3">
        <v>16</v>
      </c>
      <c r="M1008" s="3">
        <v>1</v>
      </c>
      <c r="O1008" s="3">
        <v>0.63</v>
      </c>
      <c r="P1008" s="4">
        <f t="shared" si="305"/>
        <v>0</v>
      </c>
      <c r="R1008" s="3">
        <v>59</v>
      </c>
      <c r="S1008" s="3">
        <v>0.74</v>
      </c>
      <c r="AN1008" s="23"/>
    </row>
    <row r="1009" spans="1:50" ht="15" customHeight="1" x14ac:dyDescent="0.2">
      <c r="A1009" s="31" t="s">
        <v>441</v>
      </c>
      <c r="B1009" s="31" t="s">
        <v>442</v>
      </c>
      <c r="D1009" s="22"/>
      <c r="E1009" s="22"/>
      <c r="H1009" s="2" t="s">
        <v>27</v>
      </c>
      <c r="I1009" s="243" t="s">
        <v>1009</v>
      </c>
      <c r="K1009" s="3">
        <v>0.87</v>
      </c>
      <c r="L1009" s="3">
        <v>20</v>
      </c>
      <c r="M1009" s="3">
        <v>0.94</v>
      </c>
      <c r="O1009" s="3">
        <v>0.13</v>
      </c>
      <c r="P1009" s="4">
        <f t="shared" si="305"/>
        <v>0</v>
      </c>
      <c r="R1009" s="3">
        <v>59</v>
      </c>
      <c r="AN1009" s="23"/>
    </row>
    <row r="1010" spans="1:50" ht="15" customHeight="1" x14ac:dyDescent="0.2">
      <c r="A1010" s="31" t="s">
        <v>441</v>
      </c>
      <c r="B1010" s="31" t="s">
        <v>442</v>
      </c>
      <c r="D1010" s="22"/>
      <c r="E1010" s="22"/>
      <c r="H1010" s="2" t="s">
        <v>27</v>
      </c>
      <c r="I1010" s="243" t="s">
        <v>1009</v>
      </c>
      <c r="K1010" s="3">
        <v>0.77</v>
      </c>
      <c r="L1010" s="3">
        <v>20</v>
      </c>
      <c r="M1010" s="3">
        <v>0.85</v>
      </c>
      <c r="O1010" s="3">
        <v>0.14000000000000001</v>
      </c>
      <c r="P1010" s="4">
        <f t="shared" si="305"/>
        <v>0</v>
      </c>
      <c r="R1010" s="3">
        <v>38</v>
      </c>
      <c r="S1010" s="3">
        <v>0.69</v>
      </c>
      <c r="AN1010" s="23"/>
    </row>
    <row r="1011" spans="1:50" ht="15" customHeight="1" x14ac:dyDescent="0.2">
      <c r="A1011" s="24" t="s">
        <v>441</v>
      </c>
      <c r="B1011" s="24" t="s">
        <v>442</v>
      </c>
      <c r="D1011" s="22"/>
      <c r="E1011" s="22"/>
      <c r="H1011" s="2" t="s">
        <v>27</v>
      </c>
      <c r="I1011" s="243" t="s">
        <v>1010</v>
      </c>
      <c r="J1011" s="3">
        <v>93.3</v>
      </c>
      <c r="K1011" s="3">
        <v>1.2</v>
      </c>
      <c r="L1011" s="3">
        <v>29</v>
      </c>
      <c r="M1011" s="3">
        <v>0.7</v>
      </c>
      <c r="N1011" s="3">
        <v>17</v>
      </c>
      <c r="P1011" s="4">
        <f t="shared" si="305"/>
        <v>0</v>
      </c>
      <c r="R1011" s="3">
        <v>137</v>
      </c>
      <c r="AI1011" s="23"/>
      <c r="AN1011" s="23"/>
    </row>
    <row r="1012" spans="1:50" ht="15" customHeight="1" x14ac:dyDescent="0.2">
      <c r="A1012" s="24" t="s">
        <v>441</v>
      </c>
      <c r="B1012" s="24" t="s">
        <v>442</v>
      </c>
      <c r="D1012" s="22"/>
      <c r="E1012" s="22"/>
      <c r="H1012" s="2" t="s">
        <v>27</v>
      </c>
      <c r="I1012" s="243" t="s">
        <v>1009</v>
      </c>
      <c r="K1012" s="3">
        <v>0.98</v>
      </c>
      <c r="L1012" s="3">
        <v>11</v>
      </c>
      <c r="M1012" s="3">
        <v>0.45</v>
      </c>
      <c r="P1012" s="4">
        <f t="shared" si="305"/>
        <v>0</v>
      </c>
      <c r="R1012" s="3">
        <v>75</v>
      </c>
      <c r="AN1012" s="23"/>
    </row>
    <row r="1013" spans="1:50" ht="15" customHeight="1" x14ac:dyDescent="0.2">
      <c r="A1013" s="24" t="s">
        <v>441</v>
      </c>
      <c r="B1013" s="24" t="s">
        <v>442</v>
      </c>
      <c r="D1013" s="22"/>
      <c r="E1013" s="22"/>
      <c r="H1013" s="2" t="s">
        <v>27</v>
      </c>
      <c r="I1013" s="243" t="s">
        <v>1009</v>
      </c>
      <c r="K1013" s="3">
        <v>1.03</v>
      </c>
      <c r="L1013" s="3">
        <v>20</v>
      </c>
      <c r="M1013" s="3">
        <v>0.41</v>
      </c>
      <c r="O1013" s="3">
        <v>0.02</v>
      </c>
      <c r="P1013" s="4">
        <f t="shared" si="305"/>
        <v>0</v>
      </c>
      <c r="R1013" s="3">
        <v>55</v>
      </c>
      <c r="AN1013" s="23"/>
    </row>
    <row r="1014" spans="1:50" ht="15" customHeight="1" x14ac:dyDescent="0.2">
      <c r="A1014" s="24" t="s">
        <v>441</v>
      </c>
      <c r="B1014" s="24" t="s">
        <v>442</v>
      </c>
      <c r="D1014" s="22"/>
      <c r="E1014" s="22"/>
      <c r="H1014" s="2" t="s">
        <v>27</v>
      </c>
      <c r="I1014" s="243" t="s">
        <v>1009</v>
      </c>
      <c r="K1014" s="3">
        <v>0.77</v>
      </c>
      <c r="L1014" s="3">
        <v>18</v>
      </c>
      <c r="M1014" s="3">
        <v>0.38</v>
      </c>
      <c r="O1014" s="3">
        <v>0.13</v>
      </c>
      <c r="P1014" s="4">
        <f t="shared" si="305"/>
        <v>0</v>
      </c>
      <c r="R1014" s="3">
        <v>42</v>
      </c>
      <c r="S1014" s="3">
        <v>1.41</v>
      </c>
      <c r="AN1014" s="23"/>
    </row>
    <row r="1015" spans="1:50" ht="15" customHeight="1" x14ac:dyDescent="0.2">
      <c r="A1015" s="24" t="s">
        <v>441</v>
      </c>
      <c r="B1015" s="24" t="s">
        <v>442</v>
      </c>
      <c r="D1015" s="22"/>
      <c r="E1015" s="22"/>
      <c r="H1015" s="2" t="s">
        <v>27</v>
      </c>
      <c r="I1015" s="243" t="s">
        <v>1009</v>
      </c>
      <c r="K1015" s="3">
        <v>0.99</v>
      </c>
      <c r="L1015" s="3">
        <v>20</v>
      </c>
      <c r="M1015" s="3">
        <v>0.37</v>
      </c>
      <c r="O1015" s="3">
        <v>0.03</v>
      </c>
      <c r="P1015" s="4">
        <f t="shared" si="305"/>
        <v>0</v>
      </c>
      <c r="R1015" s="3">
        <v>64</v>
      </c>
      <c r="AN1015" s="23"/>
    </row>
    <row r="1016" spans="1:50" ht="15" customHeight="1" x14ac:dyDescent="0.2">
      <c r="A1016" s="24" t="s">
        <v>441</v>
      </c>
      <c r="B1016" s="24" t="s">
        <v>442</v>
      </c>
      <c r="D1016" s="22"/>
      <c r="E1016" s="22"/>
      <c r="H1016" s="2" t="s">
        <v>27</v>
      </c>
      <c r="I1016" s="243" t="s">
        <v>1009</v>
      </c>
      <c r="K1016" s="3">
        <v>0.64</v>
      </c>
      <c r="L1016" s="3">
        <v>19</v>
      </c>
      <c r="M1016" s="3">
        <v>0.24</v>
      </c>
      <c r="O1016" s="3">
        <v>0.18</v>
      </c>
      <c r="P1016" s="4">
        <f t="shared" si="305"/>
        <v>0</v>
      </c>
      <c r="R1016" s="3">
        <v>31</v>
      </c>
      <c r="S1016" s="3">
        <v>0.9</v>
      </c>
      <c r="AN1016" s="23"/>
    </row>
    <row r="1017" spans="1:50" ht="15" customHeight="1" x14ac:dyDescent="0.2">
      <c r="A1017" s="24" t="s">
        <v>441</v>
      </c>
      <c r="B1017" s="24" t="s">
        <v>442</v>
      </c>
      <c r="D1017" s="22"/>
      <c r="E1017" s="22"/>
      <c r="H1017" s="2" t="s">
        <v>27</v>
      </c>
      <c r="I1017" s="243" t="s">
        <v>1009</v>
      </c>
      <c r="K1017" s="3">
        <v>0.81</v>
      </c>
      <c r="L1017" s="3">
        <v>19</v>
      </c>
      <c r="M1017" s="3">
        <v>0.21</v>
      </c>
      <c r="O1017" s="3">
        <v>0.12</v>
      </c>
      <c r="P1017" s="4" t="s">
        <v>0</v>
      </c>
      <c r="R1017" s="3">
        <v>47</v>
      </c>
      <c r="S1017" s="3">
        <v>0.84</v>
      </c>
    </row>
    <row r="1018" spans="1:50" ht="15" customHeight="1" x14ac:dyDescent="0.2">
      <c r="A1018" s="24" t="s">
        <v>441</v>
      </c>
      <c r="B1018" s="24" t="s">
        <v>442</v>
      </c>
      <c r="D1018" s="22"/>
      <c r="E1018" s="22"/>
      <c r="H1018" s="2" t="s">
        <v>27</v>
      </c>
      <c r="I1018" s="243" t="s">
        <v>1009</v>
      </c>
      <c r="K1018" s="3">
        <v>0.94</v>
      </c>
      <c r="L1018" s="3">
        <v>19</v>
      </c>
      <c r="M1018" s="3">
        <v>0.01</v>
      </c>
      <c r="O1018" s="3">
        <v>0.12</v>
      </c>
      <c r="P1018" s="4" t="s">
        <v>0</v>
      </c>
      <c r="R1018" s="3">
        <v>77</v>
      </c>
      <c r="S1018" s="3">
        <v>1.87</v>
      </c>
    </row>
    <row r="1019" spans="1:50" s="71" customFormat="1" ht="15" customHeight="1" x14ac:dyDescent="0.2">
      <c r="A1019" s="70" t="s">
        <v>441</v>
      </c>
      <c r="B1019" s="70" t="s">
        <v>442</v>
      </c>
      <c r="C1019" s="71" t="s">
        <v>443</v>
      </c>
      <c r="D1019" s="71" t="s">
        <v>56</v>
      </c>
      <c r="E1019" s="71" t="s">
        <v>42</v>
      </c>
      <c r="F1019" s="71" t="s">
        <v>784</v>
      </c>
      <c r="H1019" s="71" t="s">
        <v>27</v>
      </c>
      <c r="I1019" s="87"/>
      <c r="J1019" s="72">
        <f t="shared" ref="J1019" si="306">AVERAGE(J1006:J1018)</f>
        <v>93.65</v>
      </c>
      <c r="K1019" s="72">
        <f t="shared" ref="K1019:S1019" si="307">AVERAGE(K1006:K1018)</f>
        <v>1.0392307692307692</v>
      </c>
      <c r="L1019" s="72">
        <f t="shared" si="307"/>
        <v>19.615384615384617</v>
      </c>
      <c r="M1019" s="72">
        <f t="shared" si="307"/>
        <v>0.56307692307692314</v>
      </c>
      <c r="N1019" s="72">
        <f t="shared" si="307"/>
        <v>17</v>
      </c>
      <c r="O1019" s="72">
        <f t="shared" si="307"/>
        <v>0.24636363636363637</v>
      </c>
      <c r="P1019" s="72">
        <f t="shared" si="307"/>
        <v>0</v>
      </c>
      <c r="Q1019" s="72">
        <f t="shared" si="307"/>
        <v>72</v>
      </c>
      <c r="R1019" s="72">
        <f t="shared" si="307"/>
        <v>63.230769230769234</v>
      </c>
      <c r="S1019" s="72">
        <f t="shared" si="307"/>
        <v>1.0542857142857143</v>
      </c>
      <c r="T1019" s="72"/>
      <c r="U1019" s="72"/>
      <c r="V1019" s="72"/>
      <c r="W1019" s="72"/>
      <c r="X1019" s="72"/>
      <c r="Y1019" s="72"/>
      <c r="Z1019" s="72"/>
      <c r="AA1019" s="72"/>
      <c r="AB1019" s="72"/>
      <c r="AC1019" s="73"/>
      <c r="AD1019" s="73"/>
      <c r="AE1019" s="73"/>
      <c r="AF1019" s="73"/>
      <c r="AG1019" s="73"/>
      <c r="AH1019" s="73"/>
      <c r="AI1019" s="73"/>
      <c r="AJ1019" s="73"/>
      <c r="AK1019" s="73"/>
      <c r="AL1019" s="73"/>
      <c r="AM1019" s="73"/>
      <c r="AN1019" s="73"/>
      <c r="AO1019" s="73"/>
      <c r="AP1019" s="73"/>
      <c r="AQ1019" s="73"/>
      <c r="AR1019" s="73"/>
      <c r="AS1019" s="73"/>
      <c r="AT1019" s="73"/>
      <c r="AU1019" s="73"/>
      <c r="AV1019" s="73"/>
      <c r="AW1019" s="73"/>
      <c r="AX1019" s="73"/>
    </row>
    <row r="1020" spans="1:50" ht="15" customHeight="1" x14ac:dyDescent="0.2">
      <c r="A1020" s="24" t="s">
        <v>441</v>
      </c>
      <c r="B1020" s="24" t="s">
        <v>442</v>
      </c>
      <c r="D1020" s="22"/>
      <c r="E1020" s="22"/>
      <c r="H1020" s="2" t="s">
        <v>33</v>
      </c>
      <c r="I1020" s="243" t="s">
        <v>1010</v>
      </c>
      <c r="J1020" s="3">
        <v>80.099999999999994</v>
      </c>
      <c r="K1020" s="3">
        <v>0.5</v>
      </c>
      <c r="L1020" s="3">
        <v>264</v>
      </c>
      <c r="M1020" s="3">
        <v>7.1</v>
      </c>
      <c r="P1020" s="4">
        <f t="shared" ref="P1020" si="308">AN1020</f>
        <v>0</v>
      </c>
      <c r="R1020" s="3">
        <v>247</v>
      </c>
      <c r="AI1020" s="23"/>
      <c r="AN1020" s="23"/>
    </row>
    <row r="1021" spans="1:50" ht="15" customHeight="1" x14ac:dyDescent="0.2">
      <c r="A1021" s="24" t="s">
        <v>441</v>
      </c>
      <c r="B1021" s="24" t="s">
        <v>442</v>
      </c>
      <c r="D1021" s="22"/>
      <c r="E1021" s="22"/>
      <c r="H1021" s="2" t="s">
        <v>33</v>
      </c>
      <c r="I1021" s="243" t="s">
        <v>1010</v>
      </c>
      <c r="J1021" s="3">
        <v>89.2</v>
      </c>
      <c r="K1021" s="3">
        <v>2.2799999999999998</v>
      </c>
      <c r="L1021" s="3">
        <v>84</v>
      </c>
      <c r="M1021" s="3">
        <v>2</v>
      </c>
      <c r="N1021" s="3">
        <v>85</v>
      </c>
      <c r="P1021" s="4" t="s">
        <v>0</v>
      </c>
      <c r="R1021" s="3">
        <v>88</v>
      </c>
    </row>
    <row r="1022" spans="1:50" s="71" customFormat="1" ht="15" customHeight="1" x14ac:dyDescent="0.2">
      <c r="A1022" s="70" t="s">
        <v>441</v>
      </c>
      <c r="B1022" s="70" t="s">
        <v>442</v>
      </c>
      <c r="C1022" s="71" t="s">
        <v>443</v>
      </c>
      <c r="D1022" s="71" t="s">
        <v>56</v>
      </c>
      <c r="E1022" s="71" t="s">
        <v>42</v>
      </c>
      <c r="F1022" s="71" t="s">
        <v>784</v>
      </c>
      <c r="H1022" s="71" t="s">
        <v>33</v>
      </c>
      <c r="I1022" s="87"/>
      <c r="J1022" s="72">
        <f t="shared" ref="J1022" si="309">AVERAGE(J1020:J1021)</f>
        <v>84.65</v>
      </c>
      <c r="K1022" s="72">
        <f>AVERAGE(K1020:K1021)</f>
        <v>1.39</v>
      </c>
      <c r="L1022" s="72">
        <f>AVERAGE(L1020:L1021)</f>
        <v>174</v>
      </c>
      <c r="M1022" s="72">
        <f>AVERAGE(M1020:M1021)</f>
        <v>4.55</v>
      </c>
      <c r="N1022" s="72">
        <f>AVERAGE(N1020:N1021)</f>
        <v>85</v>
      </c>
      <c r="O1022" s="72"/>
      <c r="P1022" s="72">
        <f>AVERAGE(P1020:P1021)</f>
        <v>0</v>
      </c>
      <c r="Q1022" s="72"/>
      <c r="R1022" s="72">
        <f>AVERAGE(R1020:R1021)</f>
        <v>167.5</v>
      </c>
      <c r="S1022" s="72"/>
      <c r="T1022" s="72"/>
      <c r="U1022" s="72"/>
      <c r="V1022" s="72"/>
      <c r="W1022" s="72"/>
      <c r="X1022" s="72"/>
      <c r="Y1022" s="72"/>
      <c r="Z1022" s="72"/>
      <c r="AA1022" s="72"/>
      <c r="AB1022" s="72"/>
      <c r="AC1022" s="73"/>
      <c r="AD1022" s="73"/>
      <c r="AE1022" s="73"/>
      <c r="AF1022" s="73"/>
      <c r="AG1022" s="73"/>
      <c r="AH1022" s="73"/>
      <c r="AI1022" s="73"/>
      <c r="AJ1022" s="73"/>
      <c r="AK1022" s="73"/>
      <c r="AL1022" s="73"/>
      <c r="AM1022" s="73"/>
      <c r="AN1022" s="73"/>
      <c r="AO1022" s="73"/>
      <c r="AP1022" s="73"/>
      <c r="AQ1022" s="73"/>
      <c r="AR1022" s="73"/>
      <c r="AS1022" s="73"/>
      <c r="AT1022" s="73"/>
      <c r="AU1022" s="73"/>
      <c r="AV1022" s="73"/>
      <c r="AW1022" s="73"/>
      <c r="AX1022" s="73"/>
    </row>
    <row r="1023" spans="1:50" ht="15" customHeight="1" x14ac:dyDescent="0.2">
      <c r="A1023" s="24" t="s">
        <v>441</v>
      </c>
      <c r="B1023" s="24" t="s">
        <v>444</v>
      </c>
      <c r="D1023" s="22"/>
      <c r="E1023" s="22"/>
      <c r="H1023" s="2" t="s">
        <v>33</v>
      </c>
      <c r="I1023" s="243" t="s">
        <v>1009</v>
      </c>
      <c r="K1023" s="3">
        <v>1.29</v>
      </c>
      <c r="L1023" s="3">
        <v>42</v>
      </c>
      <c r="M1023" s="3">
        <v>0.95</v>
      </c>
      <c r="O1023" s="3">
        <v>0.74</v>
      </c>
      <c r="P1023" s="4">
        <f t="shared" ref="P1023:P1025" si="310">AN1023</f>
        <v>0</v>
      </c>
      <c r="Q1023" s="3">
        <v>128</v>
      </c>
      <c r="R1023" s="3">
        <v>1983</v>
      </c>
      <c r="S1023" s="3">
        <v>1.42</v>
      </c>
      <c r="AN1023" s="23"/>
    </row>
    <row r="1024" spans="1:50" ht="15" customHeight="1" x14ac:dyDescent="0.2">
      <c r="A1024" s="24" t="s">
        <v>441</v>
      </c>
      <c r="B1024" s="24" t="s">
        <v>444</v>
      </c>
      <c r="D1024" s="22"/>
      <c r="E1024" s="22"/>
      <c r="H1024" s="2" t="s">
        <v>33</v>
      </c>
      <c r="I1024" s="243" t="s">
        <v>1009</v>
      </c>
      <c r="K1024" s="3">
        <v>1.72</v>
      </c>
      <c r="L1024" s="3">
        <v>227</v>
      </c>
      <c r="M1024" s="3">
        <v>1.22</v>
      </c>
      <c r="N1024" s="36"/>
      <c r="O1024" s="3">
        <v>0.57999999999999996</v>
      </c>
      <c r="P1024" s="4">
        <f t="shared" si="310"/>
        <v>0</v>
      </c>
      <c r="Q1024" s="3">
        <v>155</v>
      </c>
      <c r="R1024" s="3">
        <v>527</v>
      </c>
      <c r="S1024" s="3">
        <v>3.54</v>
      </c>
      <c r="X1024" s="36"/>
      <c r="AN1024" s="23"/>
    </row>
    <row r="1025" spans="1:50" ht="15" customHeight="1" x14ac:dyDescent="0.2">
      <c r="A1025" s="24" t="s">
        <v>441</v>
      </c>
      <c r="B1025" s="24" t="s">
        <v>444</v>
      </c>
      <c r="D1025" s="22"/>
      <c r="E1025" s="22"/>
      <c r="H1025" s="2" t="s">
        <v>33</v>
      </c>
      <c r="I1025" s="243" t="s">
        <v>1009</v>
      </c>
      <c r="K1025" s="3">
        <v>2.1</v>
      </c>
      <c r="L1025" s="3">
        <v>759</v>
      </c>
      <c r="M1025" s="3">
        <v>3.51</v>
      </c>
      <c r="O1025" s="3">
        <v>0.41</v>
      </c>
      <c r="P1025" s="4">
        <f t="shared" si="310"/>
        <v>0</v>
      </c>
      <c r="R1025" s="3">
        <v>296</v>
      </c>
      <c r="AN1025" s="23"/>
    </row>
    <row r="1026" spans="1:50" s="71" customFormat="1" ht="15" customHeight="1" x14ac:dyDescent="0.2">
      <c r="A1026" s="70" t="s">
        <v>441</v>
      </c>
      <c r="B1026" s="70" t="s">
        <v>444</v>
      </c>
      <c r="C1026" s="71" t="s">
        <v>445</v>
      </c>
      <c r="D1026" s="71" t="s">
        <v>31</v>
      </c>
      <c r="E1026" s="71" t="s">
        <v>42</v>
      </c>
      <c r="F1026" s="71" t="s">
        <v>32</v>
      </c>
      <c r="H1026" s="71" t="s">
        <v>33</v>
      </c>
      <c r="I1026" s="87"/>
      <c r="J1026" s="72"/>
      <c r="K1026" s="72">
        <f>AVERAGE(K1023:K1025)</f>
        <v>1.7033333333333331</v>
      </c>
      <c r="L1026" s="72">
        <f>AVERAGE(L1023:L1025)</f>
        <v>342.66666666666669</v>
      </c>
      <c r="M1026" s="72">
        <f>AVERAGE(M1023:M1025)</f>
        <v>1.8933333333333333</v>
      </c>
      <c r="N1026" s="72"/>
      <c r="O1026" s="72">
        <f t="shared" ref="O1026:S1026" si="311">AVERAGE(O1023:O1025)</f>
        <v>0.57666666666666655</v>
      </c>
      <c r="P1026" s="72">
        <f t="shared" si="311"/>
        <v>0</v>
      </c>
      <c r="Q1026" s="72">
        <f t="shared" si="311"/>
        <v>141.5</v>
      </c>
      <c r="R1026" s="72">
        <f t="shared" si="311"/>
        <v>935.33333333333337</v>
      </c>
      <c r="S1026" s="72">
        <f t="shared" si="311"/>
        <v>2.48</v>
      </c>
      <c r="T1026" s="72"/>
      <c r="U1026" s="72"/>
      <c r="V1026" s="72"/>
      <c r="W1026" s="72"/>
      <c r="X1026" s="72"/>
      <c r="Y1026" s="72"/>
      <c r="Z1026" s="72"/>
      <c r="AA1026" s="72"/>
      <c r="AB1026" s="72"/>
      <c r="AC1026" s="73"/>
      <c r="AD1026" s="73"/>
      <c r="AE1026" s="73"/>
      <c r="AF1026" s="73"/>
      <c r="AG1026" s="73"/>
      <c r="AH1026" s="73"/>
      <c r="AI1026" s="73"/>
      <c r="AJ1026" s="73"/>
      <c r="AK1026" s="73"/>
      <c r="AL1026" s="73"/>
      <c r="AM1026" s="73"/>
      <c r="AN1026" s="73"/>
      <c r="AO1026" s="73"/>
      <c r="AP1026" s="73"/>
      <c r="AQ1026" s="73"/>
      <c r="AR1026" s="73"/>
      <c r="AS1026" s="73"/>
      <c r="AT1026" s="73"/>
      <c r="AU1026" s="73"/>
      <c r="AV1026" s="73"/>
      <c r="AW1026" s="73"/>
      <c r="AX1026" s="73"/>
    </row>
    <row r="1027" spans="1:50" ht="15" customHeight="1" x14ac:dyDescent="0.2">
      <c r="A1027" s="24" t="s">
        <v>441</v>
      </c>
      <c r="B1027" s="24" t="s">
        <v>444</v>
      </c>
      <c r="D1027" s="22"/>
      <c r="E1027" s="22"/>
      <c r="H1027" s="2" t="s">
        <v>27</v>
      </c>
      <c r="I1027" s="243" t="s">
        <v>1009</v>
      </c>
      <c r="K1027" s="3">
        <v>2.2999999999999998</v>
      </c>
      <c r="L1027" s="3">
        <v>48</v>
      </c>
      <c r="M1027" s="3">
        <v>0.87</v>
      </c>
      <c r="O1027" s="3">
        <v>0.28999999999999998</v>
      </c>
      <c r="P1027" s="4">
        <f t="shared" ref="P1027:P1028" si="312">AN1027</f>
        <v>0</v>
      </c>
      <c r="Q1027" s="3">
        <v>6</v>
      </c>
      <c r="R1027" s="3">
        <v>146</v>
      </c>
      <c r="S1027" s="3">
        <v>5.0999999999999996</v>
      </c>
      <c r="AN1027" s="23"/>
    </row>
    <row r="1028" spans="1:50" ht="15" customHeight="1" x14ac:dyDescent="0.2">
      <c r="A1028" s="24" t="s">
        <v>441</v>
      </c>
      <c r="B1028" s="24" t="s">
        <v>444</v>
      </c>
      <c r="D1028" s="22"/>
      <c r="E1028" s="22"/>
      <c r="H1028" s="2" t="s">
        <v>27</v>
      </c>
      <c r="I1028" s="243" t="s">
        <v>1009</v>
      </c>
      <c r="K1028" s="3">
        <v>1.03</v>
      </c>
      <c r="L1028" s="3">
        <v>23</v>
      </c>
      <c r="M1028" s="3">
        <v>0.34</v>
      </c>
      <c r="P1028" s="4">
        <f t="shared" si="312"/>
        <v>0</v>
      </c>
      <c r="R1028" s="3">
        <v>91</v>
      </c>
      <c r="AN1028" s="23"/>
    </row>
    <row r="1029" spans="1:50" s="71" customFormat="1" ht="15" customHeight="1" x14ac:dyDescent="0.2">
      <c r="A1029" s="70" t="s">
        <v>441</v>
      </c>
      <c r="B1029" s="70" t="s">
        <v>444</v>
      </c>
      <c r="C1029" s="71" t="s">
        <v>445</v>
      </c>
      <c r="D1029" s="71" t="s">
        <v>31</v>
      </c>
      <c r="E1029" s="71" t="s">
        <v>42</v>
      </c>
      <c r="F1029" s="71" t="s">
        <v>32</v>
      </c>
      <c r="H1029" s="71" t="s">
        <v>27</v>
      </c>
      <c r="I1029" s="87"/>
      <c r="J1029" s="72"/>
      <c r="K1029" s="72">
        <f>AVERAGE(K1027:K1028)</f>
        <v>1.665</v>
      </c>
      <c r="L1029" s="72">
        <f>AVERAGE(L1027:L1028)</f>
        <v>35.5</v>
      </c>
      <c r="M1029" s="72">
        <f>AVERAGE(M1027:M1028)</f>
        <v>0.60499999999999998</v>
      </c>
      <c r="N1029" s="72"/>
      <c r="O1029" s="72">
        <f t="shared" ref="O1029:S1029" si="313">AVERAGE(O1027:O1028)</f>
        <v>0.28999999999999998</v>
      </c>
      <c r="P1029" s="72">
        <f t="shared" si="313"/>
        <v>0</v>
      </c>
      <c r="Q1029" s="72">
        <f t="shared" si="313"/>
        <v>6</v>
      </c>
      <c r="R1029" s="72">
        <f t="shared" si="313"/>
        <v>118.5</v>
      </c>
      <c r="S1029" s="72">
        <f t="shared" si="313"/>
        <v>5.0999999999999996</v>
      </c>
      <c r="T1029" s="72"/>
      <c r="U1029" s="72"/>
      <c r="V1029" s="72"/>
      <c r="W1029" s="72"/>
      <c r="X1029" s="72"/>
      <c r="Y1029" s="72"/>
      <c r="Z1029" s="72"/>
      <c r="AA1029" s="72"/>
      <c r="AB1029" s="72"/>
      <c r="AC1029" s="73"/>
      <c r="AD1029" s="73"/>
      <c r="AE1029" s="73"/>
      <c r="AF1029" s="73"/>
      <c r="AG1029" s="73"/>
      <c r="AH1029" s="73"/>
      <c r="AI1029" s="73"/>
      <c r="AJ1029" s="73"/>
      <c r="AK1029" s="73"/>
      <c r="AL1029" s="73"/>
      <c r="AM1029" s="73"/>
      <c r="AN1029" s="73"/>
      <c r="AO1029" s="73"/>
      <c r="AP1029" s="73"/>
      <c r="AQ1029" s="73"/>
      <c r="AR1029" s="73"/>
      <c r="AS1029" s="73"/>
      <c r="AT1029" s="73"/>
      <c r="AU1029" s="73"/>
      <c r="AV1029" s="73"/>
      <c r="AW1029" s="73"/>
      <c r="AX1029" s="73"/>
    </row>
    <row r="1030" spans="1:50" s="30" customFormat="1" ht="15" customHeight="1" x14ac:dyDescent="0.2">
      <c r="A1030" s="34" t="s">
        <v>441</v>
      </c>
      <c r="B1030" s="34" t="s">
        <v>444</v>
      </c>
      <c r="C1030" s="33"/>
      <c r="D1030" s="22"/>
      <c r="E1030" s="22"/>
      <c r="F1030" s="33"/>
      <c r="G1030" s="33"/>
      <c r="H1030" s="33" t="s">
        <v>28</v>
      </c>
      <c r="I1030" s="243" t="s">
        <v>787</v>
      </c>
      <c r="J1030" s="39"/>
      <c r="K1030" s="39"/>
      <c r="L1030" s="39"/>
      <c r="M1030" s="39"/>
      <c r="N1030" s="39"/>
      <c r="O1030" s="39"/>
      <c r="P1030" s="4">
        <f t="shared" ref="P1030:P1039" si="314">AN1030</f>
        <v>0</v>
      </c>
      <c r="Q1030" s="39"/>
      <c r="R1030" s="39"/>
      <c r="S1030" s="39"/>
      <c r="T1030" s="39"/>
      <c r="U1030" s="39"/>
      <c r="V1030" s="39"/>
      <c r="W1030" s="39"/>
      <c r="X1030" s="39"/>
      <c r="Y1030" s="39"/>
      <c r="Z1030" s="39"/>
      <c r="AA1030" s="39"/>
      <c r="AB1030" s="39"/>
      <c r="AC1030" s="29"/>
      <c r="AD1030" s="23"/>
      <c r="AE1030" s="23"/>
      <c r="AF1030" s="29"/>
      <c r="AG1030" s="29"/>
      <c r="AH1030" s="29"/>
      <c r="AI1030" s="29"/>
      <c r="AJ1030" s="29"/>
      <c r="AK1030" s="29"/>
      <c r="AL1030" s="29"/>
      <c r="AM1030" s="29"/>
      <c r="AN1030" s="23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</row>
    <row r="1031" spans="1:50" s="30" customFormat="1" ht="15" customHeight="1" x14ac:dyDescent="0.2">
      <c r="A1031" s="34" t="s">
        <v>441</v>
      </c>
      <c r="B1031" s="34" t="s">
        <v>444</v>
      </c>
      <c r="C1031" s="33"/>
      <c r="D1031" s="22"/>
      <c r="E1031" s="22"/>
      <c r="F1031" s="33"/>
      <c r="G1031" s="33"/>
      <c r="H1031" s="33" t="s">
        <v>28</v>
      </c>
      <c r="I1031" s="243" t="s">
        <v>787</v>
      </c>
      <c r="J1031" s="39"/>
      <c r="K1031" s="39"/>
      <c r="L1031" s="39"/>
      <c r="M1031" s="39"/>
      <c r="N1031" s="39"/>
      <c r="O1031" s="39"/>
      <c r="P1031" s="4">
        <f t="shared" si="314"/>
        <v>0</v>
      </c>
      <c r="Q1031" s="39"/>
      <c r="R1031" s="39"/>
      <c r="S1031" s="39"/>
      <c r="T1031" s="39"/>
      <c r="U1031" s="39"/>
      <c r="V1031" s="39"/>
      <c r="W1031" s="39"/>
      <c r="X1031" s="39"/>
      <c r="Y1031" s="39"/>
      <c r="Z1031" s="39"/>
      <c r="AA1031" s="39"/>
      <c r="AB1031" s="39"/>
      <c r="AC1031" s="29"/>
      <c r="AD1031" s="23"/>
      <c r="AE1031" s="23"/>
      <c r="AF1031" s="29"/>
      <c r="AG1031" s="29"/>
      <c r="AH1031" s="29"/>
      <c r="AI1031" s="29"/>
      <c r="AJ1031" s="29"/>
      <c r="AK1031" s="29"/>
      <c r="AL1031" s="29"/>
      <c r="AM1031" s="29"/>
      <c r="AN1031" s="23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</row>
    <row r="1032" spans="1:50" s="30" customFormat="1" ht="15" customHeight="1" x14ac:dyDescent="0.2">
      <c r="A1032" s="34" t="s">
        <v>441</v>
      </c>
      <c r="B1032" s="34" t="s">
        <v>444</v>
      </c>
      <c r="C1032" s="33"/>
      <c r="D1032" s="22"/>
      <c r="E1032" s="22"/>
      <c r="F1032" s="33"/>
      <c r="G1032" s="33"/>
      <c r="H1032" s="33" t="s">
        <v>28</v>
      </c>
      <c r="I1032" s="243" t="s">
        <v>787</v>
      </c>
      <c r="J1032" s="39"/>
      <c r="K1032" s="39"/>
      <c r="L1032" s="39"/>
      <c r="M1032" s="39"/>
      <c r="N1032" s="39"/>
      <c r="O1032" s="39"/>
      <c r="P1032" s="4">
        <f t="shared" si="314"/>
        <v>0</v>
      </c>
      <c r="Q1032" s="39"/>
      <c r="R1032" s="39"/>
      <c r="S1032" s="39"/>
      <c r="T1032" s="39"/>
      <c r="U1032" s="39"/>
      <c r="V1032" s="39"/>
      <c r="W1032" s="39"/>
      <c r="X1032" s="39"/>
      <c r="Y1032" s="39"/>
      <c r="Z1032" s="39"/>
      <c r="AA1032" s="39"/>
      <c r="AB1032" s="39"/>
      <c r="AC1032" s="29"/>
      <c r="AD1032" s="23"/>
      <c r="AE1032" s="23"/>
      <c r="AF1032" s="29"/>
      <c r="AG1032" s="29"/>
      <c r="AH1032" s="29"/>
      <c r="AI1032" s="29"/>
      <c r="AJ1032" s="29"/>
      <c r="AK1032" s="29"/>
      <c r="AL1032" s="29"/>
      <c r="AM1032" s="29"/>
      <c r="AN1032" s="23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</row>
    <row r="1033" spans="1:50" s="30" customFormat="1" ht="15" customHeight="1" x14ac:dyDescent="0.2">
      <c r="A1033" s="34" t="s">
        <v>441</v>
      </c>
      <c r="B1033" s="34" t="s">
        <v>444</v>
      </c>
      <c r="C1033" s="33"/>
      <c r="D1033" s="22"/>
      <c r="E1033" s="22"/>
      <c r="F1033" s="33"/>
      <c r="G1033" s="33"/>
      <c r="H1033" s="33" t="s">
        <v>28</v>
      </c>
      <c r="I1033" s="243" t="s">
        <v>787</v>
      </c>
      <c r="J1033" s="39"/>
      <c r="K1033" s="39"/>
      <c r="L1033" s="39"/>
      <c r="M1033" s="39"/>
      <c r="N1033" s="39"/>
      <c r="O1033" s="39"/>
      <c r="P1033" s="4">
        <f t="shared" si="314"/>
        <v>0</v>
      </c>
      <c r="Q1033" s="39"/>
      <c r="R1033" s="39"/>
      <c r="S1033" s="39"/>
      <c r="T1033" s="39"/>
      <c r="U1033" s="39"/>
      <c r="V1033" s="39"/>
      <c r="W1033" s="39"/>
      <c r="X1033" s="39"/>
      <c r="Y1033" s="39"/>
      <c r="Z1033" s="39"/>
      <c r="AA1033" s="39"/>
      <c r="AB1033" s="39"/>
      <c r="AC1033" s="29"/>
      <c r="AD1033" s="23"/>
      <c r="AE1033" s="23"/>
      <c r="AF1033" s="29"/>
      <c r="AG1033" s="29"/>
      <c r="AH1033" s="29"/>
      <c r="AI1033" s="29"/>
      <c r="AJ1033" s="29"/>
      <c r="AK1033" s="29"/>
      <c r="AL1033" s="29"/>
      <c r="AM1033" s="29"/>
      <c r="AN1033" s="23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</row>
    <row r="1034" spans="1:50" s="30" customFormat="1" ht="15" customHeight="1" x14ac:dyDescent="0.2">
      <c r="A1034" s="34" t="s">
        <v>441</v>
      </c>
      <c r="B1034" s="34" t="s">
        <v>444</v>
      </c>
      <c r="C1034" s="33"/>
      <c r="D1034" s="22"/>
      <c r="E1034" s="22"/>
      <c r="F1034" s="33"/>
      <c r="G1034" s="33"/>
      <c r="H1034" s="33" t="s">
        <v>28</v>
      </c>
      <c r="I1034" s="243" t="s">
        <v>787</v>
      </c>
      <c r="J1034" s="39"/>
      <c r="K1034" s="39"/>
      <c r="L1034" s="39"/>
      <c r="M1034" s="39"/>
      <c r="N1034" s="39"/>
      <c r="O1034" s="39"/>
      <c r="P1034" s="4">
        <f t="shared" si="314"/>
        <v>0</v>
      </c>
      <c r="Q1034" s="39"/>
      <c r="R1034" s="39"/>
      <c r="S1034" s="39"/>
      <c r="T1034" s="39"/>
      <c r="U1034" s="39"/>
      <c r="V1034" s="39"/>
      <c r="W1034" s="39"/>
      <c r="X1034" s="39"/>
      <c r="Y1034" s="39"/>
      <c r="Z1034" s="39"/>
      <c r="AA1034" s="39"/>
      <c r="AB1034" s="39"/>
      <c r="AC1034" s="29"/>
      <c r="AD1034" s="23"/>
      <c r="AE1034" s="23"/>
      <c r="AF1034" s="29"/>
      <c r="AG1034" s="29"/>
      <c r="AH1034" s="29"/>
      <c r="AI1034" s="29"/>
      <c r="AJ1034" s="29"/>
      <c r="AK1034" s="29"/>
      <c r="AL1034" s="29"/>
      <c r="AM1034" s="29"/>
      <c r="AN1034" s="23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</row>
    <row r="1035" spans="1:50" s="30" customFormat="1" ht="15" customHeight="1" x14ac:dyDescent="0.2">
      <c r="A1035" s="34" t="s">
        <v>441</v>
      </c>
      <c r="B1035" s="34" t="s">
        <v>444</v>
      </c>
      <c r="C1035" s="33"/>
      <c r="D1035" s="22"/>
      <c r="E1035" s="22"/>
      <c r="F1035" s="33"/>
      <c r="G1035" s="33"/>
      <c r="H1035" s="33" t="s">
        <v>28</v>
      </c>
      <c r="I1035" s="243" t="s">
        <v>787</v>
      </c>
      <c r="J1035" s="39"/>
      <c r="K1035" s="39"/>
      <c r="L1035" s="39"/>
      <c r="M1035" s="39"/>
      <c r="N1035" s="39"/>
      <c r="O1035" s="39"/>
      <c r="P1035" s="4">
        <f t="shared" si="314"/>
        <v>0</v>
      </c>
      <c r="Q1035" s="39"/>
      <c r="R1035" s="39"/>
      <c r="S1035" s="39"/>
      <c r="T1035" s="39"/>
      <c r="U1035" s="39"/>
      <c r="V1035" s="39"/>
      <c r="W1035" s="39"/>
      <c r="X1035" s="39"/>
      <c r="Y1035" s="39"/>
      <c r="Z1035" s="39"/>
      <c r="AA1035" s="39"/>
      <c r="AB1035" s="39"/>
      <c r="AC1035" s="29"/>
      <c r="AD1035" s="23"/>
      <c r="AE1035" s="23"/>
      <c r="AF1035" s="29"/>
      <c r="AG1035" s="29"/>
      <c r="AH1035" s="29"/>
      <c r="AI1035" s="29"/>
      <c r="AJ1035" s="29"/>
      <c r="AK1035" s="29"/>
      <c r="AL1035" s="29"/>
      <c r="AM1035" s="29"/>
      <c r="AN1035" s="23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</row>
    <row r="1036" spans="1:50" s="30" customFormat="1" ht="15" customHeight="1" x14ac:dyDescent="0.2">
      <c r="A1036" s="34" t="s">
        <v>441</v>
      </c>
      <c r="B1036" s="34" t="s">
        <v>444</v>
      </c>
      <c r="C1036" s="33"/>
      <c r="D1036" s="22"/>
      <c r="E1036" s="22"/>
      <c r="F1036" s="33"/>
      <c r="G1036" s="33"/>
      <c r="H1036" s="33" t="s">
        <v>28</v>
      </c>
      <c r="I1036" s="243" t="s">
        <v>787</v>
      </c>
      <c r="J1036" s="39"/>
      <c r="K1036" s="39"/>
      <c r="L1036" s="39"/>
      <c r="M1036" s="39"/>
      <c r="N1036" s="39"/>
      <c r="O1036" s="39"/>
      <c r="P1036" s="4">
        <f t="shared" si="314"/>
        <v>0</v>
      </c>
      <c r="Q1036" s="39"/>
      <c r="R1036" s="39"/>
      <c r="S1036" s="39"/>
      <c r="T1036" s="39"/>
      <c r="U1036" s="39"/>
      <c r="V1036" s="39"/>
      <c r="W1036" s="39"/>
      <c r="X1036" s="39"/>
      <c r="Y1036" s="39"/>
      <c r="Z1036" s="39"/>
      <c r="AA1036" s="39"/>
      <c r="AB1036" s="39"/>
      <c r="AC1036" s="29"/>
      <c r="AD1036" s="23"/>
      <c r="AE1036" s="23"/>
      <c r="AF1036" s="29"/>
      <c r="AG1036" s="29"/>
      <c r="AH1036" s="29"/>
      <c r="AI1036" s="29"/>
      <c r="AJ1036" s="29"/>
      <c r="AK1036" s="29"/>
      <c r="AL1036" s="29"/>
      <c r="AM1036" s="29"/>
      <c r="AN1036" s="23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</row>
    <row r="1037" spans="1:50" s="30" customFormat="1" ht="15" customHeight="1" x14ac:dyDescent="0.2">
      <c r="A1037" s="34" t="s">
        <v>441</v>
      </c>
      <c r="B1037" s="34" t="s">
        <v>444</v>
      </c>
      <c r="C1037" s="33"/>
      <c r="D1037" s="22"/>
      <c r="E1037" s="22"/>
      <c r="F1037" s="33"/>
      <c r="G1037" s="33"/>
      <c r="H1037" s="33" t="s">
        <v>28</v>
      </c>
      <c r="I1037" s="243" t="s">
        <v>787</v>
      </c>
      <c r="J1037" s="39"/>
      <c r="K1037" s="39"/>
      <c r="L1037" s="39"/>
      <c r="M1037" s="39"/>
      <c r="N1037" s="39"/>
      <c r="O1037" s="39"/>
      <c r="P1037" s="4">
        <f t="shared" si="314"/>
        <v>0</v>
      </c>
      <c r="Q1037" s="39"/>
      <c r="R1037" s="39"/>
      <c r="S1037" s="39"/>
      <c r="T1037" s="39"/>
      <c r="U1037" s="39"/>
      <c r="V1037" s="39"/>
      <c r="W1037" s="39"/>
      <c r="X1037" s="39"/>
      <c r="Y1037" s="39"/>
      <c r="Z1037" s="39"/>
      <c r="AA1037" s="39"/>
      <c r="AB1037" s="39"/>
      <c r="AC1037" s="29"/>
      <c r="AD1037" s="23"/>
      <c r="AE1037" s="23"/>
      <c r="AF1037" s="29"/>
      <c r="AG1037" s="29"/>
      <c r="AH1037" s="29"/>
      <c r="AI1037" s="29"/>
      <c r="AJ1037" s="29"/>
      <c r="AK1037" s="29"/>
      <c r="AL1037" s="29"/>
      <c r="AM1037" s="29"/>
      <c r="AN1037" s="23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</row>
    <row r="1038" spans="1:50" s="30" customFormat="1" ht="15" customHeight="1" x14ac:dyDescent="0.2">
      <c r="A1038" s="34" t="s">
        <v>441</v>
      </c>
      <c r="B1038" s="34" t="s">
        <v>444</v>
      </c>
      <c r="C1038" s="33"/>
      <c r="D1038" s="22"/>
      <c r="E1038" s="22"/>
      <c r="F1038" s="33"/>
      <c r="G1038" s="33"/>
      <c r="H1038" s="33" t="s">
        <v>28</v>
      </c>
      <c r="I1038" s="243" t="s">
        <v>787</v>
      </c>
      <c r="J1038" s="39"/>
      <c r="K1038" s="39"/>
      <c r="L1038" s="39"/>
      <c r="M1038" s="39"/>
      <c r="N1038" s="39"/>
      <c r="O1038" s="39"/>
      <c r="P1038" s="4">
        <f t="shared" si="314"/>
        <v>0</v>
      </c>
      <c r="Q1038" s="39"/>
      <c r="R1038" s="39"/>
      <c r="S1038" s="39"/>
      <c r="T1038" s="39"/>
      <c r="U1038" s="39"/>
      <c r="V1038" s="39"/>
      <c r="W1038" s="39"/>
      <c r="X1038" s="39"/>
      <c r="Y1038" s="39"/>
      <c r="Z1038" s="39"/>
      <c r="AA1038" s="39"/>
      <c r="AB1038" s="39"/>
      <c r="AC1038" s="29"/>
      <c r="AD1038" s="23"/>
      <c r="AE1038" s="23"/>
      <c r="AF1038" s="29"/>
      <c r="AG1038" s="29"/>
      <c r="AH1038" s="29"/>
      <c r="AI1038" s="29"/>
      <c r="AJ1038" s="29"/>
      <c r="AK1038" s="29"/>
      <c r="AL1038" s="29"/>
      <c r="AM1038" s="29"/>
      <c r="AN1038" s="23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</row>
    <row r="1039" spans="1:50" ht="15" customHeight="1" x14ac:dyDescent="0.2">
      <c r="A1039" s="34" t="s">
        <v>441</v>
      </c>
      <c r="B1039" s="34" t="s">
        <v>444</v>
      </c>
      <c r="C1039" s="33"/>
      <c r="D1039" s="22"/>
      <c r="E1039" s="22"/>
      <c r="F1039" s="33"/>
      <c r="G1039" s="33"/>
      <c r="H1039" s="33" t="s">
        <v>28</v>
      </c>
      <c r="I1039" s="245" t="s">
        <v>1009</v>
      </c>
      <c r="J1039" s="36"/>
      <c r="K1039" s="36">
        <v>2.4</v>
      </c>
      <c r="L1039" s="36">
        <v>20</v>
      </c>
      <c r="M1039" s="36">
        <v>0.6</v>
      </c>
      <c r="N1039" s="36"/>
      <c r="O1039" s="3">
        <v>0.3</v>
      </c>
      <c r="P1039" s="4">
        <f t="shared" si="314"/>
        <v>0</v>
      </c>
      <c r="Q1039" s="36">
        <v>9</v>
      </c>
      <c r="R1039" s="36">
        <v>241</v>
      </c>
      <c r="S1039" s="3">
        <v>2.94</v>
      </c>
      <c r="T1039" s="36"/>
      <c r="U1039" s="36"/>
      <c r="V1039" s="36"/>
      <c r="W1039" s="36"/>
      <c r="X1039" s="36"/>
      <c r="Y1039" s="36"/>
      <c r="Z1039" s="36"/>
      <c r="AA1039" s="36"/>
      <c r="AB1039" s="36"/>
      <c r="AN1039" s="23"/>
    </row>
    <row r="1040" spans="1:50" ht="15" customHeight="1" x14ac:dyDescent="0.2">
      <c r="A1040" s="24" t="s">
        <v>441</v>
      </c>
      <c r="B1040" s="24" t="s">
        <v>444</v>
      </c>
      <c r="D1040" s="22"/>
      <c r="E1040" s="22"/>
      <c r="F1040" s="33"/>
      <c r="G1040" s="33"/>
      <c r="H1040" s="33" t="s">
        <v>28</v>
      </c>
      <c r="I1040" s="243" t="s">
        <v>1010</v>
      </c>
      <c r="J1040" s="3">
        <v>90.2</v>
      </c>
      <c r="K1040" s="3">
        <v>1.6</v>
      </c>
      <c r="L1040" s="3">
        <v>27</v>
      </c>
      <c r="P1040" s="4" t="s">
        <v>0</v>
      </c>
    </row>
    <row r="1041" spans="1:50" ht="15" customHeight="1" x14ac:dyDescent="0.2">
      <c r="A1041" s="31" t="s">
        <v>441</v>
      </c>
      <c r="B1041" s="24" t="s">
        <v>444</v>
      </c>
      <c r="C1041" s="1"/>
      <c r="D1041" s="22"/>
      <c r="E1041" s="22"/>
      <c r="F1041" s="33"/>
      <c r="G1041" s="33"/>
      <c r="H1041" s="33" t="s">
        <v>28</v>
      </c>
      <c r="I1041" s="243" t="s">
        <v>1006</v>
      </c>
      <c r="J1041" s="3">
        <v>84</v>
      </c>
      <c r="K1041" s="3">
        <v>5.9360000000000008</v>
      </c>
      <c r="L1041" s="3">
        <v>33.20000000000001</v>
      </c>
      <c r="M1041" s="3">
        <v>4.6240000000000006</v>
      </c>
      <c r="P1041" s="4">
        <f t="shared" ref="P1041" si="315">AN1041</f>
        <v>0</v>
      </c>
      <c r="R1041" s="3">
        <v>276.73600000000005</v>
      </c>
      <c r="AE1041" s="23"/>
      <c r="AN1041" s="23"/>
    </row>
    <row r="1042" spans="1:50" s="71" customFormat="1" ht="15" customHeight="1" x14ac:dyDescent="0.2">
      <c r="A1042" s="77" t="s">
        <v>441</v>
      </c>
      <c r="B1042" s="70" t="s">
        <v>444</v>
      </c>
      <c r="C1042" s="78" t="s">
        <v>445</v>
      </c>
      <c r="D1042" s="71" t="s">
        <v>31</v>
      </c>
      <c r="E1042" s="79" t="s">
        <v>42</v>
      </c>
      <c r="F1042" s="79" t="s">
        <v>32</v>
      </c>
      <c r="G1042" s="79"/>
      <c r="H1042" s="79" t="s">
        <v>28</v>
      </c>
      <c r="I1042" s="87"/>
      <c r="J1042" s="72">
        <f t="shared" ref="J1042" si="316">AVERAGE(J1039:J1041)</f>
        <v>87.1</v>
      </c>
      <c r="K1042" s="72">
        <f>AVERAGE(K1039:K1041)</f>
        <v>3.3119999999999998</v>
      </c>
      <c r="L1042" s="72">
        <f>AVERAGE(L1039:L1041)</f>
        <v>26.733333333333338</v>
      </c>
      <c r="M1042" s="72">
        <f>AVERAGE(M1039:M1041)</f>
        <v>2.6120000000000001</v>
      </c>
      <c r="N1042" s="72"/>
      <c r="O1042" s="72">
        <f>AVERAGE(O1039:O1041)</f>
        <v>0.3</v>
      </c>
      <c r="P1042" s="72">
        <f>AVERAGE(P1039:P1041)</f>
        <v>0</v>
      </c>
      <c r="Q1042" s="72">
        <f>AVERAGE(Q1039:Q1041)</f>
        <v>9</v>
      </c>
      <c r="R1042" s="72">
        <f>AVERAGE(R1039:R1041)</f>
        <v>258.86800000000005</v>
      </c>
      <c r="S1042" s="72">
        <f>AVERAGE(S1039:S1041)</f>
        <v>2.94</v>
      </c>
      <c r="T1042" s="72"/>
      <c r="U1042" s="72"/>
      <c r="V1042" s="72"/>
      <c r="W1042" s="72"/>
      <c r="X1042" s="72"/>
      <c r="Y1042" s="72"/>
      <c r="Z1042" s="72"/>
      <c r="AA1042" s="72"/>
      <c r="AB1042" s="72"/>
      <c r="AC1042" s="73"/>
      <c r="AD1042" s="73"/>
      <c r="AE1042" s="73"/>
      <c r="AF1042" s="73"/>
      <c r="AG1042" s="73"/>
      <c r="AH1042" s="73"/>
      <c r="AI1042" s="73"/>
      <c r="AJ1042" s="73"/>
      <c r="AK1042" s="73"/>
      <c r="AL1042" s="73"/>
      <c r="AM1042" s="73"/>
      <c r="AN1042" s="73"/>
      <c r="AO1042" s="73"/>
      <c r="AP1042" s="73"/>
      <c r="AQ1042" s="73"/>
      <c r="AR1042" s="73"/>
      <c r="AS1042" s="73"/>
      <c r="AT1042" s="73"/>
      <c r="AU1042" s="73"/>
      <c r="AV1042" s="73"/>
      <c r="AW1042" s="73"/>
      <c r="AX1042" s="73"/>
    </row>
    <row r="1043" spans="1:50" ht="15" customHeight="1" x14ac:dyDescent="0.2">
      <c r="A1043" s="34" t="s">
        <v>441</v>
      </c>
      <c r="B1043" s="34" t="s">
        <v>446</v>
      </c>
      <c r="C1043" s="33" t="s">
        <v>0</v>
      </c>
      <c r="D1043" s="22"/>
      <c r="E1043" s="22"/>
      <c r="F1043" s="28"/>
      <c r="G1043" s="28"/>
      <c r="H1043" s="33" t="s">
        <v>27</v>
      </c>
      <c r="I1043" s="245" t="s">
        <v>1010</v>
      </c>
      <c r="J1043" s="36">
        <v>84.1</v>
      </c>
      <c r="K1043" s="36">
        <v>3</v>
      </c>
      <c r="L1043" s="36">
        <v>33</v>
      </c>
      <c r="M1043" s="36">
        <v>4.5999999999999996</v>
      </c>
      <c r="P1043" s="4" t="s">
        <v>0</v>
      </c>
      <c r="R1043" s="36"/>
      <c r="T1043" s="36"/>
      <c r="U1043" s="36"/>
      <c r="V1043" s="36"/>
      <c r="W1043" s="36"/>
      <c r="Z1043" s="36"/>
      <c r="AA1043" s="36"/>
      <c r="AB1043" s="36"/>
    </row>
    <row r="1044" spans="1:50" ht="15" customHeight="1" x14ac:dyDescent="0.2">
      <c r="A1044" s="31" t="s">
        <v>441</v>
      </c>
      <c r="B1044" s="31" t="s">
        <v>446</v>
      </c>
      <c r="C1044" s="1"/>
      <c r="D1044" s="22"/>
      <c r="E1044" s="22"/>
      <c r="F1044" s="28"/>
      <c r="G1044" s="28"/>
      <c r="H1044" s="33" t="s">
        <v>27</v>
      </c>
      <c r="I1044" s="243" t="s">
        <v>1006</v>
      </c>
      <c r="J1044" s="3">
        <v>84</v>
      </c>
      <c r="K1044" s="3">
        <v>3.0240000000000005</v>
      </c>
      <c r="L1044" s="3">
        <v>21.136000000000003</v>
      </c>
      <c r="M1044" s="3">
        <v>2.6240000000000001</v>
      </c>
      <c r="P1044" s="4" t="s">
        <v>0</v>
      </c>
      <c r="R1044" s="3">
        <v>248.56000000000006</v>
      </c>
    </row>
    <row r="1045" spans="1:50" s="71" customFormat="1" ht="15" customHeight="1" x14ac:dyDescent="0.2">
      <c r="A1045" s="77" t="s">
        <v>441</v>
      </c>
      <c r="B1045" s="77" t="s">
        <v>446</v>
      </c>
      <c r="C1045" s="78" t="s">
        <v>447</v>
      </c>
      <c r="D1045" s="71" t="s">
        <v>31</v>
      </c>
      <c r="E1045" s="79" t="s">
        <v>42</v>
      </c>
      <c r="F1045" s="79" t="s">
        <v>784</v>
      </c>
      <c r="G1045" s="79"/>
      <c r="H1045" s="79" t="s">
        <v>27</v>
      </c>
      <c r="I1045" s="87"/>
      <c r="J1045" s="72">
        <f>AVERAGE(J1043:J1044)</f>
        <v>84.05</v>
      </c>
      <c r="K1045" s="72">
        <f>AVERAGE(K1043:K1044)</f>
        <v>3.0120000000000005</v>
      </c>
      <c r="L1045" s="72">
        <f>AVERAGE(L1043:L1044)</f>
        <v>27.068000000000001</v>
      </c>
      <c r="M1045" s="72">
        <f>AVERAGE(M1043:M1044)</f>
        <v>3.6120000000000001</v>
      </c>
      <c r="N1045" s="72"/>
      <c r="O1045" s="72" t="s">
        <v>0</v>
      </c>
      <c r="P1045" s="72" t="s">
        <v>0</v>
      </c>
      <c r="Q1045" s="72"/>
      <c r="R1045" s="72">
        <f>AVERAGE(R1043:R1044)</f>
        <v>248.56000000000006</v>
      </c>
      <c r="S1045" s="72"/>
      <c r="T1045" s="72"/>
      <c r="U1045" s="72"/>
      <c r="V1045" s="72"/>
      <c r="W1045" s="72"/>
      <c r="X1045" s="72"/>
      <c r="Y1045" s="72"/>
      <c r="Z1045" s="72"/>
      <c r="AA1045" s="72"/>
      <c r="AB1045" s="72"/>
      <c r="AC1045" s="73"/>
      <c r="AD1045" s="73"/>
      <c r="AE1045" s="73"/>
      <c r="AF1045" s="73"/>
      <c r="AG1045" s="73"/>
      <c r="AH1045" s="73"/>
      <c r="AI1045" s="73"/>
      <c r="AJ1045" s="73"/>
      <c r="AK1045" s="73"/>
      <c r="AL1045" s="73"/>
      <c r="AM1045" s="73"/>
      <c r="AN1045" s="73"/>
      <c r="AO1045" s="73"/>
      <c r="AP1045" s="73"/>
      <c r="AQ1045" s="73"/>
      <c r="AR1045" s="73"/>
      <c r="AS1045" s="73"/>
      <c r="AT1045" s="73"/>
      <c r="AU1045" s="73"/>
      <c r="AV1045" s="73"/>
      <c r="AW1045" s="73"/>
      <c r="AX1045" s="73"/>
    </row>
    <row r="1046" spans="1:50" ht="51" x14ac:dyDescent="0.2">
      <c r="A1046" s="24" t="s">
        <v>448</v>
      </c>
      <c r="B1046" s="24" t="s">
        <v>449</v>
      </c>
      <c r="D1046" s="22"/>
      <c r="E1046" s="22"/>
      <c r="G1046" s="2" t="s">
        <v>0</v>
      </c>
      <c r="H1046" s="2" t="s">
        <v>33</v>
      </c>
      <c r="I1046" s="243" t="s">
        <v>1014</v>
      </c>
      <c r="J1046" s="3">
        <v>93</v>
      </c>
      <c r="L1046" s="3">
        <v>80</v>
      </c>
      <c r="M1046" s="3">
        <v>3.7</v>
      </c>
      <c r="P1046" s="4" t="s">
        <v>0</v>
      </c>
      <c r="R1046" s="3">
        <v>50</v>
      </c>
    </row>
    <row r="1047" spans="1:50" ht="51" x14ac:dyDescent="0.2">
      <c r="A1047" s="24" t="s">
        <v>448</v>
      </c>
      <c r="B1047" s="24" t="s">
        <v>449</v>
      </c>
      <c r="D1047" s="22"/>
      <c r="E1047" s="22"/>
      <c r="G1047" s="2" t="s">
        <v>0</v>
      </c>
      <c r="H1047" s="2" t="s">
        <v>33</v>
      </c>
      <c r="I1047" s="243" t="s">
        <v>1014</v>
      </c>
      <c r="J1047" s="3">
        <v>90</v>
      </c>
      <c r="L1047" s="3">
        <v>62</v>
      </c>
      <c r="M1047" s="3">
        <v>2.1</v>
      </c>
      <c r="P1047" s="4" t="s">
        <v>0</v>
      </c>
      <c r="R1047" s="3">
        <v>54</v>
      </c>
    </row>
    <row r="1048" spans="1:50" s="41" customFormat="1" ht="15" customHeight="1" x14ac:dyDescent="0.2">
      <c r="A1048" s="53" t="s">
        <v>448</v>
      </c>
      <c r="B1048" s="53" t="s">
        <v>449</v>
      </c>
      <c r="C1048" s="49"/>
      <c r="D1048" s="22"/>
      <c r="E1048" s="22"/>
      <c r="F1048" s="49"/>
      <c r="G1048" s="49"/>
      <c r="H1048" s="49" t="s">
        <v>33</v>
      </c>
      <c r="I1048" s="250" t="s">
        <v>1009</v>
      </c>
      <c r="J1048" s="54"/>
      <c r="K1048" s="54">
        <v>2.3199999999999998</v>
      </c>
      <c r="L1048" s="54">
        <v>76</v>
      </c>
      <c r="M1048" s="54">
        <v>0.25</v>
      </c>
      <c r="N1048" s="43"/>
      <c r="O1048" s="43">
        <v>0.28000000000000003</v>
      </c>
      <c r="P1048" s="4">
        <f t="shared" ref="P1048:P1051" si="317">AN1048</f>
        <v>0</v>
      </c>
      <c r="Q1048" s="43">
        <v>19</v>
      </c>
      <c r="R1048" s="54">
        <v>14</v>
      </c>
      <c r="S1048" s="43">
        <v>0.51</v>
      </c>
      <c r="T1048" s="54"/>
      <c r="U1048" s="54"/>
      <c r="V1048" s="54"/>
      <c r="W1048" s="54"/>
      <c r="X1048" s="43"/>
      <c r="Y1048" s="43"/>
      <c r="Z1048" s="54"/>
      <c r="AA1048" s="54"/>
      <c r="AB1048" s="54"/>
      <c r="AC1048" s="44"/>
      <c r="AD1048" s="44"/>
      <c r="AE1048" s="44"/>
      <c r="AF1048" s="44"/>
      <c r="AG1048" s="5"/>
      <c r="AH1048" s="44"/>
      <c r="AI1048" s="44"/>
      <c r="AJ1048" s="44"/>
      <c r="AK1048" s="44"/>
      <c r="AL1048" s="44"/>
      <c r="AM1048" s="44"/>
      <c r="AN1048" s="23"/>
      <c r="AO1048" s="44"/>
      <c r="AP1048" s="44"/>
      <c r="AQ1048" s="44"/>
      <c r="AR1048" s="44"/>
      <c r="AS1048" s="44"/>
      <c r="AT1048" s="44"/>
      <c r="AU1048" s="44"/>
      <c r="AV1048" s="44"/>
      <c r="AW1048" s="44"/>
      <c r="AX1048" s="44"/>
    </row>
    <row r="1049" spans="1:50" s="41" customFormat="1" ht="15" customHeight="1" x14ac:dyDescent="0.2">
      <c r="A1049" s="40" t="s">
        <v>448</v>
      </c>
      <c r="B1049" s="40" t="s">
        <v>449</v>
      </c>
      <c r="D1049" s="22"/>
      <c r="E1049" s="22"/>
      <c r="F1049" s="49"/>
      <c r="G1049" s="49"/>
      <c r="H1049" s="49" t="s">
        <v>33</v>
      </c>
      <c r="I1049" s="248" t="s">
        <v>1009</v>
      </c>
      <c r="J1049" s="43"/>
      <c r="K1049" s="43">
        <v>2.69</v>
      </c>
      <c r="L1049" s="43">
        <v>153</v>
      </c>
      <c r="M1049" s="43">
        <v>5.23</v>
      </c>
      <c r="N1049" s="43"/>
      <c r="O1049" s="43">
        <v>0.92</v>
      </c>
      <c r="P1049" s="4">
        <f t="shared" si="317"/>
        <v>0</v>
      </c>
      <c r="Q1049" s="43">
        <v>53</v>
      </c>
      <c r="R1049" s="43">
        <v>122</v>
      </c>
      <c r="S1049" s="43">
        <v>10.33</v>
      </c>
      <c r="T1049" s="43"/>
      <c r="U1049" s="43"/>
      <c r="V1049" s="43"/>
      <c r="W1049" s="43"/>
      <c r="X1049" s="43"/>
      <c r="Y1049" s="43"/>
      <c r="Z1049" s="43"/>
      <c r="AA1049" s="43"/>
      <c r="AB1049" s="43"/>
      <c r="AC1049" s="44"/>
      <c r="AD1049" s="44"/>
      <c r="AE1049" s="44"/>
      <c r="AF1049" s="44"/>
      <c r="AG1049" s="5"/>
      <c r="AH1049" s="44"/>
      <c r="AI1049" s="44"/>
      <c r="AJ1049" s="44"/>
      <c r="AK1049" s="44"/>
      <c r="AL1049" s="44"/>
      <c r="AM1049" s="44"/>
      <c r="AN1049" s="23"/>
      <c r="AO1049" s="44"/>
      <c r="AP1049" s="44"/>
      <c r="AQ1049" s="44"/>
      <c r="AR1049" s="44"/>
      <c r="AS1049" s="44"/>
      <c r="AT1049" s="44"/>
      <c r="AU1049" s="44"/>
      <c r="AV1049" s="44"/>
      <c r="AW1049" s="44"/>
      <c r="AX1049" s="44"/>
    </row>
    <row r="1050" spans="1:50" s="41" customFormat="1" ht="15" customHeight="1" x14ac:dyDescent="0.2">
      <c r="A1050" s="40" t="s">
        <v>448</v>
      </c>
      <c r="B1050" s="40" t="s">
        <v>449</v>
      </c>
      <c r="D1050" s="22"/>
      <c r="E1050" s="22"/>
      <c r="F1050" s="49"/>
      <c r="G1050" s="49"/>
      <c r="H1050" s="49" t="s">
        <v>33</v>
      </c>
      <c r="I1050" s="248" t="s">
        <v>1004</v>
      </c>
      <c r="J1050" s="43">
        <v>88.6</v>
      </c>
      <c r="K1050" s="43"/>
      <c r="L1050" s="43">
        <v>80</v>
      </c>
      <c r="M1050" s="43">
        <v>5.3</v>
      </c>
      <c r="N1050" s="43"/>
      <c r="O1050" s="43"/>
      <c r="P1050" s="4">
        <f t="shared" si="317"/>
        <v>0</v>
      </c>
      <c r="Q1050" s="43"/>
      <c r="R1050" s="43">
        <v>30</v>
      </c>
      <c r="S1050" s="43"/>
      <c r="T1050" s="43"/>
      <c r="U1050" s="43"/>
      <c r="V1050" s="43"/>
      <c r="W1050" s="43"/>
      <c r="X1050" s="43"/>
      <c r="Y1050" s="43"/>
      <c r="Z1050" s="43"/>
      <c r="AA1050" s="43"/>
      <c r="AB1050" s="43"/>
      <c r="AC1050" s="44"/>
      <c r="AD1050" s="44"/>
      <c r="AE1050" s="44"/>
      <c r="AG1050" s="44"/>
      <c r="AH1050" s="44"/>
      <c r="AI1050" s="23"/>
      <c r="AJ1050" s="44"/>
      <c r="AK1050" s="44"/>
      <c r="AL1050" s="44"/>
      <c r="AM1050" s="44"/>
      <c r="AN1050" s="23"/>
      <c r="AO1050" s="44"/>
      <c r="AP1050" s="44"/>
      <c r="AQ1050" s="44"/>
      <c r="AR1050" s="44"/>
      <c r="AS1050" s="44"/>
      <c r="AT1050" s="44"/>
      <c r="AU1050" s="44"/>
      <c r="AV1050" s="44"/>
      <c r="AW1050" s="44"/>
      <c r="AX1050" s="44"/>
    </row>
    <row r="1051" spans="1:50" s="41" customFormat="1" ht="15" customHeight="1" x14ac:dyDescent="0.2">
      <c r="A1051" s="40" t="s">
        <v>448</v>
      </c>
      <c r="B1051" s="40" t="s">
        <v>449</v>
      </c>
      <c r="D1051" s="22"/>
      <c r="E1051" s="22"/>
      <c r="F1051" s="49"/>
      <c r="G1051" s="49"/>
      <c r="H1051" s="49" t="s">
        <v>33</v>
      </c>
      <c r="I1051" s="248" t="s">
        <v>1009</v>
      </c>
      <c r="J1051" s="43"/>
      <c r="K1051" s="43">
        <v>0.61</v>
      </c>
      <c r="L1051" s="43">
        <v>26</v>
      </c>
      <c r="M1051" s="43">
        <v>2.08</v>
      </c>
      <c r="N1051" s="43"/>
      <c r="O1051" s="43"/>
      <c r="P1051" s="4">
        <f t="shared" si="317"/>
        <v>0</v>
      </c>
      <c r="Q1051" s="43"/>
      <c r="R1051" s="43">
        <v>8</v>
      </c>
      <c r="S1051" s="43">
        <v>0.37</v>
      </c>
      <c r="T1051" s="43"/>
      <c r="U1051" s="43"/>
      <c r="V1051" s="43"/>
      <c r="W1051" s="43"/>
      <c r="X1051" s="43"/>
      <c r="Y1051" s="43"/>
      <c r="Z1051" s="43"/>
      <c r="AA1051" s="43"/>
      <c r="AB1051" s="43"/>
      <c r="AC1051" s="44"/>
      <c r="AD1051" s="44"/>
      <c r="AE1051" s="44"/>
      <c r="AF1051" s="44"/>
      <c r="AG1051" s="5"/>
      <c r="AH1051" s="44"/>
      <c r="AI1051" s="44"/>
      <c r="AJ1051" s="44"/>
      <c r="AK1051" s="44"/>
      <c r="AL1051" s="44"/>
      <c r="AM1051" s="44"/>
      <c r="AN1051" s="23"/>
      <c r="AO1051" s="44"/>
      <c r="AP1051" s="44"/>
      <c r="AQ1051" s="44"/>
      <c r="AR1051" s="44"/>
      <c r="AS1051" s="44"/>
      <c r="AT1051" s="44"/>
      <c r="AU1051" s="44"/>
      <c r="AV1051" s="44"/>
      <c r="AW1051" s="44"/>
      <c r="AX1051" s="44"/>
    </row>
    <row r="1052" spans="1:50" s="71" customFormat="1" ht="15" customHeight="1" x14ac:dyDescent="0.2">
      <c r="A1052" s="70" t="s">
        <v>448</v>
      </c>
      <c r="B1052" s="70" t="s">
        <v>449</v>
      </c>
      <c r="C1052" s="71" t="s">
        <v>450</v>
      </c>
      <c r="D1052" s="71" t="s">
        <v>31</v>
      </c>
      <c r="E1052" s="79" t="s">
        <v>46</v>
      </c>
      <c r="F1052" s="79" t="s">
        <v>782</v>
      </c>
      <c r="G1052" s="78" t="s">
        <v>71</v>
      </c>
      <c r="H1052" s="79" t="s">
        <v>33</v>
      </c>
      <c r="I1052" s="87"/>
      <c r="J1052" s="72">
        <f t="shared" ref="J1052" si="318">AVERAGE(J1046:J1051)</f>
        <v>90.533333333333346</v>
      </c>
      <c r="K1052" s="72">
        <f>AVERAGE(K1046:K1051)</f>
        <v>1.8733333333333333</v>
      </c>
      <c r="L1052" s="72">
        <f>AVERAGE(L1046:L1051)</f>
        <v>79.5</v>
      </c>
      <c r="M1052" s="72">
        <f>AVERAGE(M1046:M1051)</f>
        <v>3.1100000000000008</v>
      </c>
      <c r="N1052" s="72"/>
      <c r="O1052" s="72">
        <f>AVERAGE(O1046:O1051)</f>
        <v>0.60000000000000009</v>
      </c>
      <c r="P1052" s="72">
        <f>AVERAGE(P1046:P1051)</f>
        <v>0</v>
      </c>
      <c r="Q1052" s="72">
        <f>AVERAGE(Q1046:Q1051)</f>
        <v>36</v>
      </c>
      <c r="R1052" s="72">
        <f>AVERAGE(R1046:R1051)</f>
        <v>46.333333333333336</v>
      </c>
      <c r="S1052" s="72">
        <f>AVERAGE(S1046:S1051)</f>
        <v>3.7366666666666664</v>
      </c>
      <c r="T1052" s="72"/>
      <c r="U1052" s="72"/>
      <c r="V1052" s="72"/>
      <c r="W1052" s="72"/>
      <c r="X1052" s="72"/>
      <c r="Y1052" s="72"/>
      <c r="Z1052" s="72"/>
      <c r="AA1052" s="72"/>
      <c r="AB1052" s="72"/>
      <c r="AC1052" s="73"/>
      <c r="AD1052" s="73"/>
      <c r="AE1052" s="73"/>
      <c r="AF1052" s="73"/>
      <c r="AG1052" s="73"/>
      <c r="AH1052" s="73"/>
      <c r="AI1052" s="73"/>
      <c r="AJ1052" s="73"/>
      <c r="AK1052" s="73"/>
      <c r="AL1052" s="73"/>
      <c r="AM1052" s="73"/>
      <c r="AN1052" s="73"/>
      <c r="AO1052" s="73"/>
      <c r="AP1052" s="73"/>
      <c r="AQ1052" s="73"/>
      <c r="AR1052" s="73"/>
      <c r="AS1052" s="73"/>
      <c r="AT1052" s="73"/>
      <c r="AU1052" s="73"/>
      <c r="AV1052" s="73"/>
      <c r="AW1052" s="73"/>
      <c r="AX1052" s="73"/>
    </row>
    <row r="1053" spans="1:50" ht="15" customHeight="1" x14ac:dyDescent="0.2">
      <c r="A1053" s="24" t="s">
        <v>451</v>
      </c>
      <c r="B1053" s="24" t="s">
        <v>452</v>
      </c>
      <c r="D1053" s="22"/>
      <c r="E1053" s="22"/>
      <c r="H1053" s="2" t="s">
        <v>33</v>
      </c>
      <c r="I1053" s="243" t="s">
        <v>1030</v>
      </c>
      <c r="M1053" s="3">
        <v>6.7</v>
      </c>
      <c r="N1053" s="3">
        <v>147</v>
      </c>
      <c r="P1053" s="4">
        <f t="shared" ref="P1053:P1065" si="319">AN1053</f>
        <v>0</v>
      </c>
      <c r="Q1053" s="3">
        <v>40</v>
      </c>
      <c r="AN1053" s="23"/>
    </row>
    <row r="1054" spans="1:50" ht="15" customHeight="1" x14ac:dyDescent="0.2">
      <c r="A1054" s="24" t="s">
        <v>451</v>
      </c>
      <c r="B1054" s="24" t="s">
        <v>452</v>
      </c>
      <c r="D1054" s="22"/>
      <c r="E1054" s="22"/>
      <c r="H1054" s="2" t="s">
        <v>33</v>
      </c>
      <c r="I1054" s="243" t="s">
        <v>1009</v>
      </c>
      <c r="K1054" s="3">
        <v>1.1200000000000001</v>
      </c>
      <c r="L1054" s="3">
        <v>20</v>
      </c>
      <c r="M1054" s="3">
        <v>2.2000000000000002</v>
      </c>
      <c r="P1054" s="4">
        <f t="shared" si="319"/>
        <v>0</v>
      </c>
      <c r="Q1054" s="3">
        <v>63</v>
      </c>
      <c r="R1054" s="3">
        <v>204</v>
      </c>
      <c r="S1054" s="3">
        <v>1.61</v>
      </c>
      <c r="AN1054" s="23"/>
    </row>
    <row r="1055" spans="1:50" ht="15" customHeight="1" x14ac:dyDescent="0.2">
      <c r="A1055" s="24" t="s">
        <v>451</v>
      </c>
      <c r="B1055" s="24" t="s">
        <v>452</v>
      </c>
      <c r="D1055" s="22"/>
      <c r="E1055" s="22"/>
      <c r="H1055" s="2" t="s">
        <v>33</v>
      </c>
      <c r="I1055" s="243" t="s">
        <v>1009</v>
      </c>
      <c r="K1055" s="3">
        <v>1.28</v>
      </c>
      <c r="L1055" s="3">
        <v>33</v>
      </c>
      <c r="M1055" s="3">
        <v>2.06</v>
      </c>
      <c r="P1055" s="4">
        <f t="shared" si="319"/>
        <v>0</v>
      </c>
      <c r="Q1055" s="3">
        <v>72</v>
      </c>
      <c r="R1055" s="3">
        <v>250</v>
      </c>
      <c r="S1055" s="3">
        <v>1.86</v>
      </c>
      <c r="AN1055" s="23"/>
    </row>
    <row r="1056" spans="1:50" ht="15" customHeight="1" x14ac:dyDescent="0.2">
      <c r="A1056" s="24" t="s">
        <v>451</v>
      </c>
      <c r="B1056" s="24" t="s">
        <v>452</v>
      </c>
      <c r="D1056" s="22"/>
      <c r="E1056" s="22"/>
      <c r="H1056" s="2" t="s">
        <v>33</v>
      </c>
      <c r="I1056" s="243" t="s">
        <v>1009</v>
      </c>
      <c r="K1056" s="3">
        <v>1.27</v>
      </c>
      <c r="L1056" s="3">
        <v>30</v>
      </c>
      <c r="M1056" s="3">
        <v>2.5499999999999998</v>
      </c>
      <c r="P1056" s="4">
        <f t="shared" si="319"/>
        <v>0</v>
      </c>
      <c r="Q1056" s="3">
        <v>73</v>
      </c>
      <c r="R1056" s="3">
        <v>239</v>
      </c>
      <c r="S1056" s="3">
        <v>1.85</v>
      </c>
      <c r="AN1056" s="23"/>
    </row>
    <row r="1057" spans="1:50" ht="15" customHeight="1" x14ac:dyDescent="0.2">
      <c r="A1057" s="24" t="s">
        <v>451</v>
      </c>
      <c r="B1057" s="24" t="s">
        <v>452</v>
      </c>
      <c r="D1057" s="22"/>
      <c r="E1057" s="22"/>
      <c r="H1057" s="2" t="s">
        <v>33</v>
      </c>
      <c r="I1057" s="243" t="s">
        <v>1009</v>
      </c>
      <c r="K1057" s="3">
        <v>1.73</v>
      </c>
      <c r="L1057" s="3">
        <v>89</v>
      </c>
      <c r="M1057" s="3">
        <v>2.95</v>
      </c>
      <c r="O1057" s="3">
        <v>0.56000000000000005</v>
      </c>
      <c r="P1057" s="4">
        <f t="shared" si="319"/>
        <v>0</v>
      </c>
      <c r="Q1057" s="3">
        <v>74</v>
      </c>
      <c r="R1057" s="3">
        <v>237</v>
      </c>
      <c r="S1057" s="3">
        <v>1.8</v>
      </c>
      <c r="AN1057" s="23"/>
    </row>
    <row r="1058" spans="1:50" ht="15" customHeight="1" x14ac:dyDescent="0.2">
      <c r="A1058" s="24" t="s">
        <v>451</v>
      </c>
      <c r="B1058" s="24" t="s">
        <v>452</v>
      </c>
      <c r="D1058" s="22"/>
      <c r="E1058" s="22"/>
      <c r="H1058" s="2" t="s">
        <v>33</v>
      </c>
      <c r="I1058" s="243" t="s">
        <v>1009</v>
      </c>
      <c r="K1058" s="3">
        <v>1.54</v>
      </c>
      <c r="L1058" s="3">
        <v>74</v>
      </c>
      <c r="M1058" s="3">
        <v>2.57</v>
      </c>
      <c r="O1058" s="3">
        <v>0.65</v>
      </c>
      <c r="P1058" s="4">
        <f t="shared" si="319"/>
        <v>0</v>
      </c>
      <c r="Q1058" s="3">
        <v>75</v>
      </c>
      <c r="R1058" s="3">
        <v>250</v>
      </c>
      <c r="S1058" s="3">
        <v>1.58</v>
      </c>
      <c r="AN1058" s="23"/>
    </row>
    <row r="1059" spans="1:50" ht="15" customHeight="1" x14ac:dyDescent="0.2">
      <c r="A1059" s="34" t="s">
        <v>451</v>
      </c>
      <c r="B1059" s="34" t="s">
        <v>452</v>
      </c>
      <c r="C1059" s="33"/>
      <c r="D1059" s="22"/>
      <c r="E1059" s="22"/>
      <c r="H1059" s="2" t="s">
        <v>33</v>
      </c>
      <c r="I1059" s="245" t="s">
        <v>1009</v>
      </c>
      <c r="J1059" s="36"/>
      <c r="K1059" s="36">
        <v>1.67</v>
      </c>
      <c r="L1059" s="36">
        <v>83</v>
      </c>
      <c r="M1059" s="3">
        <v>3.77</v>
      </c>
      <c r="O1059" s="3">
        <v>0.66</v>
      </c>
      <c r="P1059" s="4">
        <f t="shared" si="319"/>
        <v>0</v>
      </c>
      <c r="Q1059" s="3">
        <v>76</v>
      </c>
      <c r="R1059" s="36">
        <v>239</v>
      </c>
      <c r="S1059" s="3">
        <v>1.91</v>
      </c>
      <c r="T1059" s="36"/>
      <c r="U1059" s="36"/>
      <c r="V1059" s="36"/>
      <c r="Z1059" s="36"/>
      <c r="AA1059" s="36"/>
      <c r="AB1059" s="36"/>
      <c r="AN1059" s="23"/>
    </row>
    <row r="1060" spans="1:50" ht="15" customHeight="1" x14ac:dyDescent="0.2">
      <c r="A1060" s="24" t="s">
        <v>451</v>
      </c>
      <c r="B1060" s="24" t="s">
        <v>452</v>
      </c>
      <c r="D1060" s="22"/>
      <c r="E1060" s="22"/>
      <c r="H1060" s="2" t="s">
        <v>33</v>
      </c>
      <c r="I1060" s="243" t="s">
        <v>1009</v>
      </c>
      <c r="K1060" s="3">
        <v>1.0900000000000001</v>
      </c>
      <c r="L1060" s="3">
        <v>19</v>
      </c>
      <c r="M1060" s="3">
        <v>2.74</v>
      </c>
      <c r="P1060" s="4">
        <f t="shared" si="319"/>
        <v>0</v>
      </c>
      <c r="Q1060" s="3">
        <v>77</v>
      </c>
      <c r="R1060" s="3">
        <v>177</v>
      </c>
      <c r="S1060" s="3">
        <v>1.7</v>
      </c>
      <c r="AN1060" s="23"/>
    </row>
    <row r="1061" spans="1:50" ht="15" customHeight="1" x14ac:dyDescent="0.2">
      <c r="A1061" s="24" t="s">
        <v>451</v>
      </c>
      <c r="B1061" s="24" t="s">
        <v>452</v>
      </c>
      <c r="D1061" s="22"/>
      <c r="E1061" s="22"/>
      <c r="H1061" s="2" t="s">
        <v>33</v>
      </c>
      <c r="I1061" s="243" t="s">
        <v>1009</v>
      </c>
      <c r="K1061" s="3">
        <v>1.0900000000000001</v>
      </c>
      <c r="L1061" s="3">
        <v>34</v>
      </c>
      <c r="M1061" s="3">
        <v>2.5499999999999998</v>
      </c>
      <c r="P1061" s="4">
        <f t="shared" si="319"/>
        <v>0</v>
      </c>
      <c r="Q1061" s="3">
        <v>79</v>
      </c>
      <c r="R1061" s="3">
        <v>240</v>
      </c>
      <c r="S1061" s="3">
        <v>1.34</v>
      </c>
      <c r="AN1061" s="23"/>
    </row>
    <row r="1062" spans="1:50" ht="15" customHeight="1" x14ac:dyDescent="0.2">
      <c r="A1062" s="24" t="s">
        <v>451</v>
      </c>
      <c r="B1062" s="24" t="s">
        <v>452</v>
      </c>
      <c r="D1062" s="22"/>
      <c r="E1062" s="22"/>
      <c r="H1062" s="2" t="s">
        <v>33</v>
      </c>
      <c r="I1062" s="243" t="s">
        <v>1009</v>
      </c>
      <c r="K1062" s="3">
        <v>1.68</v>
      </c>
      <c r="L1062" s="3">
        <v>59</v>
      </c>
      <c r="M1062" s="3">
        <v>3.03</v>
      </c>
      <c r="O1062" s="3">
        <v>0.57999999999999996</v>
      </c>
      <c r="P1062" s="4">
        <f t="shared" si="319"/>
        <v>0</v>
      </c>
      <c r="Q1062" s="3">
        <v>82</v>
      </c>
      <c r="R1062" s="3">
        <v>208</v>
      </c>
      <c r="S1062" s="3">
        <v>1.36</v>
      </c>
      <c r="AN1062" s="23"/>
    </row>
    <row r="1063" spans="1:50" ht="15" customHeight="1" x14ac:dyDescent="0.2">
      <c r="A1063" s="34" t="s">
        <v>451</v>
      </c>
      <c r="B1063" s="34" t="s">
        <v>452</v>
      </c>
      <c r="C1063" s="33"/>
      <c r="D1063" s="22"/>
      <c r="E1063" s="22"/>
      <c r="H1063" s="2" t="s">
        <v>33</v>
      </c>
      <c r="I1063" s="245" t="s">
        <v>1009</v>
      </c>
      <c r="J1063" s="36"/>
      <c r="K1063" s="36">
        <v>1.1200000000000001</v>
      </c>
      <c r="L1063" s="36">
        <v>19</v>
      </c>
      <c r="M1063" s="3">
        <v>2.31</v>
      </c>
      <c r="P1063" s="4">
        <f t="shared" si="319"/>
        <v>0</v>
      </c>
      <c r="Q1063" s="3">
        <v>86</v>
      </c>
      <c r="R1063" s="36">
        <v>253</v>
      </c>
      <c r="S1063" s="3">
        <v>1.46</v>
      </c>
      <c r="T1063" s="36"/>
      <c r="U1063" s="36"/>
      <c r="V1063" s="36"/>
      <c r="Z1063" s="36"/>
      <c r="AA1063" s="36"/>
      <c r="AB1063" s="36"/>
      <c r="AN1063" s="23"/>
    </row>
    <row r="1064" spans="1:50" ht="15" customHeight="1" x14ac:dyDescent="0.2">
      <c r="A1064" s="24" t="s">
        <v>451</v>
      </c>
      <c r="B1064" s="24" t="s">
        <v>452</v>
      </c>
      <c r="D1064" s="22"/>
      <c r="E1064" s="22"/>
      <c r="H1064" s="2" t="s">
        <v>33</v>
      </c>
      <c r="I1064" s="243" t="s">
        <v>1009</v>
      </c>
      <c r="K1064" s="3">
        <v>1.52</v>
      </c>
      <c r="L1064" s="3">
        <v>63</v>
      </c>
      <c r="M1064" s="3">
        <v>2.98</v>
      </c>
      <c r="O1064" s="3">
        <v>0.69</v>
      </c>
      <c r="P1064" s="4">
        <f t="shared" si="319"/>
        <v>0</v>
      </c>
      <c r="Q1064" s="3">
        <v>97</v>
      </c>
      <c r="R1064" s="3">
        <v>253</v>
      </c>
      <c r="S1064" s="3">
        <v>1.39</v>
      </c>
      <c r="AN1064" s="23"/>
    </row>
    <row r="1065" spans="1:50" ht="15" customHeight="1" x14ac:dyDescent="0.2">
      <c r="A1065" s="24" t="s">
        <v>451</v>
      </c>
      <c r="B1065" s="24" t="s">
        <v>452</v>
      </c>
      <c r="D1065" s="22"/>
      <c r="E1065" s="22"/>
      <c r="H1065" s="2" t="s">
        <v>33</v>
      </c>
      <c r="I1065" s="243" t="s">
        <v>1009</v>
      </c>
      <c r="K1065" s="3">
        <v>1.53</v>
      </c>
      <c r="L1065" s="3">
        <v>48</v>
      </c>
      <c r="M1065" s="3">
        <v>3.08</v>
      </c>
      <c r="O1065" s="3">
        <v>0.65</v>
      </c>
      <c r="P1065" s="4">
        <f t="shared" si="319"/>
        <v>0</v>
      </c>
      <c r="Q1065" s="3">
        <v>99</v>
      </c>
      <c r="R1065" s="3">
        <v>230</v>
      </c>
      <c r="S1065" s="3">
        <v>1.53</v>
      </c>
      <c r="AN1065" s="23"/>
    </row>
    <row r="1066" spans="1:50" ht="15" customHeight="1" x14ac:dyDescent="0.2">
      <c r="A1066" s="24" t="s">
        <v>451</v>
      </c>
      <c r="B1066" s="24" t="s">
        <v>452</v>
      </c>
      <c r="D1066" s="22"/>
      <c r="E1066" s="22"/>
      <c r="H1066" s="2" t="s">
        <v>33</v>
      </c>
      <c r="I1066" s="243" t="s">
        <v>1030</v>
      </c>
      <c r="M1066" s="3">
        <v>4</v>
      </c>
      <c r="P1066" s="4" t="s">
        <v>0</v>
      </c>
    </row>
    <row r="1067" spans="1:50" ht="15" customHeight="1" x14ac:dyDescent="0.2">
      <c r="A1067" s="24" t="s">
        <v>451</v>
      </c>
      <c r="B1067" s="24" t="s">
        <v>452</v>
      </c>
      <c r="D1067" s="22"/>
      <c r="E1067" s="22"/>
      <c r="H1067" s="2" t="s">
        <v>33</v>
      </c>
      <c r="I1067" s="243" t="s">
        <v>1019</v>
      </c>
      <c r="J1067" s="3">
        <v>75</v>
      </c>
      <c r="L1067" s="3">
        <v>70</v>
      </c>
      <c r="M1067" s="3">
        <v>7</v>
      </c>
      <c r="P1067" s="4">
        <f t="shared" ref="P1067:P1070" si="320">AN1067</f>
        <v>0</v>
      </c>
      <c r="R1067" s="3">
        <v>220</v>
      </c>
      <c r="AI1067" s="23"/>
      <c r="AN1067" s="23"/>
    </row>
    <row r="1068" spans="1:50" ht="15" customHeight="1" x14ac:dyDescent="0.2">
      <c r="A1068" s="31" t="s">
        <v>451</v>
      </c>
      <c r="B1068" s="31" t="s">
        <v>452</v>
      </c>
      <c r="C1068" s="1"/>
      <c r="D1068" s="22"/>
      <c r="E1068" s="22"/>
      <c r="H1068" s="1" t="s">
        <v>33</v>
      </c>
      <c r="I1068" s="243" t="s">
        <v>1006</v>
      </c>
      <c r="J1068" s="3">
        <v>78</v>
      </c>
      <c r="K1068" s="3" t="s">
        <v>55</v>
      </c>
      <c r="L1068" s="3">
        <v>97.686399999999992</v>
      </c>
      <c r="M1068" s="3">
        <v>1.3439999999999999</v>
      </c>
      <c r="P1068" s="4">
        <f t="shared" si="320"/>
        <v>0</v>
      </c>
      <c r="R1068" s="3">
        <v>267.79199999999997</v>
      </c>
      <c r="AE1068" s="23"/>
      <c r="AN1068" s="23"/>
    </row>
    <row r="1069" spans="1:50" ht="15" customHeight="1" x14ac:dyDescent="0.2">
      <c r="A1069" s="24" t="s">
        <v>451</v>
      </c>
      <c r="B1069" s="24" t="s">
        <v>452</v>
      </c>
      <c r="D1069" s="22"/>
      <c r="E1069" s="22"/>
      <c r="H1069" s="2" t="s">
        <v>33</v>
      </c>
      <c r="I1069" s="243" t="s">
        <v>1010</v>
      </c>
      <c r="J1069" s="3">
        <v>75</v>
      </c>
      <c r="K1069" s="3">
        <v>0.9</v>
      </c>
      <c r="L1069" s="3">
        <v>472</v>
      </c>
      <c r="M1069" s="3">
        <v>6.7</v>
      </c>
      <c r="N1069" s="3">
        <v>147</v>
      </c>
      <c r="P1069" s="4">
        <f t="shared" si="320"/>
        <v>0</v>
      </c>
      <c r="R1069" s="3">
        <v>177</v>
      </c>
      <c r="AI1069" s="23"/>
      <c r="AN1069" s="23"/>
    </row>
    <row r="1070" spans="1:50" ht="15" customHeight="1" x14ac:dyDescent="0.2">
      <c r="A1070" s="24" t="s">
        <v>451</v>
      </c>
      <c r="B1070" s="24" t="s">
        <v>452</v>
      </c>
      <c r="D1070" s="22"/>
      <c r="E1070" s="22"/>
      <c r="H1070" s="2" t="s">
        <v>33</v>
      </c>
      <c r="I1070" s="243" t="s">
        <v>1004</v>
      </c>
      <c r="J1070" s="3">
        <v>75</v>
      </c>
      <c r="K1070" s="3">
        <v>0.9</v>
      </c>
      <c r="L1070" s="3">
        <v>440</v>
      </c>
      <c r="P1070" s="4">
        <f t="shared" si="320"/>
        <v>0</v>
      </c>
      <c r="R1070" s="3">
        <v>220</v>
      </c>
      <c r="AI1070" s="23"/>
      <c r="AN1070" s="23"/>
    </row>
    <row r="1071" spans="1:50" ht="15" customHeight="1" x14ac:dyDescent="0.2">
      <c r="A1071" s="24" t="s">
        <v>451</v>
      </c>
      <c r="B1071" s="24" t="s">
        <v>453</v>
      </c>
      <c r="C1071" s="32" t="s">
        <v>0</v>
      </c>
      <c r="D1071" s="22"/>
      <c r="E1071" s="22"/>
      <c r="H1071" s="2" t="s">
        <v>33</v>
      </c>
      <c r="I1071" s="243" t="s">
        <v>1007</v>
      </c>
      <c r="J1071" s="3">
        <v>78.66</v>
      </c>
      <c r="K1071" s="3">
        <v>2</v>
      </c>
      <c r="L1071" s="3">
        <v>185</v>
      </c>
      <c r="M1071" s="3">
        <v>4</v>
      </c>
      <c r="N1071" s="3">
        <v>42</v>
      </c>
      <c r="O1071" s="3">
        <v>0.6</v>
      </c>
      <c r="P1071" s="4" t="s">
        <v>0</v>
      </c>
      <c r="Q1071" s="3">
        <v>40</v>
      </c>
      <c r="R1071" s="3">
        <v>51.7</v>
      </c>
    </row>
    <row r="1072" spans="1:50" s="71" customFormat="1" ht="15" customHeight="1" x14ac:dyDescent="0.2">
      <c r="A1072" s="70" t="s">
        <v>451</v>
      </c>
      <c r="B1072" s="70" t="s">
        <v>453</v>
      </c>
      <c r="C1072" s="84" t="s">
        <v>454</v>
      </c>
      <c r="D1072" s="71" t="s">
        <v>31</v>
      </c>
      <c r="E1072" s="71" t="s">
        <v>32</v>
      </c>
      <c r="F1072" s="71" t="s">
        <v>781</v>
      </c>
      <c r="H1072" s="71" t="s">
        <v>33</v>
      </c>
      <c r="I1072" s="87"/>
      <c r="J1072" s="72">
        <f t="shared" ref="J1072" si="321">AVERAGE(J1053:J1071)</f>
        <v>76.331999999999994</v>
      </c>
      <c r="K1072" s="72">
        <f t="shared" ref="K1072:S1072" si="322">AVERAGE(K1053:K1071)</f>
        <v>1.3626666666666665</v>
      </c>
      <c r="L1072" s="72">
        <f t="shared" si="322"/>
        <v>107.98155294117647</v>
      </c>
      <c r="M1072" s="72">
        <f t="shared" si="322"/>
        <v>3.4741111111111111</v>
      </c>
      <c r="N1072" s="72">
        <f t="shared" si="322"/>
        <v>112</v>
      </c>
      <c r="O1072" s="72">
        <f t="shared" si="322"/>
        <v>0.62714285714285711</v>
      </c>
      <c r="P1072" s="72">
        <f t="shared" si="322"/>
        <v>0</v>
      </c>
      <c r="Q1072" s="72">
        <f t="shared" si="322"/>
        <v>73.785714285714292</v>
      </c>
      <c r="R1072" s="72">
        <f t="shared" si="322"/>
        <v>218.61717647058822</v>
      </c>
      <c r="S1072" s="72">
        <f t="shared" si="322"/>
        <v>1.6158333333333335</v>
      </c>
      <c r="T1072" s="72"/>
      <c r="U1072" s="72"/>
      <c r="V1072" s="72"/>
      <c r="W1072" s="72"/>
      <c r="X1072" s="72"/>
      <c r="Y1072" s="72"/>
      <c r="Z1072" s="72"/>
      <c r="AA1072" s="72"/>
      <c r="AB1072" s="72"/>
      <c r="AC1072" s="73"/>
      <c r="AD1072" s="73"/>
      <c r="AE1072" s="73"/>
      <c r="AF1072" s="73"/>
      <c r="AG1072" s="73"/>
      <c r="AH1072" s="73"/>
      <c r="AI1072" s="73"/>
      <c r="AJ1072" s="73"/>
      <c r="AK1072" s="73"/>
      <c r="AL1072" s="73"/>
      <c r="AM1072" s="73"/>
      <c r="AN1072" s="73"/>
      <c r="AO1072" s="73"/>
      <c r="AP1072" s="73"/>
      <c r="AQ1072" s="73"/>
      <c r="AR1072" s="73"/>
      <c r="AS1072" s="73"/>
      <c r="AT1072" s="73"/>
      <c r="AU1072" s="73"/>
      <c r="AV1072" s="73"/>
      <c r="AW1072" s="73"/>
      <c r="AX1072" s="73"/>
    </row>
    <row r="1073" spans="1:50" ht="15" customHeight="1" x14ac:dyDescent="0.2">
      <c r="A1073" s="24" t="s">
        <v>451</v>
      </c>
      <c r="B1073" s="24" t="s">
        <v>452</v>
      </c>
      <c r="D1073" s="22"/>
      <c r="E1073" s="22"/>
      <c r="H1073" s="2" t="s">
        <v>27</v>
      </c>
      <c r="I1073" s="243" t="s">
        <v>1004</v>
      </c>
      <c r="J1073" s="3">
        <v>87</v>
      </c>
      <c r="K1073" s="3">
        <v>4.8</v>
      </c>
      <c r="L1073" s="3">
        <v>30</v>
      </c>
      <c r="M1073" s="3">
        <v>7</v>
      </c>
      <c r="P1073" s="4">
        <f t="shared" ref="P1073:P1077" si="323">AN1073</f>
        <v>0</v>
      </c>
      <c r="R1073" s="3">
        <v>120</v>
      </c>
      <c r="AI1073" s="23"/>
      <c r="AN1073" s="23"/>
    </row>
    <row r="1074" spans="1:50" ht="15" customHeight="1" x14ac:dyDescent="0.2">
      <c r="A1074" s="31" t="s">
        <v>451</v>
      </c>
      <c r="B1074" s="31" t="s">
        <v>452</v>
      </c>
      <c r="C1074" s="1"/>
      <c r="D1074" s="22"/>
      <c r="E1074" s="22"/>
      <c r="H1074" s="2" t="s">
        <v>27</v>
      </c>
      <c r="I1074" s="243" t="s">
        <v>1006</v>
      </c>
      <c r="J1074" s="3">
        <v>87</v>
      </c>
      <c r="K1074" s="3">
        <v>4.8677999999999999</v>
      </c>
      <c r="L1074" s="3">
        <v>30.457000000000001</v>
      </c>
      <c r="M1074" s="3">
        <v>5.3864999999999998</v>
      </c>
      <c r="P1074" s="4">
        <f t="shared" si="323"/>
        <v>0</v>
      </c>
      <c r="R1074" s="3">
        <v>121.828</v>
      </c>
      <c r="AE1074" s="23"/>
      <c r="AN1074" s="23"/>
    </row>
    <row r="1075" spans="1:50" ht="15" customHeight="1" x14ac:dyDescent="0.2">
      <c r="A1075" s="31" t="s">
        <v>451</v>
      </c>
      <c r="B1075" s="31" t="s">
        <v>452</v>
      </c>
      <c r="C1075" s="1"/>
      <c r="D1075" s="22"/>
      <c r="E1075" s="22"/>
      <c r="H1075" s="2" t="s">
        <v>27</v>
      </c>
      <c r="I1075" s="243" t="s">
        <v>1006</v>
      </c>
      <c r="J1075" s="3">
        <v>87</v>
      </c>
      <c r="K1075" s="3">
        <v>0.47159999999999996</v>
      </c>
      <c r="L1075" s="3">
        <v>230.56</v>
      </c>
      <c r="M1075" s="3">
        <v>3.6680000000000001</v>
      </c>
      <c r="P1075" s="4">
        <f t="shared" si="323"/>
        <v>0</v>
      </c>
      <c r="R1075" s="3">
        <v>115.28</v>
      </c>
      <c r="AE1075" s="23"/>
      <c r="AN1075" s="23"/>
    </row>
    <row r="1076" spans="1:50" ht="15" customHeight="1" x14ac:dyDescent="0.2">
      <c r="A1076" s="24" t="s">
        <v>451</v>
      </c>
      <c r="B1076" s="24" t="s">
        <v>452</v>
      </c>
      <c r="D1076" s="22"/>
      <c r="E1076" s="22"/>
      <c r="H1076" s="2" t="s">
        <v>27</v>
      </c>
      <c r="I1076" s="243" t="s">
        <v>1010</v>
      </c>
      <c r="J1076" s="3">
        <v>87.6</v>
      </c>
      <c r="K1076" s="3">
        <v>3</v>
      </c>
      <c r="L1076" s="3">
        <v>30</v>
      </c>
      <c r="M1076" s="3">
        <v>1.3</v>
      </c>
      <c r="N1076" s="3">
        <v>23</v>
      </c>
      <c r="P1076" s="4">
        <f t="shared" si="323"/>
        <v>0</v>
      </c>
      <c r="R1076" s="3">
        <v>120</v>
      </c>
      <c r="AI1076" s="23"/>
      <c r="AN1076" s="23"/>
    </row>
    <row r="1077" spans="1:50" ht="15" customHeight="1" x14ac:dyDescent="0.2">
      <c r="A1077" s="24" t="s">
        <v>451</v>
      </c>
      <c r="B1077" s="24" t="s">
        <v>453</v>
      </c>
      <c r="C1077" s="32" t="s">
        <v>0</v>
      </c>
      <c r="D1077" s="22"/>
      <c r="E1077" s="22"/>
      <c r="H1077" s="2" t="s">
        <v>27</v>
      </c>
      <c r="I1077" s="243" t="s">
        <v>1007</v>
      </c>
      <c r="J1077" s="3">
        <v>88.2</v>
      </c>
      <c r="K1077" s="3">
        <v>3.2</v>
      </c>
      <c r="L1077" s="3">
        <v>30</v>
      </c>
      <c r="M1077" s="3">
        <v>0.36</v>
      </c>
      <c r="N1077" s="3">
        <v>45</v>
      </c>
      <c r="O1077" s="3">
        <v>0.45</v>
      </c>
      <c r="P1077" s="4">
        <f t="shared" si="323"/>
        <v>0</v>
      </c>
      <c r="Q1077" s="3">
        <v>44</v>
      </c>
      <c r="R1077" s="3">
        <v>141</v>
      </c>
      <c r="AI1077" s="23"/>
      <c r="AN1077" s="23"/>
    </row>
    <row r="1078" spans="1:50" s="71" customFormat="1" ht="15" customHeight="1" x14ac:dyDescent="0.2">
      <c r="A1078" s="70" t="s">
        <v>451</v>
      </c>
      <c r="B1078" s="70" t="s">
        <v>453</v>
      </c>
      <c r="C1078" s="84" t="s">
        <v>454</v>
      </c>
      <c r="D1078" s="71" t="s">
        <v>31</v>
      </c>
      <c r="E1078" s="71" t="s">
        <v>32</v>
      </c>
      <c r="F1078" s="71" t="s">
        <v>781</v>
      </c>
      <c r="H1078" s="71" t="s">
        <v>27</v>
      </c>
      <c r="I1078" s="87"/>
      <c r="J1078" s="72">
        <f t="shared" ref="J1078" si="324">AVERAGE(J1073:J1077)</f>
        <v>87.36</v>
      </c>
      <c r="K1078" s="72">
        <f t="shared" ref="K1078:R1078" si="325">AVERAGE(K1073:K1077)</f>
        <v>3.2678800000000003</v>
      </c>
      <c r="L1078" s="72">
        <f t="shared" si="325"/>
        <v>70.203400000000002</v>
      </c>
      <c r="M1078" s="72">
        <f t="shared" si="325"/>
        <v>3.5429000000000004</v>
      </c>
      <c r="N1078" s="72">
        <f t="shared" si="325"/>
        <v>34</v>
      </c>
      <c r="O1078" s="72">
        <f t="shared" si="325"/>
        <v>0.45</v>
      </c>
      <c r="P1078" s="72">
        <f t="shared" si="325"/>
        <v>0</v>
      </c>
      <c r="Q1078" s="72">
        <f t="shared" si="325"/>
        <v>44</v>
      </c>
      <c r="R1078" s="72">
        <f t="shared" si="325"/>
        <v>123.62159999999999</v>
      </c>
      <c r="S1078" s="72"/>
      <c r="T1078" s="72"/>
      <c r="U1078" s="72"/>
      <c r="V1078" s="72"/>
      <c r="W1078" s="72"/>
      <c r="X1078" s="72"/>
      <c r="Y1078" s="72"/>
      <c r="Z1078" s="72"/>
      <c r="AA1078" s="72"/>
      <c r="AB1078" s="72"/>
      <c r="AC1078" s="73"/>
      <c r="AD1078" s="73"/>
      <c r="AE1078" s="73"/>
      <c r="AF1078" s="73"/>
      <c r="AG1078" s="73"/>
      <c r="AH1078" s="73"/>
      <c r="AI1078" s="73"/>
      <c r="AJ1078" s="73"/>
      <c r="AK1078" s="73"/>
      <c r="AL1078" s="73"/>
      <c r="AM1078" s="73"/>
      <c r="AN1078" s="73"/>
      <c r="AO1078" s="73"/>
      <c r="AP1078" s="73"/>
      <c r="AQ1078" s="73"/>
      <c r="AR1078" s="73"/>
      <c r="AS1078" s="73"/>
      <c r="AT1078" s="73"/>
      <c r="AU1078" s="73"/>
      <c r="AV1078" s="73"/>
      <c r="AW1078" s="73"/>
      <c r="AX1078" s="73"/>
    </row>
    <row r="1079" spans="1:50" s="22" customFormat="1" ht="15" customHeight="1" x14ac:dyDescent="0.2">
      <c r="A1079" s="25" t="s">
        <v>451</v>
      </c>
      <c r="B1079" s="25" t="s">
        <v>452</v>
      </c>
      <c r="C1079" s="26" t="s">
        <v>0</v>
      </c>
      <c r="H1079" s="26" t="s">
        <v>166</v>
      </c>
      <c r="I1079" s="65" t="s">
        <v>1006</v>
      </c>
      <c r="J1079" s="4">
        <v>84</v>
      </c>
      <c r="K1079" s="4">
        <v>1.2640000000000002</v>
      </c>
      <c r="L1079" s="4">
        <v>345.65660000000003</v>
      </c>
      <c r="M1079" s="4">
        <v>6.9046000000000021</v>
      </c>
      <c r="N1079" s="4"/>
      <c r="O1079" s="4"/>
      <c r="P1079" s="4">
        <f t="shared" ref="P1079" si="326">AN1079</f>
        <v>0</v>
      </c>
      <c r="Q1079" s="4"/>
      <c r="R1079" s="4">
        <v>110.17340000000002</v>
      </c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23"/>
      <c r="AD1079" s="23"/>
      <c r="AE1079" s="23"/>
      <c r="AF1079" s="23"/>
      <c r="AG1079" s="23"/>
      <c r="AH1079" s="23"/>
      <c r="AI1079" s="23"/>
      <c r="AJ1079" s="23"/>
      <c r="AK1079" s="23"/>
      <c r="AL1079" s="23"/>
      <c r="AM1079" s="23"/>
      <c r="AN1079" s="23"/>
      <c r="AO1079" s="23"/>
      <c r="AP1079" s="23"/>
      <c r="AQ1079" s="23"/>
      <c r="AR1079" s="23"/>
      <c r="AS1079" s="23"/>
      <c r="AT1079" s="23"/>
      <c r="AU1079" s="23"/>
      <c r="AV1079" s="23"/>
      <c r="AW1079" s="23"/>
      <c r="AX1079" s="23"/>
    </row>
    <row r="1080" spans="1:50" s="71" customFormat="1" ht="15" customHeight="1" x14ac:dyDescent="0.2">
      <c r="A1080" s="77" t="s">
        <v>451</v>
      </c>
      <c r="B1080" s="77" t="s">
        <v>452</v>
      </c>
      <c r="C1080" s="78" t="s">
        <v>454</v>
      </c>
      <c r="D1080" s="71" t="s">
        <v>31</v>
      </c>
      <c r="E1080" s="71" t="s">
        <v>32</v>
      </c>
      <c r="F1080" s="71" t="s">
        <v>781</v>
      </c>
      <c r="H1080" s="78" t="s">
        <v>166</v>
      </c>
      <c r="I1080" s="87"/>
      <c r="J1080" s="72">
        <f>J1079</f>
        <v>84</v>
      </c>
      <c r="K1080" s="72">
        <f>K1079</f>
        <v>1.2640000000000002</v>
      </c>
      <c r="L1080" s="72">
        <f>L1079</f>
        <v>345.65660000000003</v>
      </c>
      <c r="M1080" s="72">
        <f>M1079</f>
        <v>6.9046000000000021</v>
      </c>
      <c r="N1080" s="72"/>
      <c r="O1080" s="72"/>
      <c r="P1080" s="72">
        <f>P1079</f>
        <v>0</v>
      </c>
      <c r="Q1080" s="72"/>
      <c r="R1080" s="72">
        <f>R1079</f>
        <v>110.17340000000002</v>
      </c>
      <c r="S1080" s="72"/>
      <c r="T1080" s="72"/>
      <c r="U1080" s="72"/>
      <c r="V1080" s="72"/>
      <c r="W1080" s="72"/>
      <c r="X1080" s="72"/>
      <c r="Y1080" s="72"/>
      <c r="Z1080" s="72"/>
      <c r="AA1080" s="72"/>
      <c r="AB1080" s="72"/>
      <c r="AC1080" s="73"/>
      <c r="AD1080" s="73"/>
      <c r="AE1080" s="73"/>
      <c r="AF1080" s="73"/>
      <c r="AG1080" s="73"/>
      <c r="AH1080" s="73"/>
      <c r="AI1080" s="73"/>
      <c r="AJ1080" s="73"/>
      <c r="AK1080" s="73"/>
      <c r="AL1080" s="73"/>
      <c r="AM1080" s="73"/>
      <c r="AN1080" s="73"/>
      <c r="AO1080" s="73"/>
      <c r="AP1080" s="73"/>
      <c r="AQ1080" s="73"/>
      <c r="AR1080" s="73"/>
      <c r="AS1080" s="73"/>
      <c r="AT1080" s="73"/>
      <c r="AU1080" s="73"/>
      <c r="AV1080" s="73"/>
      <c r="AW1080" s="73"/>
      <c r="AX1080" s="73"/>
    </row>
    <row r="1081" spans="1:50" ht="15" customHeight="1" x14ac:dyDescent="0.2">
      <c r="A1081" s="46" t="s">
        <v>455</v>
      </c>
      <c r="B1081" s="46" t="s">
        <v>137</v>
      </c>
      <c r="C1081" s="50"/>
      <c r="D1081" s="22"/>
      <c r="E1081" s="22"/>
      <c r="F1081" s="1"/>
      <c r="G1081" s="1"/>
      <c r="H1081" s="50" t="s">
        <v>33</v>
      </c>
      <c r="I1081" s="245" t="s">
        <v>1006</v>
      </c>
      <c r="J1081" s="36" t="s">
        <v>0</v>
      </c>
      <c r="K1081" s="36">
        <v>3.7</v>
      </c>
      <c r="L1081" s="36" t="s">
        <v>0</v>
      </c>
      <c r="M1081" s="36">
        <v>18.899999999999999</v>
      </c>
      <c r="N1081" s="36"/>
      <c r="O1081" s="3">
        <v>0.3</v>
      </c>
      <c r="P1081" s="4" t="s">
        <v>0</v>
      </c>
      <c r="Q1081" s="36"/>
      <c r="R1081" s="36" t="s">
        <v>55</v>
      </c>
      <c r="T1081" s="36"/>
      <c r="U1081" s="36"/>
      <c r="V1081" s="36"/>
      <c r="W1081" s="36"/>
      <c r="X1081" s="36"/>
      <c r="Y1081" s="36"/>
      <c r="Z1081" s="36"/>
      <c r="AA1081" s="36"/>
      <c r="AB1081" s="36"/>
    </row>
    <row r="1082" spans="1:50" ht="15" customHeight="1" x14ac:dyDescent="0.2">
      <c r="A1082" s="31" t="s">
        <v>455</v>
      </c>
      <c r="B1082" s="31" t="s">
        <v>137</v>
      </c>
      <c r="C1082" s="1"/>
      <c r="D1082" s="22"/>
      <c r="E1082" s="22"/>
      <c r="F1082" s="1"/>
      <c r="G1082" s="1"/>
      <c r="H1082" s="1" t="s">
        <v>33</v>
      </c>
      <c r="I1082" s="245" t="s">
        <v>456</v>
      </c>
      <c r="J1082" s="36">
        <f>100-28.4</f>
        <v>71.599999999999994</v>
      </c>
      <c r="K1082" s="36">
        <v>4.46</v>
      </c>
      <c r="L1082" s="36">
        <v>778.16</v>
      </c>
      <c r="M1082" s="36">
        <v>22.21</v>
      </c>
      <c r="N1082" s="36">
        <v>159.04</v>
      </c>
      <c r="O1082" s="3">
        <v>3.1</v>
      </c>
      <c r="P1082" s="4" t="s">
        <v>0</v>
      </c>
      <c r="Q1082" s="36"/>
      <c r="R1082" s="36"/>
      <c r="T1082" s="36"/>
      <c r="U1082" s="36"/>
      <c r="V1082" s="36"/>
      <c r="W1082" s="36"/>
      <c r="X1082" s="36"/>
      <c r="Y1082" s="36"/>
      <c r="Z1082" s="36"/>
      <c r="AA1082" s="36"/>
      <c r="AB1082" s="36"/>
    </row>
    <row r="1083" spans="1:50" ht="15" customHeight="1" x14ac:dyDescent="0.2">
      <c r="A1083" s="31" t="s">
        <v>455</v>
      </c>
      <c r="B1083" s="31" t="s">
        <v>137</v>
      </c>
      <c r="C1083" s="1"/>
      <c r="D1083" s="22"/>
      <c r="E1083" s="22"/>
      <c r="F1083" s="1"/>
      <c r="G1083" s="1"/>
      <c r="H1083" s="1" t="s">
        <v>33</v>
      </c>
      <c r="I1083" s="243" t="s">
        <v>1006</v>
      </c>
      <c r="J1083" s="3">
        <v>75.8</v>
      </c>
      <c r="K1083" s="3" t="s">
        <v>55</v>
      </c>
      <c r="L1083" s="3" t="s">
        <v>0</v>
      </c>
      <c r="M1083" s="3" t="s">
        <v>55</v>
      </c>
      <c r="P1083" s="4" t="s">
        <v>0</v>
      </c>
      <c r="R1083" s="3" t="s">
        <v>55</v>
      </c>
    </row>
    <row r="1084" spans="1:50" ht="15" customHeight="1" x14ac:dyDescent="0.2">
      <c r="A1084" s="31" t="s">
        <v>455</v>
      </c>
      <c r="B1084" s="31" t="s">
        <v>137</v>
      </c>
      <c r="C1084" s="1"/>
      <c r="D1084" s="22"/>
      <c r="E1084" s="22"/>
      <c r="F1084" s="1"/>
      <c r="G1084" s="1"/>
      <c r="H1084" s="1" t="s">
        <v>33</v>
      </c>
      <c r="I1084" s="243" t="s">
        <v>457</v>
      </c>
      <c r="J1084" s="3">
        <v>71.099999999999994</v>
      </c>
      <c r="L1084" s="3">
        <v>380</v>
      </c>
      <c r="M1084" s="3">
        <v>6.1</v>
      </c>
      <c r="O1084" s="3">
        <v>0.22</v>
      </c>
      <c r="P1084" s="4">
        <f t="shared" ref="P1084:P1085" si="327">AN1084</f>
        <v>0</v>
      </c>
      <c r="R1084" s="3">
        <v>160</v>
      </c>
      <c r="AI1084" s="23"/>
      <c r="AN1084" s="23"/>
    </row>
    <row r="1085" spans="1:50" ht="15" customHeight="1" x14ac:dyDescent="0.2">
      <c r="A1085" s="31" t="s">
        <v>455</v>
      </c>
      <c r="B1085" s="31" t="s">
        <v>137</v>
      </c>
      <c r="C1085" s="1"/>
      <c r="D1085" s="22"/>
      <c r="E1085" s="22"/>
      <c r="F1085" s="1"/>
      <c r="G1085" s="1"/>
      <c r="H1085" s="1" t="s">
        <v>33</v>
      </c>
      <c r="I1085" s="243" t="s">
        <v>457</v>
      </c>
      <c r="J1085" s="3">
        <v>75.5</v>
      </c>
      <c r="L1085" s="3">
        <v>786</v>
      </c>
      <c r="M1085" s="3">
        <v>10.3</v>
      </c>
      <c r="O1085" s="3">
        <v>1.1200000000000001</v>
      </c>
      <c r="P1085" s="4">
        <f t="shared" si="327"/>
        <v>0</v>
      </c>
      <c r="R1085" s="3">
        <v>280</v>
      </c>
      <c r="AI1085" s="23"/>
      <c r="AN1085" s="23"/>
    </row>
    <row r="1086" spans="1:50" s="71" customFormat="1" ht="15" customHeight="1" x14ac:dyDescent="0.2">
      <c r="A1086" s="77" t="s">
        <v>455</v>
      </c>
      <c r="B1086" s="77" t="s">
        <v>137</v>
      </c>
      <c r="C1086" s="78" t="s">
        <v>458</v>
      </c>
      <c r="D1086" s="71" t="s">
        <v>31</v>
      </c>
      <c r="E1086" s="78" t="s">
        <v>32</v>
      </c>
      <c r="F1086" s="71" t="s">
        <v>781</v>
      </c>
      <c r="G1086" s="78"/>
      <c r="H1086" s="78" t="s">
        <v>33</v>
      </c>
      <c r="I1086" s="87"/>
      <c r="J1086" s="72">
        <f t="shared" ref="J1086:P1086" si="328">AVERAGE(J1081:J1085)</f>
        <v>73.5</v>
      </c>
      <c r="K1086" s="72">
        <f t="shared" si="328"/>
        <v>4.08</v>
      </c>
      <c r="L1086" s="72">
        <f t="shared" si="328"/>
        <v>648.05333333333328</v>
      </c>
      <c r="M1086" s="72">
        <f t="shared" si="328"/>
        <v>14.377500000000001</v>
      </c>
      <c r="N1086" s="72">
        <f t="shared" si="328"/>
        <v>159.04</v>
      </c>
      <c r="O1086" s="72">
        <f t="shared" si="328"/>
        <v>1.1850000000000001</v>
      </c>
      <c r="P1086" s="72">
        <f t="shared" si="328"/>
        <v>0</v>
      </c>
      <c r="Q1086" s="72"/>
      <c r="R1086" s="72">
        <f>AVERAGE(R1081:R1085)</f>
        <v>220</v>
      </c>
      <c r="S1086" s="72"/>
      <c r="T1086" s="72"/>
      <c r="U1086" s="72"/>
      <c r="V1086" s="72"/>
      <c r="W1086" s="72"/>
      <c r="X1086" s="72"/>
      <c r="Y1086" s="72"/>
      <c r="Z1086" s="72"/>
      <c r="AA1086" s="72"/>
      <c r="AB1086" s="72"/>
      <c r="AC1086" s="73"/>
      <c r="AD1086" s="73"/>
      <c r="AE1086" s="73"/>
      <c r="AF1086" s="73"/>
      <c r="AG1086" s="73"/>
      <c r="AH1086" s="73"/>
      <c r="AI1086" s="73"/>
      <c r="AJ1086" s="73"/>
      <c r="AK1086" s="73"/>
      <c r="AL1086" s="73"/>
      <c r="AM1086" s="73"/>
      <c r="AN1086" s="73"/>
      <c r="AO1086" s="73"/>
      <c r="AP1086" s="73"/>
      <c r="AQ1086" s="73"/>
      <c r="AR1086" s="73"/>
      <c r="AS1086" s="73"/>
      <c r="AT1086" s="73"/>
      <c r="AU1086" s="73"/>
      <c r="AV1086" s="73"/>
      <c r="AW1086" s="73"/>
      <c r="AX1086" s="73"/>
    </row>
    <row r="1087" spans="1:50" s="22" customFormat="1" ht="15" customHeight="1" x14ac:dyDescent="0.2">
      <c r="A1087" s="21" t="s">
        <v>459</v>
      </c>
      <c r="B1087" s="21" t="s">
        <v>460</v>
      </c>
      <c r="C1087" s="22" t="s">
        <v>0</v>
      </c>
      <c r="H1087" s="22" t="s">
        <v>166</v>
      </c>
      <c r="I1087" s="65" t="s">
        <v>1019</v>
      </c>
      <c r="J1087" s="4"/>
      <c r="K1087" s="4"/>
      <c r="L1087" s="4">
        <v>50</v>
      </c>
      <c r="M1087" s="4">
        <v>0.1</v>
      </c>
      <c r="N1087" s="4"/>
      <c r="O1087" s="4"/>
      <c r="P1087" s="4" t="s">
        <v>0</v>
      </c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23"/>
      <c r="AD1087" s="23"/>
      <c r="AE1087" s="23"/>
      <c r="AF1087" s="23"/>
      <c r="AG1087" s="23"/>
      <c r="AH1087" s="23"/>
      <c r="AI1087" s="23"/>
      <c r="AJ1087" s="23"/>
      <c r="AK1087" s="23"/>
      <c r="AL1087" s="23"/>
      <c r="AM1087" s="23"/>
      <c r="AN1087" s="23"/>
      <c r="AO1087" s="23"/>
      <c r="AP1087" s="23"/>
      <c r="AQ1087" s="23"/>
      <c r="AR1087" s="23"/>
      <c r="AS1087" s="23"/>
      <c r="AT1087" s="23"/>
      <c r="AU1087" s="23"/>
      <c r="AV1087" s="23"/>
      <c r="AW1087" s="23"/>
      <c r="AX1087" s="23"/>
    </row>
    <row r="1088" spans="1:50" s="71" customFormat="1" ht="15" customHeight="1" x14ac:dyDescent="0.2">
      <c r="A1088" s="70" t="s">
        <v>459</v>
      </c>
      <c r="B1088" s="70" t="s">
        <v>460</v>
      </c>
      <c r="C1088" s="71" t="s">
        <v>461</v>
      </c>
      <c r="D1088" s="71" t="s">
        <v>31</v>
      </c>
      <c r="E1088" s="71" t="s">
        <v>46</v>
      </c>
      <c r="F1088" s="71" t="s">
        <v>782</v>
      </c>
      <c r="H1088" s="71" t="s">
        <v>166</v>
      </c>
      <c r="I1088" s="87"/>
      <c r="J1088" s="72"/>
      <c r="K1088" s="72"/>
      <c r="L1088" s="72">
        <f>L1087</f>
        <v>50</v>
      </c>
      <c r="M1088" s="72">
        <f>M1087</f>
        <v>0.1</v>
      </c>
      <c r="N1088" s="72"/>
      <c r="O1088" s="72"/>
      <c r="P1088" s="72"/>
      <c r="Q1088" s="72"/>
      <c r="R1088" s="72"/>
      <c r="S1088" s="72"/>
      <c r="T1088" s="72"/>
      <c r="U1088" s="72"/>
      <c r="V1088" s="72"/>
      <c r="W1088" s="72"/>
      <c r="X1088" s="72"/>
      <c r="Y1088" s="72"/>
      <c r="Z1088" s="72"/>
      <c r="AA1088" s="72"/>
      <c r="AB1088" s="72"/>
      <c r="AC1088" s="73"/>
      <c r="AD1088" s="73"/>
      <c r="AE1088" s="73"/>
      <c r="AF1088" s="73"/>
      <c r="AG1088" s="73"/>
      <c r="AH1088" s="73"/>
      <c r="AI1088" s="73"/>
      <c r="AJ1088" s="73"/>
      <c r="AK1088" s="73"/>
      <c r="AL1088" s="73"/>
      <c r="AM1088" s="73"/>
      <c r="AN1088" s="73"/>
      <c r="AO1088" s="73"/>
      <c r="AP1088" s="73"/>
      <c r="AQ1088" s="73"/>
      <c r="AR1088" s="73"/>
      <c r="AS1088" s="73"/>
      <c r="AT1088" s="73"/>
      <c r="AU1088" s="73"/>
      <c r="AV1088" s="73"/>
      <c r="AW1088" s="73"/>
      <c r="AX1088" s="73"/>
    </row>
    <row r="1089" spans="1:50" ht="17" x14ac:dyDescent="0.2">
      <c r="A1089" s="24" t="s">
        <v>459</v>
      </c>
      <c r="B1089" s="24" t="s">
        <v>130</v>
      </c>
      <c r="D1089" s="22"/>
      <c r="E1089" s="22"/>
      <c r="H1089" s="2" t="s">
        <v>166</v>
      </c>
      <c r="I1089" s="243" t="s">
        <v>1013</v>
      </c>
      <c r="J1089" s="3">
        <v>90.2</v>
      </c>
      <c r="K1089" s="3">
        <v>3.2</v>
      </c>
      <c r="L1089" s="3">
        <v>50</v>
      </c>
      <c r="M1089" s="3">
        <v>1.1000000000000001</v>
      </c>
      <c r="O1089" s="3">
        <v>0.3</v>
      </c>
      <c r="P1089" s="4" t="s">
        <v>0</v>
      </c>
      <c r="R1089" s="3">
        <v>10</v>
      </c>
    </row>
    <row r="1090" spans="1:50" s="22" customFormat="1" ht="15" customHeight="1" x14ac:dyDescent="0.2">
      <c r="A1090" s="21" t="s">
        <v>459</v>
      </c>
      <c r="B1090" s="21" t="s">
        <v>462</v>
      </c>
      <c r="C1090" s="22" t="s">
        <v>0</v>
      </c>
      <c r="H1090" s="22" t="s">
        <v>166</v>
      </c>
      <c r="I1090" s="65" t="s">
        <v>1004</v>
      </c>
      <c r="J1090" s="4">
        <v>90.2</v>
      </c>
      <c r="K1090" s="4"/>
      <c r="L1090" s="4">
        <v>30</v>
      </c>
      <c r="M1090" s="4"/>
      <c r="N1090" s="4"/>
      <c r="O1090" s="4"/>
      <c r="P1090" s="4" t="s">
        <v>0</v>
      </c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23"/>
      <c r="AD1090" s="23"/>
      <c r="AE1090" s="23"/>
      <c r="AF1090" s="23"/>
      <c r="AG1090" s="23"/>
      <c r="AH1090" s="23"/>
      <c r="AI1090" s="23"/>
      <c r="AJ1090" s="23"/>
      <c r="AK1090" s="23"/>
      <c r="AL1090" s="23"/>
      <c r="AM1090" s="23"/>
      <c r="AN1090" s="23"/>
      <c r="AO1090" s="23"/>
      <c r="AP1090" s="23"/>
      <c r="AQ1090" s="23"/>
      <c r="AR1090" s="23"/>
      <c r="AS1090" s="23"/>
      <c r="AT1090" s="23"/>
      <c r="AU1090" s="23"/>
      <c r="AV1090" s="23"/>
      <c r="AW1090" s="23"/>
      <c r="AX1090" s="23"/>
    </row>
    <row r="1091" spans="1:50" s="71" customFormat="1" ht="15" customHeight="1" x14ac:dyDescent="0.2">
      <c r="A1091" s="70" t="s">
        <v>459</v>
      </c>
      <c r="B1091" s="70" t="s">
        <v>462</v>
      </c>
      <c r="C1091" s="71" t="s">
        <v>463</v>
      </c>
      <c r="D1091" s="71" t="s">
        <v>31</v>
      </c>
      <c r="E1091" s="71" t="s">
        <v>46</v>
      </c>
      <c r="F1091" s="71" t="s">
        <v>782</v>
      </c>
      <c r="H1091" s="71" t="s">
        <v>166</v>
      </c>
      <c r="I1091" s="87"/>
      <c r="J1091" s="72">
        <f t="shared" ref="J1091" si="329">AVERAGE(J1089:J1090)</f>
        <v>90.2</v>
      </c>
      <c r="K1091" s="72">
        <f>AVERAGE(K1089:K1090)</f>
        <v>3.2</v>
      </c>
      <c r="L1091" s="72">
        <f>AVERAGE(L1089:L1090)</f>
        <v>40</v>
      </c>
      <c r="M1091" s="72">
        <f>AVERAGE(M1089:M1090)</f>
        <v>1.1000000000000001</v>
      </c>
      <c r="N1091" s="72"/>
      <c r="O1091" s="72">
        <f>AVERAGE(O1089:O1090)</f>
        <v>0.3</v>
      </c>
      <c r="P1091" s="72"/>
      <c r="Q1091" s="72"/>
      <c r="R1091" s="72">
        <f>AVERAGE(R1089:R1090)</f>
        <v>10</v>
      </c>
      <c r="S1091" s="72"/>
      <c r="T1091" s="72"/>
      <c r="U1091" s="72"/>
      <c r="V1091" s="72"/>
      <c r="W1091" s="72"/>
      <c r="X1091" s="72"/>
      <c r="Y1091" s="72"/>
      <c r="Z1091" s="72"/>
      <c r="AA1091" s="72"/>
      <c r="AB1091" s="72"/>
      <c r="AC1091" s="73"/>
      <c r="AD1091" s="73"/>
      <c r="AE1091" s="73"/>
      <c r="AF1091" s="73"/>
      <c r="AG1091" s="73"/>
      <c r="AH1091" s="73"/>
      <c r="AI1091" s="73"/>
      <c r="AJ1091" s="73"/>
      <c r="AK1091" s="73"/>
      <c r="AL1091" s="73"/>
      <c r="AM1091" s="73"/>
      <c r="AN1091" s="73"/>
      <c r="AO1091" s="73"/>
      <c r="AP1091" s="73"/>
      <c r="AQ1091" s="73"/>
      <c r="AR1091" s="73"/>
      <c r="AS1091" s="73"/>
      <c r="AT1091" s="73"/>
      <c r="AU1091" s="73"/>
      <c r="AV1091" s="73"/>
      <c r="AW1091" s="73"/>
      <c r="AX1091" s="73"/>
    </row>
    <row r="1092" spans="1:50" ht="15" customHeight="1" x14ac:dyDescent="0.2">
      <c r="A1092" s="55" t="s">
        <v>464</v>
      </c>
      <c r="B1092" s="55" t="s">
        <v>465</v>
      </c>
      <c r="C1092" s="56" t="s">
        <v>0</v>
      </c>
      <c r="D1092" s="22"/>
      <c r="E1092" s="22"/>
      <c r="F1092" s="57"/>
      <c r="G1092" s="57"/>
      <c r="H1092" s="57" t="s">
        <v>33</v>
      </c>
      <c r="I1092" s="249" t="s">
        <v>1007</v>
      </c>
      <c r="J1092" s="58">
        <v>95.11</v>
      </c>
      <c r="K1092" s="58">
        <v>0.5</v>
      </c>
      <c r="L1092" s="58">
        <v>120</v>
      </c>
      <c r="M1092" s="58">
        <v>0.2</v>
      </c>
      <c r="N1092" s="58">
        <v>21</v>
      </c>
      <c r="O1092" s="58">
        <v>0.11</v>
      </c>
      <c r="P1092" s="4">
        <f t="shared" ref="P1092:P1100" si="330">AN1092</f>
        <v>0</v>
      </c>
      <c r="Q1092" s="58">
        <v>9</v>
      </c>
      <c r="R1092" s="58">
        <v>43</v>
      </c>
      <c r="S1092" s="58">
        <v>1</v>
      </c>
      <c r="T1092" s="58"/>
      <c r="U1092" s="58"/>
      <c r="V1092" s="58"/>
      <c r="W1092" s="58"/>
      <c r="X1092" s="58"/>
      <c r="Y1092" s="58"/>
      <c r="Z1092" s="58"/>
      <c r="AA1092" s="58"/>
      <c r="AB1092" s="58"/>
      <c r="AI1092" s="23"/>
      <c r="AN1092" s="23"/>
    </row>
    <row r="1093" spans="1:50" ht="15" customHeight="1" x14ac:dyDescent="0.2">
      <c r="A1093" s="24" t="s">
        <v>464</v>
      </c>
      <c r="B1093" s="24" t="s">
        <v>465</v>
      </c>
      <c r="D1093" s="22"/>
      <c r="E1093" s="22"/>
      <c r="F1093" s="57"/>
      <c r="G1093" s="57"/>
      <c r="H1093" s="57" t="s">
        <v>33</v>
      </c>
      <c r="I1093" s="249" t="s">
        <v>1016</v>
      </c>
      <c r="J1093" s="58">
        <v>93.5</v>
      </c>
      <c r="K1093" s="58">
        <v>1.47</v>
      </c>
      <c r="L1093" s="58">
        <v>180</v>
      </c>
      <c r="M1093" s="58">
        <v>3.1</v>
      </c>
      <c r="N1093" s="58">
        <v>34</v>
      </c>
      <c r="O1093" s="58"/>
      <c r="P1093" s="4">
        <f t="shared" si="330"/>
        <v>0</v>
      </c>
      <c r="Q1093" s="58"/>
      <c r="R1093" s="58">
        <v>96</v>
      </c>
      <c r="S1093" s="58"/>
      <c r="T1093" s="58"/>
      <c r="U1093" s="58"/>
      <c r="V1093" s="58"/>
      <c r="W1093" s="58"/>
      <c r="X1093" s="58"/>
      <c r="Y1093" s="58"/>
      <c r="Z1093" s="58"/>
      <c r="AA1093" s="58"/>
      <c r="AB1093" s="58"/>
      <c r="AN1093" s="23"/>
    </row>
    <row r="1094" spans="1:50" ht="15" customHeight="1" x14ac:dyDescent="0.2">
      <c r="A1094" s="24" t="s">
        <v>464</v>
      </c>
      <c r="B1094" s="24" t="s">
        <v>465</v>
      </c>
      <c r="D1094" s="22"/>
      <c r="E1094" s="22"/>
      <c r="F1094" s="57"/>
      <c r="G1094" s="57"/>
      <c r="H1094" s="57" t="s">
        <v>33</v>
      </c>
      <c r="I1094" s="243" t="s">
        <v>1030</v>
      </c>
      <c r="M1094" s="3">
        <v>0.2</v>
      </c>
      <c r="P1094" s="4">
        <f t="shared" si="330"/>
        <v>0</v>
      </c>
      <c r="Q1094" s="3">
        <v>9</v>
      </c>
      <c r="AN1094" s="23"/>
    </row>
    <row r="1095" spans="1:50" ht="15" customHeight="1" x14ac:dyDescent="0.2">
      <c r="A1095" s="31" t="s">
        <v>464</v>
      </c>
      <c r="B1095" s="31" t="s">
        <v>465</v>
      </c>
      <c r="C1095" s="1"/>
      <c r="D1095" s="22"/>
      <c r="E1095" s="22"/>
      <c r="F1095" s="57"/>
      <c r="G1095" s="57"/>
      <c r="H1095" s="57" t="s">
        <v>33</v>
      </c>
      <c r="I1095" s="243" t="s">
        <v>1006</v>
      </c>
      <c r="J1095" s="3">
        <v>89</v>
      </c>
      <c r="K1095" s="3" t="s">
        <v>55</v>
      </c>
      <c r="L1095" s="3">
        <v>222.47999999999996</v>
      </c>
      <c r="M1095" s="3" t="s">
        <v>55</v>
      </c>
      <c r="P1095" s="4">
        <f t="shared" si="330"/>
        <v>0</v>
      </c>
      <c r="R1095" s="3" t="s">
        <v>55</v>
      </c>
      <c r="AE1095" s="23"/>
      <c r="AN1095" s="23"/>
    </row>
    <row r="1096" spans="1:50" ht="15" customHeight="1" x14ac:dyDescent="0.2">
      <c r="A1096" s="34" t="s">
        <v>464</v>
      </c>
      <c r="B1096" s="34" t="s">
        <v>465</v>
      </c>
      <c r="C1096" s="33"/>
      <c r="D1096" s="22"/>
      <c r="E1096" s="22"/>
      <c r="F1096" s="57"/>
      <c r="G1096" s="57"/>
      <c r="H1096" s="57" t="s">
        <v>33</v>
      </c>
      <c r="I1096" s="245" t="s">
        <v>1009</v>
      </c>
      <c r="J1096" s="36"/>
      <c r="K1096" s="36">
        <v>0.73</v>
      </c>
      <c r="L1096" s="36">
        <v>138</v>
      </c>
      <c r="M1096" s="36">
        <v>3.75</v>
      </c>
      <c r="O1096" s="3">
        <v>1.08</v>
      </c>
      <c r="P1096" s="4">
        <f t="shared" si="330"/>
        <v>0</v>
      </c>
      <c r="R1096" s="36">
        <v>75</v>
      </c>
      <c r="T1096" s="36"/>
      <c r="U1096" s="36"/>
      <c r="V1096" s="36"/>
      <c r="W1096" s="36"/>
      <c r="Z1096" s="36"/>
      <c r="AA1096" s="36"/>
      <c r="AB1096" s="36"/>
      <c r="AN1096" s="23"/>
    </row>
    <row r="1097" spans="1:50" ht="15" customHeight="1" x14ac:dyDescent="0.2">
      <c r="A1097" s="24" t="s">
        <v>464</v>
      </c>
      <c r="B1097" s="24" t="s">
        <v>465</v>
      </c>
      <c r="D1097" s="22"/>
      <c r="E1097" s="22"/>
      <c r="F1097" s="57"/>
      <c r="G1097" s="57"/>
      <c r="H1097" s="57" t="s">
        <v>33</v>
      </c>
      <c r="I1097" s="243" t="s">
        <v>1004</v>
      </c>
      <c r="J1097" s="3">
        <v>93</v>
      </c>
      <c r="K1097" s="3">
        <v>0.8</v>
      </c>
      <c r="L1097" s="3">
        <v>64</v>
      </c>
      <c r="M1097" s="3">
        <v>2.5</v>
      </c>
      <c r="P1097" s="4">
        <f t="shared" si="330"/>
        <v>0</v>
      </c>
      <c r="R1097" s="3">
        <v>45</v>
      </c>
      <c r="AI1097" s="23"/>
      <c r="AN1097" s="23"/>
    </row>
    <row r="1098" spans="1:50" ht="15" customHeight="1" x14ac:dyDescent="0.2">
      <c r="A1098" s="31" t="s">
        <v>464</v>
      </c>
      <c r="B1098" s="31" t="s">
        <v>465</v>
      </c>
      <c r="C1098" s="1"/>
      <c r="D1098" s="22"/>
      <c r="E1098" s="22"/>
      <c r="F1098" s="57"/>
      <c r="G1098" s="57"/>
      <c r="H1098" s="57" t="s">
        <v>33</v>
      </c>
      <c r="I1098" s="243" t="s">
        <v>1006</v>
      </c>
      <c r="J1098" s="3">
        <v>92</v>
      </c>
      <c r="K1098" s="3">
        <v>0.81119999999999959</v>
      </c>
      <c r="L1098" s="3">
        <v>175.78859999999989</v>
      </c>
      <c r="M1098" s="3">
        <v>1.9811999999999987</v>
      </c>
      <c r="P1098" s="4">
        <f t="shared" si="330"/>
        <v>0</v>
      </c>
      <c r="R1098" s="3" t="s">
        <v>55</v>
      </c>
      <c r="AE1098" s="23"/>
      <c r="AN1098" s="23"/>
    </row>
    <row r="1099" spans="1:50" ht="15" customHeight="1" x14ac:dyDescent="0.2">
      <c r="A1099" s="31" t="s">
        <v>464</v>
      </c>
      <c r="B1099" s="31" t="s">
        <v>465</v>
      </c>
      <c r="D1099" s="22"/>
      <c r="E1099" s="22"/>
      <c r="F1099" s="57"/>
      <c r="G1099" s="57"/>
      <c r="H1099" s="57" t="s">
        <v>33</v>
      </c>
      <c r="I1099" s="243" t="s">
        <v>1023</v>
      </c>
      <c r="J1099" s="3">
        <v>93</v>
      </c>
      <c r="K1099" s="3">
        <v>0.7</v>
      </c>
      <c r="L1099" s="3">
        <v>151</v>
      </c>
      <c r="M1099" s="3">
        <v>1.7</v>
      </c>
      <c r="P1099" s="4">
        <f t="shared" si="330"/>
        <v>0</v>
      </c>
      <c r="R1099" s="3">
        <v>44.6</v>
      </c>
      <c r="AN1099" s="23"/>
    </row>
    <row r="1100" spans="1:50" ht="15" customHeight="1" x14ac:dyDescent="0.2">
      <c r="A1100" s="31" t="s">
        <v>464</v>
      </c>
      <c r="B1100" s="31" t="s">
        <v>465</v>
      </c>
      <c r="C1100" s="1"/>
      <c r="D1100" s="22"/>
      <c r="E1100" s="22"/>
      <c r="F1100" s="57"/>
      <c r="G1100" s="57"/>
      <c r="H1100" s="57" t="s">
        <v>33</v>
      </c>
      <c r="I1100" s="243" t="s">
        <v>1006</v>
      </c>
      <c r="J1100" s="3">
        <v>94</v>
      </c>
      <c r="K1100" s="3">
        <v>0.87420000000000064</v>
      </c>
      <c r="L1100" s="3">
        <v>93.000000000000085</v>
      </c>
      <c r="M1100" s="3">
        <v>1.5128000000000013</v>
      </c>
      <c r="P1100" s="4">
        <f t="shared" si="330"/>
        <v>0</v>
      </c>
      <c r="R1100" s="3">
        <v>73.104200000000063</v>
      </c>
      <c r="AE1100" s="23"/>
      <c r="AN1100" s="23"/>
    </row>
    <row r="1101" spans="1:50" ht="15" customHeight="1" x14ac:dyDescent="0.2">
      <c r="A1101" s="31" t="s">
        <v>464</v>
      </c>
      <c r="B1101" s="31" t="s">
        <v>465</v>
      </c>
      <c r="C1101" s="1"/>
      <c r="D1101" s="22"/>
      <c r="E1101" s="22"/>
      <c r="F1101" s="57"/>
      <c r="G1101" s="57"/>
      <c r="H1101" s="57" t="s">
        <v>33</v>
      </c>
      <c r="I1101" s="243" t="s">
        <v>1006</v>
      </c>
      <c r="J1101" s="3">
        <v>94</v>
      </c>
      <c r="K1101" s="3">
        <v>0.79999999999999938</v>
      </c>
      <c r="L1101" s="3">
        <v>63.999999999999943</v>
      </c>
      <c r="M1101" s="3">
        <v>1.1007999999999991</v>
      </c>
      <c r="P1101" s="4" t="s">
        <v>0</v>
      </c>
      <c r="R1101" s="3">
        <v>47.481599999999958</v>
      </c>
    </row>
    <row r="1102" spans="1:50" ht="15" customHeight="1" x14ac:dyDescent="0.2">
      <c r="A1102" s="24" t="s">
        <v>464</v>
      </c>
      <c r="B1102" s="24" t="s">
        <v>465</v>
      </c>
      <c r="D1102" s="22"/>
      <c r="E1102" s="22"/>
      <c r="F1102" s="57"/>
      <c r="G1102" s="57"/>
      <c r="H1102" s="57" t="s">
        <v>33</v>
      </c>
      <c r="I1102" s="243" t="s">
        <v>1005</v>
      </c>
      <c r="J1102" s="3">
        <v>92.5</v>
      </c>
      <c r="K1102" s="3">
        <v>1.5</v>
      </c>
      <c r="L1102" s="3">
        <v>170</v>
      </c>
      <c r="M1102" s="3">
        <v>1.1000000000000001</v>
      </c>
      <c r="P1102" s="4">
        <f t="shared" ref="P1102" si="331">AN1102</f>
        <v>0</v>
      </c>
      <c r="R1102" s="3">
        <v>62</v>
      </c>
      <c r="AI1102" s="23"/>
      <c r="AN1102" s="23"/>
    </row>
    <row r="1103" spans="1:50" ht="15" customHeight="1" x14ac:dyDescent="0.2">
      <c r="A1103" s="24" t="s">
        <v>464</v>
      </c>
      <c r="B1103" s="24" t="s">
        <v>465</v>
      </c>
      <c r="D1103" s="22"/>
      <c r="E1103" s="22"/>
      <c r="F1103" s="57"/>
      <c r="G1103" s="57"/>
      <c r="H1103" s="57" t="s">
        <v>33</v>
      </c>
      <c r="I1103" s="243" t="s">
        <v>1004</v>
      </c>
      <c r="K1103" s="3">
        <v>1.1000000000000001</v>
      </c>
      <c r="L1103" s="3">
        <v>182</v>
      </c>
      <c r="N1103" s="3">
        <v>2</v>
      </c>
      <c r="P1103" s="4" t="s">
        <v>0</v>
      </c>
      <c r="R1103" s="3">
        <v>50</v>
      </c>
    </row>
    <row r="1104" spans="1:50" ht="15" customHeight="1" x14ac:dyDescent="0.2">
      <c r="A1104" s="34" t="s">
        <v>464</v>
      </c>
      <c r="B1104" s="34" t="s">
        <v>466</v>
      </c>
      <c r="C1104" s="33"/>
      <c r="D1104" s="22"/>
      <c r="E1104" s="22"/>
      <c r="F1104" s="57"/>
      <c r="G1104" s="57"/>
      <c r="H1104" s="57" t="s">
        <v>33</v>
      </c>
      <c r="I1104" s="245" t="s">
        <v>1010</v>
      </c>
      <c r="J1104" s="36">
        <v>93.5</v>
      </c>
      <c r="K1104" s="36">
        <v>0.85</v>
      </c>
      <c r="L1104" s="36">
        <v>143</v>
      </c>
      <c r="M1104" s="3">
        <v>1.9</v>
      </c>
      <c r="N1104" s="3">
        <v>24</v>
      </c>
      <c r="P1104" s="4">
        <f t="shared" ref="P1104" si="332">AN1104</f>
        <v>0</v>
      </c>
      <c r="R1104" s="36">
        <v>67</v>
      </c>
      <c r="T1104" s="36"/>
      <c r="U1104" s="36"/>
      <c r="V1104" s="36"/>
      <c r="Z1104" s="36"/>
      <c r="AA1104" s="36"/>
      <c r="AB1104" s="36"/>
      <c r="AI1104" s="23"/>
      <c r="AN1104" s="23"/>
    </row>
    <row r="1105" spans="1:50" s="71" customFormat="1" ht="15" customHeight="1" x14ac:dyDescent="0.2">
      <c r="A1105" s="82" t="s">
        <v>464</v>
      </c>
      <c r="B1105" s="82" t="s">
        <v>466</v>
      </c>
      <c r="C1105" s="79" t="s">
        <v>467</v>
      </c>
      <c r="D1105" s="71" t="s">
        <v>173</v>
      </c>
      <c r="E1105" s="71" t="s">
        <v>46</v>
      </c>
      <c r="F1105" s="71" t="s">
        <v>782</v>
      </c>
      <c r="G1105" s="78" t="s">
        <v>71</v>
      </c>
      <c r="H1105" s="71" t="s">
        <v>33</v>
      </c>
      <c r="I1105" s="247"/>
      <c r="J1105" s="83">
        <f t="shared" ref="J1105" si="333">AVERAGE(J1092:J1104)</f>
        <v>92.960999999999999</v>
      </c>
      <c r="K1105" s="83">
        <f t="shared" ref="K1105:S1105" si="334">AVERAGE(K1092:K1104)</f>
        <v>0.92139999999999989</v>
      </c>
      <c r="L1105" s="83">
        <f t="shared" si="334"/>
        <v>141.93904999999998</v>
      </c>
      <c r="M1105" s="83">
        <f t="shared" si="334"/>
        <v>1.7313454545454545</v>
      </c>
      <c r="N1105" s="83">
        <f t="shared" si="334"/>
        <v>20.25</v>
      </c>
      <c r="O1105" s="83">
        <f t="shared" si="334"/>
        <v>0.59500000000000008</v>
      </c>
      <c r="P1105" s="83">
        <f t="shared" si="334"/>
        <v>0</v>
      </c>
      <c r="Q1105" s="83">
        <f t="shared" si="334"/>
        <v>9</v>
      </c>
      <c r="R1105" s="83">
        <f t="shared" si="334"/>
        <v>60.318579999999997</v>
      </c>
      <c r="S1105" s="83">
        <f t="shared" si="334"/>
        <v>1</v>
      </c>
      <c r="T1105" s="83"/>
      <c r="U1105" s="83"/>
      <c r="V1105" s="83"/>
      <c r="W1105" s="83"/>
      <c r="X1105" s="83"/>
      <c r="Y1105" s="83"/>
      <c r="Z1105" s="83"/>
      <c r="AA1105" s="83"/>
      <c r="AB1105" s="83"/>
      <c r="AC1105" s="73"/>
      <c r="AD1105" s="73"/>
      <c r="AE1105" s="73"/>
      <c r="AF1105" s="73"/>
      <c r="AG1105" s="73"/>
      <c r="AH1105" s="73"/>
      <c r="AI1105" s="73"/>
      <c r="AJ1105" s="73"/>
      <c r="AK1105" s="73"/>
      <c r="AL1105" s="73"/>
      <c r="AM1105" s="73"/>
      <c r="AN1105" s="73"/>
      <c r="AO1105" s="73"/>
      <c r="AP1105" s="73"/>
      <c r="AQ1105" s="73"/>
      <c r="AR1105" s="73"/>
      <c r="AS1105" s="73"/>
      <c r="AT1105" s="73"/>
      <c r="AU1105" s="73"/>
      <c r="AV1105" s="73"/>
      <c r="AW1105" s="73"/>
      <c r="AX1105" s="73"/>
    </row>
    <row r="1106" spans="1:50" ht="17" x14ac:dyDescent="0.2">
      <c r="A1106" s="24" t="s">
        <v>468</v>
      </c>
      <c r="B1106" s="24" t="s">
        <v>45</v>
      </c>
      <c r="D1106" s="22"/>
      <c r="E1106" s="22"/>
      <c r="G1106" s="22"/>
      <c r="H1106" s="2" t="s">
        <v>33</v>
      </c>
      <c r="I1106" s="243" t="s">
        <v>1013</v>
      </c>
      <c r="J1106" s="3">
        <v>87.3</v>
      </c>
      <c r="K1106" s="3">
        <v>4.9000000000000004</v>
      </c>
      <c r="L1106" s="3">
        <v>63</v>
      </c>
      <c r="M1106" s="3">
        <v>4.8</v>
      </c>
      <c r="O1106" s="3">
        <v>0.4</v>
      </c>
      <c r="P1106" s="4" t="s">
        <v>0</v>
      </c>
      <c r="R1106" s="3">
        <v>29</v>
      </c>
    </row>
    <row r="1107" spans="1:50" ht="51" x14ac:dyDescent="0.2">
      <c r="A1107" s="31" t="s">
        <v>468</v>
      </c>
      <c r="B1107" s="31" t="s">
        <v>45</v>
      </c>
      <c r="C1107" s="1"/>
      <c r="D1107" s="22"/>
      <c r="E1107" s="22"/>
      <c r="F1107" s="1"/>
      <c r="G1107" s="1"/>
      <c r="H1107" s="1" t="s">
        <v>33</v>
      </c>
      <c r="I1107" s="243" t="s">
        <v>1020</v>
      </c>
      <c r="J1107" s="3">
        <v>86.3</v>
      </c>
      <c r="K1107" s="3">
        <v>7.22</v>
      </c>
      <c r="L1107" s="3">
        <v>142</v>
      </c>
      <c r="M1107" s="3">
        <v>3.46</v>
      </c>
      <c r="N1107" s="3">
        <v>61.8</v>
      </c>
      <c r="O1107" s="3">
        <v>0.95</v>
      </c>
      <c r="Q1107" s="3">
        <v>119</v>
      </c>
      <c r="R1107" s="3">
        <v>0.32100000000000001</v>
      </c>
      <c r="S1107" s="3">
        <v>1.33</v>
      </c>
    </row>
    <row r="1108" spans="1:50" ht="15" customHeight="1" x14ac:dyDescent="0.2">
      <c r="A1108" s="31" t="s">
        <v>468</v>
      </c>
      <c r="B1108" s="31" t="s">
        <v>45</v>
      </c>
      <c r="C1108" s="1"/>
      <c r="D1108" s="22"/>
      <c r="E1108" s="22"/>
      <c r="F1108" s="1"/>
      <c r="G1108" s="1"/>
      <c r="H1108" s="1" t="s">
        <v>33</v>
      </c>
      <c r="I1108" s="243" t="s">
        <v>1006</v>
      </c>
      <c r="J1108" s="3">
        <v>88</v>
      </c>
      <c r="K1108" s="3">
        <v>1.7999999999999998</v>
      </c>
      <c r="L1108" s="3">
        <v>56.003999999999998</v>
      </c>
      <c r="M1108" s="3">
        <v>3.9</v>
      </c>
      <c r="P1108" s="4">
        <f t="shared" ref="P1108:P1109" si="335">AN1108</f>
        <v>0</v>
      </c>
      <c r="R1108" s="3">
        <v>21</v>
      </c>
      <c r="AE1108" s="23"/>
      <c r="AN1108" s="23"/>
    </row>
    <row r="1109" spans="1:50" s="22" customFormat="1" ht="15" customHeight="1" x14ac:dyDescent="0.2">
      <c r="A1109" s="21" t="s">
        <v>468</v>
      </c>
      <c r="B1109" s="21" t="s">
        <v>45</v>
      </c>
      <c r="F1109" s="26"/>
      <c r="G1109" s="26"/>
      <c r="H1109" s="26" t="s">
        <v>33</v>
      </c>
      <c r="I1109" s="65" t="s">
        <v>1004</v>
      </c>
      <c r="J1109" s="4">
        <v>89.4</v>
      </c>
      <c r="K1109" s="4">
        <v>1.8</v>
      </c>
      <c r="L1109" s="4">
        <v>387</v>
      </c>
      <c r="M1109" s="4">
        <v>2.2999999999999998</v>
      </c>
      <c r="N1109" s="4">
        <v>45</v>
      </c>
      <c r="O1109" s="4"/>
      <c r="P1109" s="4">
        <f t="shared" si="335"/>
        <v>0</v>
      </c>
      <c r="Q1109" s="4"/>
      <c r="R1109" s="4">
        <v>1.8</v>
      </c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23"/>
      <c r="AD1109" s="23"/>
      <c r="AE1109" s="23"/>
      <c r="AF1109" s="23"/>
      <c r="AG1109" s="23"/>
      <c r="AH1109" s="23"/>
      <c r="AI1109" s="23"/>
      <c r="AJ1109" s="23"/>
      <c r="AK1109" s="23"/>
      <c r="AL1109" s="23"/>
      <c r="AM1109" s="23"/>
      <c r="AN1109" s="23"/>
      <c r="AO1109" s="23"/>
      <c r="AP1109" s="23"/>
      <c r="AQ1109" s="23"/>
      <c r="AR1109" s="23"/>
      <c r="AS1109" s="23"/>
      <c r="AT1109" s="23"/>
      <c r="AU1109" s="23"/>
      <c r="AV1109" s="23"/>
      <c r="AW1109" s="23"/>
      <c r="AX1109" s="23"/>
    </row>
    <row r="1110" spans="1:50" s="71" customFormat="1" ht="15" customHeight="1" x14ac:dyDescent="0.2">
      <c r="A1110" s="70" t="s">
        <v>468</v>
      </c>
      <c r="B1110" s="70" t="s">
        <v>45</v>
      </c>
      <c r="C1110" s="71" t="s">
        <v>469</v>
      </c>
      <c r="D1110" s="71" t="s">
        <v>31</v>
      </c>
      <c r="E1110" s="78" t="s">
        <v>46</v>
      </c>
      <c r="F1110" s="71" t="s">
        <v>782</v>
      </c>
      <c r="G1110" s="78" t="s">
        <v>71</v>
      </c>
      <c r="H1110" s="78" t="s">
        <v>33</v>
      </c>
      <c r="I1110" s="87"/>
      <c r="J1110" s="72">
        <f t="shared" ref="J1110" si="336">AVERAGE(J1106:J1109)</f>
        <v>87.75</v>
      </c>
      <c r="K1110" s="72">
        <f t="shared" ref="K1110:S1110" si="337">AVERAGE(K1106:K1109)</f>
        <v>3.9300000000000006</v>
      </c>
      <c r="L1110" s="72">
        <f t="shared" si="337"/>
        <v>162.001</v>
      </c>
      <c r="M1110" s="72">
        <f t="shared" si="337"/>
        <v>3.6150000000000002</v>
      </c>
      <c r="N1110" s="72">
        <f t="shared" si="337"/>
        <v>53.4</v>
      </c>
      <c r="O1110" s="72">
        <f t="shared" si="337"/>
        <v>0.67500000000000004</v>
      </c>
      <c r="P1110" s="72">
        <f t="shared" si="337"/>
        <v>0</v>
      </c>
      <c r="Q1110" s="72">
        <f t="shared" si="337"/>
        <v>119</v>
      </c>
      <c r="R1110" s="72">
        <f>AVERAGE(R1106:R1109)</f>
        <v>13.030249999999999</v>
      </c>
      <c r="S1110" s="72">
        <f t="shared" si="337"/>
        <v>1.33</v>
      </c>
      <c r="T1110" s="72"/>
      <c r="U1110" s="72"/>
      <c r="V1110" s="72"/>
      <c r="W1110" s="72"/>
      <c r="X1110" s="72"/>
      <c r="Y1110" s="72"/>
      <c r="Z1110" s="72"/>
      <c r="AA1110" s="72"/>
      <c r="AB1110" s="72"/>
      <c r="AC1110" s="73"/>
      <c r="AD1110" s="73"/>
      <c r="AE1110" s="73"/>
      <c r="AF1110" s="73"/>
      <c r="AG1110" s="73"/>
      <c r="AH1110" s="73"/>
      <c r="AI1110" s="73"/>
      <c r="AJ1110" s="73"/>
      <c r="AK1110" s="73"/>
      <c r="AL1110" s="73"/>
      <c r="AM1110" s="73"/>
      <c r="AN1110" s="73"/>
      <c r="AO1110" s="73"/>
      <c r="AP1110" s="73"/>
      <c r="AQ1110" s="73"/>
      <c r="AR1110" s="73"/>
      <c r="AS1110" s="73"/>
      <c r="AT1110" s="73"/>
      <c r="AU1110" s="73"/>
      <c r="AV1110" s="73"/>
      <c r="AW1110" s="73"/>
      <c r="AX1110" s="73"/>
    </row>
    <row r="1111" spans="1:50" ht="15" customHeight="1" x14ac:dyDescent="0.2">
      <c r="A1111" s="31" t="s">
        <v>470</v>
      </c>
      <c r="B1111" s="31" t="s">
        <v>471</v>
      </c>
      <c r="C1111" s="1"/>
      <c r="D1111" s="22"/>
      <c r="E1111" s="22"/>
      <c r="F1111" s="1"/>
      <c r="G1111" s="1"/>
      <c r="H1111" s="1" t="s">
        <v>33</v>
      </c>
      <c r="I1111" s="243" t="s">
        <v>1006</v>
      </c>
      <c r="J1111" s="3">
        <v>91</v>
      </c>
      <c r="K1111" s="3">
        <v>1.2031999999999998</v>
      </c>
      <c r="L1111" s="3">
        <v>112.99739999999996</v>
      </c>
      <c r="M1111" s="3">
        <v>2.9985999999999988</v>
      </c>
      <c r="P1111" s="4">
        <f t="shared" ref="P1111" si="338">AN1111</f>
        <v>0</v>
      </c>
      <c r="R1111" s="3">
        <v>13.996599999999997</v>
      </c>
      <c r="AE1111" s="23"/>
      <c r="AN1111" s="23"/>
    </row>
    <row r="1112" spans="1:50" ht="15" customHeight="1" x14ac:dyDescent="0.2">
      <c r="A1112" s="24" t="s">
        <v>470</v>
      </c>
      <c r="B1112" s="24" t="s">
        <v>471</v>
      </c>
      <c r="D1112" s="22"/>
      <c r="E1112" s="22"/>
      <c r="F1112" s="1"/>
      <c r="G1112" s="1"/>
      <c r="H1112" s="1" t="s">
        <v>33</v>
      </c>
      <c r="I1112" s="243" t="s">
        <v>1010</v>
      </c>
      <c r="J1112" s="3">
        <v>91.6</v>
      </c>
      <c r="K1112" s="3">
        <v>1</v>
      </c>
      <c r="L1112" s="3">
        <v>138</v>
      </c>
      <c r="M1112" s="3">
        <v>2.2999999999999998</v>
      </c>
      <c r="P1112" s="4" t="s">
        <v>0</v>
      </c>
      <c r="R1112" s="3">
        <v>61</v>
      </c>
    </row>
    <row r="1113" spans="1:50" ht="15" customHeight="1" x14ac:dyDescent="0.2">
      <c r="A1113" s="24" t="s">
        <v>470</v>
      </c>
      <c r="B1113" s="24" t="s">
        <v>471</v>
      </c>
      <c r="D1113" s="22"/>
      <c r="E1113" s="22"/>
      <c r="F1113" s="1"/>
      <c r="G1113" s="1"/>
      <c r="H1113" s="1" t="s">
        <v>33</v>
      </c>
      <c r="I1113" s="243" t="s">
        <v>1020</v>
      </c>
      <c r="J1113" s="3">
        <v>86.8</v>
      </c>
      <c r="K1113" s="3">
        <v>0.96</v>
      </c>
      <c r="L1113" s="3">
        <v>159</v>
      </c>
      <c r="M1113" s="3">
        <v>3.46</v>
      </c>
      <c r="N1113" s="3">
        <v>86.2</v>
      </c>
      <c r="O1113" s="3">
        <v>0.93</v>
      </c>
      <c r="Q1113" s="3">
        <v>126</v>
      </c>
      <c r="R1113" s="3">
        <v>7.0000000000000007E-2</v>
      </c>
      <c r="S1113" s="3">
        <v>0.38</v>
      </c>
    </row>
    <row r="1114" spans="1:50" ht="15" customHeight="1" x14ac:dyDescent="0.2">
      <c r="A1114" s="24" t="s">
        <v>470</v>
      </c>
      <c r="B1114" s="24" t="s">
        <v>471</v>
      </c>
      <c r="D1114" s="22"/>
      <c r="E1114" s="22"/>
      <c r="F1114" s="1"/>
      <c r="G1114" s="1"/>
      <c r="H1114" s="1" t="s">
        <v>33</v>
      </c>
      <c r="I1114" s="243" t="s">
        <v>1004</v>
      </c>
      <c r="J1114" s="3">
        <v>91.6</v>
      </c>
      <c r="K1114" s="3">
        <v>1</v>
      </c>
      <c r="L1114" s="3">
        <v>138</v>
      </c>
      <c r="P1114" s="4">
        <f t="shared" ref="P1114:P1115" si="339">AN1114</f>
        <v>0</v>
      </c>
      <c r="R1114" s="3">
        <v>60.5</v>
      </c>
      <c r="AN1114" s="23"/>
    </row>
    <row r="1115" spans="1:50" ht="15" customHeight="1" x14ac:dyDescent="0.2">
      <c r="A1115" s="34" t="s">
        <v>472</v>
      </c>
      <c r="B1115" s="34" t="s">
        <v>471</v>
      </c>
      <c r="C1115" s="33"/>
      <c r="D1115" s="22"/>
      <c r="E1115" s="22"/>
      <c r="F1115" s="1"/>
      <c r="G1115" s="1"/>
      <c r="H1115" s="1" t="s">
        <v>33</v>
      </c>
      <c r="I1115" s="245" t="s">
        <v>1009</v>
      </c>
      <c r="J1115" s="36"/>
      <c r="K1115" s="36">
        <v>1.25</v>
      </c>
      <c r="L1115" s="36">
        <v>239</v>
      </c>
      <c r="M1115" s="36">
        <v>5.87</v>
      </c>
      <c r="N1115" s="36"/>
      <c r="O1115" s="3">
        <v>0.37</v>
      </c>
      <c r="P1115" s="4">
        <f t="shared" si="339"/>
        <v>0</v>
      </c>
      <c r="Q1115" s="36"/>
      <c r="R1115" s="3">
        <v>33</v>
      </c>
      <c r="T1115" s="36"/>
      <c r="U1115" s="36"/>
      <c r="V1115" s="36"/>
      <c r="W1115" s="36"/>
      <c r="X1115" s="36"/>
      <c r="Y1115" s="36"/>
      <c r="Z1115" s="36"/>
      <c r="AA1115" s="36"/>
      <c r="AB1115" s="36"/>
      <c r="AN1115" s="23"/>
    </row>
    <row r="1116" spans="1:50" ht="15" customHeight="1" x14ac:dyDescent="0.2">
      <c r="A1116" s="34" t="s">
        <v>472</v>
      </c>
      <c r="B1116" s="34" t="s">
        <v>471</v>
      </c>
      <c r="C1116" s="33"/>
      <c r="D1116" s="22"/>
      <c r="E1116" s="22"/>
      <c r="F1116" s="1"/>
      <c r="G1116" s="1"/>
      <c r="H1116" s="1" t="s">
        <v>33</v>
      </c>
      <c r="I1116" s="65" t="s">
        <v>1022</v>
      </c>
      <c r="J1116" s="36">
        <v>93.4</v>
      </c>
      <c r="K1116" s="36">
        <v>2.5</v>
      </c>
      <c r="L1116" s="36">
        <v>34</v>
      </c>
      <c r="M1116" s="36">
        <v>1.6</v>
      </c>
      <c r="N1116" s="36">
        <v>24</v>
      </c>
      <c r="O1116" s="3">
        <v>0.3</v>
      </c>
      <c r="P1116" s="4" t="s">
        <v>0</v>
      </c>
      <c r="Q1116" s="36">
        <v>110</v>
      </c>
      <c r="R1116" s="3">
        <v>20</v>
      </c>
      <c r="S1116" s="3">
        <v>1.6</v>
      </c>
      <c r="T1116" s="36"/>
      <c r="U1116" s="36"/>
      <c r="V1116" s="36"/>
      <c r="W1116" s="36"/>
      <c r="X1116" s="36"/>
      <c r="Y1116" s="36"/>
      <c r="Z1116" s="36"/>
      <c r="AA1116" s="36"/>
      <c r="AB1116" s="36"/>
    </row>
    <row r="1117" spans="1:50" ht="15" customHeight="1" x14ac:dyDescent="0.2">
      <c r="A1117" s="24" t="s">
        <v>472</v>
      </c>
      <c r="B1117" s="24" t="s">
        <v>471</v>
      </c>
      <c r="D1117" s="22"/>
      <c r="E1117" s="22"/>
      <c r="F1117" s="1"/>
      <c r="G1117" s="1"/>
      <c r="H1117" s="1" t="s">
        <v>33</v>
      </c>
      <c r="I1117" s="243" t="s">
        <v>1009</v>
      </c>
      <c r="K1117" s="3">
        <v>0.96</v>
      </c>
      <c r="L1117" s="3">
        <v>194</v>
      </c>
      <c r="M1117" s="3">
        <v>4.2300000000000004</v>
      </c>
      <c r="P1117" s="4">
        <f t="shared" ref="P1117" si="340">AN1117</f>
        <v>0</v>
      </c>
      <c r="R1117" s="3">
        <v>19</v>
      </c>
      <c r="AN1117" s="23"/>
    </row>
    <row r="1118" spans="1:50" s="71" customFormat="1" ht="15" customHeight="1" x14ac:dyDescent="0.2">
      <c r="A1118" s="70" t="s">
        <v>472</v>
      </c>
      <c r="B1118" s="70" t="s">
        <v>471</v>
      </c>
      <c r="C1118" s="71" t="s">
        <v>473</v>
      </c>
      <c r="D1118" s="71" t="s">
        <v>31</v>
      </c>
      <c r="E1118" s="78" t="s">
        <v>46</v>
      </c>
      <c r="F1118" s="71" t="s">
        <v>782</v>
      </c>
      <c r="G1118" s="78" t="s">
        <v>71</v>
      </c>
      <c r="H1118" s="78" t="s">
        <v>33</v>
      </c>
      <c r="I1118" s="87"/>
      <c r="J1118" s="72">
        <f t="shared" ref="J1118" si="341">AVERAGE(J1111:J1117)</f>
        <v>90.88</v>
      </c>
      <c r="K1118" s="72">
        <f t="shared" ref="K1118:S1118" si="342">AVERAGE(K1111:K1117)</f>
        <v>1.2676000000000001</v>
      </c>
      <c r="L1118" s="72">
        <f t="shared" si="342"/>
        <v>144.99962857142856</v>
      </c>
      <c r="M1118" s="72">
        <f t="shared" si="342"/>
        <v>3.4097666666666666</v>
      </c>
      <c r="N1118" s="72">
        <f t="shared" si="342"/>
        <v>55.1</v>
      </c>
      <c r="O1118" s="72">
        <f t="shared" si="342"/>
        <v>0.53333333333333333</v>
      </c>
      <c r="P1118" s="72">
        <f t="shared" si="342"/>
        <v>0</v>
      </c>
      <c r="Q1118" s="72">
        <f t="shared" si="342"/>
        <v>118</v>
      </c>
      <c r="R1118" s="72">
        <f>AVERAGE(R1111:R1117)</f>
        <v>29.652371428571428</v>
      </c>
      <c r="S1118" s="72">
        <f t="shared" si="342"/>
        <v>0.99</v>
      </c>
      <c r="T1118" s="72"/>
      <c r="U1118" s="72"/>
      <c r="V1118" s="72"/>
      <c r="W1118" s="72"/>
      <c r="X1118" s="72"/>
      <c r="Y1118" s="72"/>
      <c r="Z1118" s="72"/>
      <c r="AA1118" s="72"/>
      <c r="AB1118" s="72"/>
      <c r="AC1118" s="73"/>
      <c r="AD1118" s="73"/>
      <c r="AE1118" s="73"/>
      <c r="AF1118" s="73"/>
      <c r="AG1118" s="73"/>
      <c r="AH1118" s="73"/>
      <c r="AI1118" s="73"/>
      <c r="AJ1118" s="73"/>
      <c r="AK1118" s="73"/>
      <c r="AL1118" s="73"/>
      <c r="AM1118" s="73"/>
      <c r="AN1118" s="73"/>
      <c r="AO1118" s="73"/>
      <c r="AP1118" s="73"/>
      <c r="AQ1118" s="73"/>
      <c r="AR1118" s="73"/>
      <c r="AS1118" s="73"/>
      <c r="AT1118" s="73"/>
      <c r="AU1118" s="73"/>
      <c r="AV1118" s="73"/>
      <c r="AW1118" s="73"/>
      <c r="AX1118" s="73"/>
    </row>
    <row r="1119" spans="1:50" ht="15" customHeight="1" x14ac:dyDescent="0.2">
      <c r="A1119" s="24" t="s">
        <v>761</v>
      </c>
      <c r="B1119" s="24" t="s">
        <v>762</v>
      </c>
      <c r="D1119" s="22"/>
      <c r="E1119" s="22"/>
      <c r="H1119" s="2" t="s">
        <v>28</v>
      </c>
      <c r="I1119" s="243" t="s">
        <v>1027</v>
      </c>
      <c r="J1119" s="3">
        <f>100-18.7</f>
        <v>81.3</v>
      </c>
      <c r="L1119" s="3">
        <v>30</v>
      </c>
      <c r="M1119" s="3">
        <v>1.4</v>
      </c>
      <c r="N1119" s="3">
        <v>12</v>
      </c>
      <c r="O1119" s="3">
        <v>0.26</v>
      </c>
      <c r="P1119" s="4" t="s">
        <v>0</v>
      </c>
    </row>
    <row r="1120" spans="1:50" s="71" customFormat="1" ht="15" customHeight="1" x14ac:dyDescent="0.2">
      <c r="A1120" s="70" t="s">
        <v>761</v>
      </c>
      <c r="B1120" s="70" t="s">
        <v>762</v>
      </c>
      <c r="C1120" s="71" t="s">
        <v>763</v>
      </c>
      <c r="D1120" s="71" t="s">
        <v>31</v>
      </c>
      <c r="E1120" s="71" t="s">
        <v>32</v>
      </c>
      <c r="F1120" s="71" t="s">
        <v>780</v>
      </c>
      <c r="H1120" s="71" t="s">
        <v>28</v>
      </c>
      <c r="I1120" s="87"/>
      <c r="J1120" s="72">
        <f>J1119</f>
        <v>81.3</v>
      </c>
      <c r="K1120" s="72"/>
      <c r="L1120" s="72">
        <f>L1119</f>
        <v>30</v>
      </c>
      <c r="M1120" s="72">
        <f>M1119</f>
        <v>1.4</v>
      </c>
      <c r="N1120" s="72">
        <f>N1119</f>
        <v>12</v>
      </c>
      <c r="O1120" s="72">
        <f>O1119</f>
        <v>0.26</v>
      </c>
      <c r="P1120" s="72"/>
      <c r="Q1120" s="72"/>
      <c r="R1120" s="72"/>
      <c r="S1120" s="72"/>
      <c r="T1120" s="72"/>
      <c r="U1120" s="72"/>
      <c r="V1120" s="72"/>
      <c r="W1120" s="72"/>
      <c r="X1120" s="72"/>
      <c r="Y1120" s="72"/>
      <c r="Z1120" s="72"/>
      <c r="AA1120" s="72"/>
      <c r="AB1120" s="72"/>
      <c r="AC1120" s="73"/>
      <c r="AD1120" s="73"/>
      <c r="AE1120" s="73"/>
      <c r="AF1120" s="73"/>
      <c r="AG1120" s="73"/>
      <c r="AH1120" s="73"/>
      <c r="AI1120" s="73"/>
      <c r="AJ1120" s="73"/>
      <c r="AK1120" s="73"/>
      <c r="AL1120" s="73"/>
      <c r="AM1120" s="73"/>
      <c r="AN1120" s="73"/>
      <c r="AO1120" s="73"/>
      <c r="AP1120" s="73"/>
      <c r="AQ1120" s="73"/>
      <c r="AR1120" s="73"/>
      <c r="AS1120" s="73"/>
      <c r="AT1120" s="73"/>
      <c r="AU1120" s="73"/>
      <c r="AV1120" s="73"/>
      <c r="AW1120" s="73"/>
      <c r="AX1120" s="73"/>
    </row>
    <row r="1121" spans="1:50" s="30" customFormat="1" ht="15" customHeight="1" x14ac:dyDescent="0.2">
      <c r="A1121" s="40" t="s">
        <v>474</v>
      </c>
      <c r="B1121" s="40" t="s">
        <v>475</v>
      </c>
      <c r="C1121" s="41" t="s">
        <v>0</v>
      </c>
      <c r="D1121" s="22"/>
      <c r="E1121" s="22"/>
      <c r="F1121" s="41"/>
      <c r="G1121" s="59"/>
      <c r="H1121" s="26" t="s">
        <v>28</v>
      </c>
      <c r="I1121" s="65" t="s">
        <v>1006</v>
      </c>
      <c r="J1121" s="39">
        <v>78.2</v>
      </c>
      <c r="K1121" s="39">
        <v>1.3</v>
      </c>
      <c r="L1121" s="39">
        <v>61</v>
      </c>
      <c r="M1121" s="39">
        <v>1.6</v>
      </c>
      <c r="N1121" s="39"/>
      <c r="O1121" s="39"/>
      <c r="P1121" s="4" t="s">
        <v>0</v>
      </c>
      <c r="Q1121" s="39"/>
      <c r="R1121" s="39"/>
      <c r="S1121" s="39"/>
      <c r="T1121" s="39"/>
      <c r="U1121" s="39"/>
      <c r="V1121" s="39"/>
      <c r="W1121" s="39"/>
      <c r="X1121" s="39"/>
      <c r="Y1121" s="39"/>
      <c r="Z1121" s="39"/>
      <c r="AA1121" s="39"/>
      <c r="AB1121" s="3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</row>
    <row r="1122" spans="1:50" s="41" customFormat="1" ht="15" customHeight="1" x14ac:dyDescent="0.2">
      <c r="A1122" s="40" t="s">
        <v>474</v>
      </c>
      <c r="B1122" s="40" t="s">
        <v>475</v>
      </c>
      <c r="C1122" s="41" t="s">
        <v>0</v>
      </c>
      <c r="D1122" s="22"/>
      <c r="E1122" s="22"/>
      <c r="H1122" s="41" t="s">
        <v>476</v>
      </c>
      <c r="I1122" s="248" t="s">
        <v>1007</v>
      </c>
      <c r="J1122" s="43">
        <v>75.3</v>
      </c>
      <c r="K1122" s="43"/>
      <c r="L1122" s="43">
        <v>52</v>
      </c>
      <c r="M1122" s="43">
        <v>0.49</v>
      </c>
      <c r="N1122" s="43">
        <v>11</v>
      </c>
      <c r="O1122" s="43"/>
      <c r="P1122" s="4">
        <f t="shared" ref="P1122" si="343">AN1122</f>
        <v>0</v>
      </c>
      <c r="Q1122" s="43">
        <v>3</v>
      </c>
      <c r="R1122" s="43"/>
      <c r="S1122" s="43">
        <v>3.81</v>
      </c>
      <c r="T1122" s="43"/>
      <c r="U1122" s="43"/>
      <c r="V1122" s="43"/>
      <c r="W1122" s="43"/>
      <c r="X1122" s="43"/>
      <c r="Y1122" s="43"/>
      <c r="Z1122" s="43"/>
      <c r="AA1122" s="43"/>
      <c r="AB1122" s="43"/>
      <c r="AC1122" s="44"/>
      <c r="AD1122" s="44"/>
      <c r="AE1122" s="44"/>
      <c r="AF1122" s="44"/>
      <c r="AG1122" s="44"/>
      <c r="AH1122" s="44"/>
      <c r="AI1122" s="23"/>
      <c r="AJ1122" s="44"/>
      <c r="AK1122" s="44"/>
      <c r="AL1122" s="44"/>
      <c r="AM1122" s="44"/>
      <c r="AN1122" s="23"/>
      <c r="AO1122" s="44"/>
      <c r="AP1122" s="44"/>
      <c r="AQ1122" s="44"/>
      <c r="AR1122" s="44"/>
      <c r="AS1122" s="44"/>
      <c r="AT1122" s="44"/>
      <c r="AU1122" s="44"/>
      <c r="AV1122" s="44"/>
      <c r="AW1122" s="44"/>
      <c r="AX1122" s="44"/>
    </row>
    <row r="1123" spans="1:50" s="71" customFormat="1" ht="15" customHeight="1" x14ac:dyDescent="0.2">
      <c r="A1123" s="70" t="s">
        <v>474</v>
      </c>
      <c r="B1123" s="70" t="s">
        <v>475</v>
      </c>
      <c r="C1123" s="71" t="s">
        <v>477</v>
      </c>
      <c r="D1123" s="71" t="s">
        <v>31</v>
      </c>
      <c r="E1123" s="71" t="s">
        <v>32</v>
      </c>
      <c r="F1123" s="71" t="s">
        <v>781</v>
      </c>
      <c r="H1123" s="71" t="s">
        <v>28</v>
      </c>
      <c r="I1123" s="87"/>
      <c r="J1123" s="72">
        <f t="shared" ref="J1123" si="344">AVERAGE(J1121:J1122)</f>
        <v>76.75</v>
      </c>
      <c r="K1123" s="72">
        <f>AVERAGE(K1121:K1122)</f>
        <v>1.3</v>
      </c>
      <c r="L1123" s="72">
        <f>AVERAGE(L1121:L1122)</f>
        <v>56.5</v>
      </c>
      <c r="M1123" s="72">
        <f>AVERAGE(M1121:M1122)</f>
        <v>1.0449999999999999</v>
      </c>
      <c r="N1123" s="72">
        <f>AVERAGE(N1121:N1122)</f>
        <v>11</v>
      </c>
      <c r="O1123" s="72"/>
      <c r="P1123" s="72">
        <f>AVERAGE(P1121:P1122)</f>
        <v>0</v>
      </c>
      <c r="Q1123" s="72">
        <f>AVERAGE(Q1121:Q1122)</f>
        <v>3</v>
      </c>
      <c r="R1123" s="72"/>
      <c r="S1123" s="72">
        <f>AVERAGE(S1121:S1122)</f>
        <v>3.81</v>
      </c>
      <c r="T1123" s="72"/>
      <c r="U1123" s="72"/>
      <c r="V1123" s="72"/>
      <c r="W1123" s="72"/>
      <c r="X1123" s="72"/>
      <c r="Y1123" s="72"/>
      <c r="Z1123" s="72"/>
      <c r="AA1123" s="72"/>
      <c r="AB1123" s="72"/>
      <c r="AC1123" s="73"/>
      <c r="AD1123" s="73"/>
      <c r="AE1123" s="73"/>
      <c r="AF1123" s="73"/>
      <c r="AG1123" s="73"/>
      <c r="AH1123" s="73"/>
      <c r="AI1123" s="73"/>
      <c r="AJ1123" s="73"/>
      <c r="AK1123" s="73"/>
      <c r="AL1123" s="73"/>
      <c r="AM1123" s="73"/>
      <c r="AN1123" s="73"/>
      <c r="AO1123" s="73"/>
      <c r="AP1123" s="73"/>
      <c r="AQ1123" s="73"/>
      <c r="AR1123" s="73"/>
      <c r="AS1123" s="73"/>
      <c r="AT1123" s="73"/>
      <c r="AU1123" s="73"/>
      <c r="AV1123" s="73"/>
      <c r="AW1123" s="73"/>
      <c r="AX1123" s="73"/>
    </row>
    <row r="1124" spans="1:50" ht="15" customHeight="1" x14ac:dyDescent="0.2">
      <c r="A1124" s="24" t="s">
        <v>478</v>
      </c>
      <c r="B1124" s="24" t="s">
        <v>479</v>
      </c>
      <c r="C1124" s="32" t="s">
        <v>0</v>
      </c>
      <c r="D1124" s="22"/>
      <c r="E1124" s="22"/>
      <c r="H1124" s="2" t="s">
        <v>33</v>
      </c>
      <c r="I1124" s="243" t="s">
        <v>1007</v>
      </c>
      <c r="J1124" s="3">
        <v>94.12</v>
      </c>
      <c r="K1124" s="3">
        <v>2.2000000000000002</v>
      </c>
      <c r="L1124" s="3">
        <v>164</v>
      </c>
      <c r="M1124" s="3">
        <v>0.59</v>
      </c>
      <c r="N1124" s="3">
        <v>52</v>
      </c>
      <c r="O1124" s="3">
        <v>0.25</v>
      </c>
      <c r="P1124" s="4">
        <f t="shared" ref="P1124" si="345">AN1124</f>
        <v>0</v>
      </c>
      <c r="Q1124" s="3">
        <v>3</v>
      </c>
      <c r="R1124" s="3">
        <v>9.3000000000000007</v>
      </c>
      <c r="S1124" s="3">
        <v>0</v>
      </c>
      <c r="AI1124" s="23"/>
      <c r="AN1124" s="23"/>
    </row>
    <row r="1125" spans="1:50" ht="15" customHeight="1" x14ac:dyDescent="0.2">
      <c r="A1125" s="24" t="s">
        <v>478</v>
      </c>
      <c r="B1125" s="24" t="s">
        <v>479</v>
      </c>
      <c r="C1125" s="32" t="s">
        <v>0</v>
      </c>
      <c r="D1125" s="22"/>
      <c r="E1125" s="22"/>
      <c r="H1125" s="2" t="s">
        <v>33</v>
      </c>
      <c r="I1125" s="243" t="s">
        <v>1026</v>
      </c>
      <c r="J1125" s="3">
        <v>90.1</v>
      </c>
      <c r="K1125" s="3">
        <v>3.5</v>
      </c>
      <c r="L1125" s="3">
        <v>87</v>
      </c>
      <c r="M1125" s="3">
        <v>0.2</v>
      </c>
      <c r="N1125" s="3">
        <v>53</v>
      </c>
      <c r="O1125" s="3">
        <v>0.14000000000000001</v>
      </c>
      <c r="P1125" s="4">
        <f>130/1000</f>
        <v>0.13</v>
      </c>
      <c r="R1125" s="3">
        <v>8</v>
      </c>
      <c r="AI1125" s="23"/>
      <c r="AN1125" s="23"/>
    </row>
    <row r="1126" spans="1:50" ht="15" customHeight="1" x14ac:dyDescent="0.2">
      <c r="A1126" s="24" t="s">
        <v>478</v>
      </c>
      <c r="B1126" s="24" t="s">
        <v>479</v>
      </c>
      <c r="C1126" s="32" t="s">
        <v>0</v>
      </c>
      <c r="D1126" s="22"/>
      <c r="E1126" s="22"/>
      <c r="H1126" s="2" t="s">
        <v>33</v>
      </c>
      <c r="I1126" s="243" t="s">
        <v>1026</v>
      </c>
      <c r="J1126" s="3">
        <v>90.1</v>
      </c>
      <c r="K1126" s="3">
        <v>0.79</v>
      </c>
      <c r="L1126" s="3">
        <v>87</v>
      </c>
      <c r="M1126" s="3">
        <v>0.2</v>
      </c>
      <c r="N1126" s="3">
        <v>53</v>
      </c>
      <c r="O1126" s="3">
        <v>0.14000000000000001</v>
      </c>
      <c r="P1126" s="4">
        <v>0.13</v>
      </c>
      <c r="R1126" s="3">
        <v>8</v>
      </c>
      <c r="AI1126" s="23"/>
      <c r="AN1126" s="23"/>
    </row>
    <row r="1127" spans="1:50" ht="15" customHeight="1" x14ac:dyDescent="0.2">
      <c r="A1127" s="24" t="s">
        <v>478</v>
      </c>
      <c r="B1127" s="24" t="s">
        <v>479</v>
      </c>
      <c r="D1127" s="22"/>
      <c r="E1127" s="22"/>
      <c r="H1127" s="2" t="s">
        <v>33</v>
      </c>
      <c r="I1127" s="243" t="s">
        <v>1010</v>
      </c>
      <c r="J1127" s="3">
        <v>91.9</v>
      </c>
      <c r="K1127" s="3">
        <v>2.1</v>
      </c>
      <c r="L1127" s="3">
        <v>110</v>
      </c>
      <c r="M1127" s="3">
        <v>1.4</v>
      </c>
      <c r="P1127" s="4" t="s">
        <v>0</v>
      </c>
      <c r="R1127" s="3">
        <v>21</v>
      </c>
    </row>
    <row r="1128" spans="1:50" s="71" customFormat="1" ht="15" customHeight="1" x14ac:dyDescent="0.2">
      <c r="A1128" s="70" t="s">
        <v>478</v>
      </c>
      <c r="B1128" s="70" t="s">
        <v>479</v>
      </c>
      <c r="C1128" s="71" t="s">
        <v>480</v>
      </c>
      <c r="D1128" s="71" t="s">
        <v>31</v>
      </c>
      <c r="E1128" s="71" t="s">
        <v>32</v>
      </c>
      <c r="F1128" s="71" t="s">
        <v>886</v>
      </c>
      <c r="H1128" s="71" t="s">
        <v>33</v>
      </c>
      <c r="I1128" s="87"/>
      <c r="J1128" s="72">
        <f t="shared" ref="J1128" si="346">AVERAGE(J1124:J1127)</f>
        <v>91.555000000000007</v>
      </c>
      <c r="K1128" s="72">
        <f>AVERAGE(K1124:K1127)</f>
        <v>2.1475</v>
      </c>
      <c r="L1128" s="72">
        <f t="shared" ref="L1128:S1128" si="347">AVERAGE(L1124:L1127)</f>
        <v>112</v>
      </c>
      <c r="M1128" s="72">
        <f t="shared" si="347"/>
        <v>0.59749999999999992</v>
      </c>
      <c r="N1128" s="72">
        <f t="shared" si="347"/>
        <v>52.666666666666664</v>
      </c>
      <c r="O1128" s="72">
        <f t="shared" si="347"/>
        <v>0.17666666666666667</v>
      </c>
      <c r="P1128" s="72">
        <f t="shared" si="347"/>
        <v>8.666666666666667E-2</v>
      </c>
      <c r="Q1128" s="72">
        <f t="shared" si="347"/>
        <v>3</v>
      </c>
      <c r="R1128" s="72">
        <f t="shared" si="347"/>
        <v>11.574999999999999</v>
      </c>
      <c r="S1128" s="72">
        <f t="shared" si="347"/>
        <v>0</v>
      </c>
      <c r="T1128" s="72"/>
      <c r="U1128" s="72"/>
      <c r="V1128" s="72"/>
      <c r="W1128" s="72"/>
      <c r="X1128" s="72"/>
      <c r="Y1128" s="72"/>
      <c r="Z1128" s="72"/>
      <c r="AA1128" s="72"/>
      <c r="AB1128" s="72"/>
      <c r="AC1128" s="73"/>
      <c r="AD1128" s="73"/>
      <c r="AE1128" s="73"/>
      <c r="AF1128" s="73"/>
      <c r="AG1128" s="73"/>
      <c r="AH1128" s="73"/>
      <c r="AI1128" s="73"/>
      <c r="AJ1128" s="73"/>
      <c r="AK1128" s="73"/>
      <c r="AL1128" s="73"/>
      <c r="AM1128" s="73"/>
      <c r="AN1128" s="73"/>
      <c r="AO1128" s="73"/>
      <c r="AP1128" s="73"/>
      <c r="AQ1128" s="73"/>
      <c r="AR1128" s="73"/>
      <c r="AS1128" s="73"/>
      <c r="AT1128" s="73"/>
      <c r="AU1128" s="73"/>
      <c r="AV1128" s="73"/>
      <c r="AW1128" s="73"/>
      <c r="AX1128" s="73"/>
    </row>
    <row r="1129" spans="1:50" s="22" customFormat="1" ht="15" customHeight="1" x14ac:dyDescent="0.2">
      <c r="A1129" s="21" t="s">
        <v>478</v>
      </c>
      <c r="B1129" s="21" t="s">
        <v>898</v>
      </c>
      <c r="H1129" s="22" t="s">
        <v>284</v>
      </c>
      <c r="I1129" s="65" t="s">
        <v>1026</v>
      </c>
      <c r="J1129" s="4">
        <v>86.3</v>
      </c>
      <c r="K1129" s="4">
        <v>2.2999999999999998</v>
      </c>
      <c r="L1129" s="4">
        <v>126</v>
      </c>
      <c r="M1129" s="4">
        <v>0.3</v>
      </c>
      <c r="N1129" s="4"/>
      <c r="O1129" s="4"/>
      <c r="P1129" s="4">
        <f>2/1000</f>
        <v>2E-3</v>
      </c>
      <c r="Q1129" s="4"/>
      <c r="R1129" s="4">
        <v>22</v>
      </c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23"/>
      <c r="AD1129" s="23"/>
      <c r="AE1129" s="23"/>
      <c r="AF1129" s="23"/>
      <c r="AG1129" s="23"/>
      <c r="AH1129" s="23"/>
      <c r="AI1129" s="23"/>
      <c r="AJ1129" s="23"/>
      <c r="AK1129" s="23"/>
      <c r="AL1129" s="23"/>
      <c r="AM1129" s="23"/>
      <c r="AN1129" s="23"/>
      <c r="AO1129" s="23"/>
      <c r="AP1129" s="23"/>
      <c r="AQ1129" s="23"/>
      <c r="AR1129" s="23"/>
      <c r="AS1129" s="23"/>
      <c r="AT1129" s="23"/>
      <c r="AU1129" s="23"/>
      <c r="AV1129" s="23"/>
      <c r="AW1129" s="23"/>
      <c r="AX1129" s="23"/>
    </row>
    <row r="1130" spans="1:50" s="22" customFormat="1" ht="15" customHeight="1" x14ac:dyDescent="0.2">
      <c r="A1130" s="21" t="s">
        <v>478</v>
      </c>
      <c r="B1130" s="21" t="s">
        <v>898</v>
      </c>
      <c r="H1130" s="22" t="s">
        <v>284</v>
      </c>
      <c r="I1130" s="65" t="s">
        <v>1026</v>
      </c>
      <c r="J1130" s="4">
        <v>88.5</v>
      </c>
      <c r="K1130" s="4">
        <v>3.4</v>
      </c>
      <c r="L1130" s="4">
        <v>126</v>
      </c>
      <c r="M1130" s="4">
        <v>0.3</v>
      </c>
      <c r="N1130" s="4"/>
      <c r="O1130" s="4"/>
      <c r="P1130" s="4">
        <f>2/1000</f>
        <v>2E-3</v>
      </c>
      <c r="Q1130" s="4"/>
      <c r="R1130" s="4">
        <v>22</v>
      </c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23"/>
      <c r="AD1130" s="23"/>
      <c r="AE1130" s="23"/>
      <c r="AF1130" s="23"/>
      <c r="AG1130" s="23"/>
      <c r="AH1130" s="23"/>
      <c r="AI1130" s="23"/>
      <c r="AJ1130" s="23"/>
      <c r="AK1130" s="23"/>
      <c r="AL1130" s="23"/>
      <c r="AM1130" s="23"/>
      <c r="AN1130" s="23"/>
      <c r="AO1130" s="23"/>
      <c r="AP1130" s="23"/>
      <c r="AQ1130" s="23"/>
      <c r="AR1130" s="23"/>
      <c r="AS1130" s="23"/>
      <c r="AT1130" s="23"/>
      <c r="AU1130" s="23"/>
      <c r="AV1130" s="23"/>
      <c r="AW1130" s="23"/>
      <c r="AX1130" s="23"/>
    </row>
    <row r="1131" spans="1:50" s="71" customFormat="1" ht="15" customHeight="1" x14ac:dyDescent="0.2">
      <c r="A1131" s="70" t="s">
        <v>478</v>
      </c>
      <c r="B1131" s="70" t="s">
        <v>898</v>
      </c>
      <c r="C1131" s="71" t="s">
        <v>899</v>
      </c>
      <c r="D1131" s="71" t="s">
        <v>31</v>
      </c>
      <c r="E1131" s="71" t="s">
        <v>32</v>
      </c>
      <c r="F1131" s="71" t="s">
        <v>886</v>
      </c>
      <c r="H1131" s="71" t="s">
        <v>28</v>
      </c>
      <c r="I1131" s="87"/>
      <c r="J1131" s="72">
        <f>J1130</f>
        <v>88.5</v>
      </c>
      <c r="K1131" s="72">
        <f>K1130</f>
        <v>3.4</v>
      </c>
      <c r="L1131" s="72">
        <f>L1130</f>
        <v>126</v>
      </c>
      <c r="M1131" s="72">
        <f>M1130</f>
        <v>0.3</v>
      </c>
      <c r="N1131" s="72"/>
      <c r="O1131" s="72"/>
      <c r="P1131" s="72">
        <f>P1130</f>
        <v>2E-3</v>
      </c>
      <c r="Q1131" s="72"/>
      <c r="R1131" s="72">
        <f>R1130</f>
        <v>22</v>
      </c>
      <c r="S1131" s="72"/>
      <c r="T1131" s="72"/>
      <c r="U1131" s="72"/>
      <c r="V1131" s="72"/>
      <c r="W1131" s="72"/>
      <c r="X1131" s="72"/>
      <c r="Y1131" s="72"/>
      <c r="Z1131" s="72"/>
      <c r="AA1131" s="72"/>
      <c r="AB1131" s="72"/>
      <c r="AC1131" s="73"/>
      <c r="AD1131" s="73"/>
      <c r="AE1131" s="73"/>
      <c r="AF1131" s="73"/>
      <c r="AG1131" s="73"/>
      <c r="AH1131" s="73"/>
      <c r="AI1131" s="73"/>
      <c r="AJ1131" s="73"/>
      <c r="AK1131" s="73"/>
      <c r="AL1131" s="73"/>
      <c r="AM1131" s="73"/>
      <c r="AN1131" s="73"/>
      <c r="AO1131" s="73"/>
      <c r="AP1131" s="73"/>
      <c r="AQ1131" s="73"/>
      <c r="AR1131" s="73"/>
      <c r="AS1131" s="73"/>
      <c r="AT1131" s="73"/>
      <c r="AU1131" s="73"/>
      <c r="AV1131" s="73"/>
      <c r="AW1131" s="73"/>
      <c r="AX1131" s="73"/>
    </row>
    <row r="1132" spans="1:50" s="22" customFormat="1" ht="15" customHeight="1" x14ac:dyDescent="0.2">
      <c r="A1132" s="21" t="s">
        <v>478</v>
      </c>
      <c r="B1132" s="21" t="s">
        <v>891</v>
      </c>
      <c r="F1132" s="22" t="s">
        <v>0</v>
      </c>
      <c r="H1132" s="22" t="s">
        <v>33</v>
      </c>
      <c r="I1132" s="65" t="s">
        <v>1037</v>
      </c>
      <c r="J1132" s="4">
        <v>89.22</v>
      </c>
      <c r="K1132" s="4">
        <v>5.3</v>
      </c>
      <c r="L1132" s="4">
        <v>180</v>
      </c>
      <c r="M1132" s="4">
        <v>0.2</v>
      </c>
      <c r="N1132" s="4">
        <v>69</v>
      </c>
      <c r="O1132" s="4">
        <v>0.13800000000000001</v>
      </c>
      <c r="P1132" s="4"/>
      <c r="Q1132" s="4"/>
      <c r="R1132" s="4">
        <v>11.3</v>
      </c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23"/>
      <c r="AD1132" s="23"/>
      <c r="AE1132" s="23"/>
      <c r="AF1132" s="23"/>
      <c r="AG1132" s="23"/>
      <c r="AH1132" s="23"/>
      <c r="AI1132" s="23"/>
      <c r="AJ1132" s="23"/>
      <c r="AK1132" s="23"/>
      <c r="AL1132" s="23"/>
      <c r="AM1132" s="23"/>
      <c r="AN1132" s="23"/>
      <c r="AO1132" s="23"/>
      <c r="AP1132" s="23"/>
      <c r="AQ1132" s="23"/>
      <c r="AR1132" s="23"/>
      <c r="AS1132" s="23"/>
      <c r="AT1132" s="23"/>
      <c r="AU1132" s="23"/>
      <c r="AV1132" s="23"/>
      <c r="AW1132" s="23"/>
      <c r="AX1132" s="23"/>
    </row>
    <row r="1133" spans="1:50" s="71" customFormat="1" ht="15" customHeight="1" x14ac:dyDescent="0.2">
      <c r="A1133" s="70" t="s">
        <v>478</v>
      </c>
      <c r="B1133" s="70" t="s">
        <v>891</v>
      </c>
      <c r="C1133" s="71" t="s">
        <v>892</v>
      </c>
      <c r="D1133" s="71" t="s">
        <v>31</v>
      </c>
      <c r="E1133" s="71" t="s">
        <v>32</v>
      </c>
      <c r="F1133" s="71" t="s">
        <v>886</v>
      </c>
      <c r="H1133" s="71" t="s">
        <v>33</v>
      </c>
      <c r="I1133" s="87"/>
      <c r="J1133" s="72">
        <f t="shared" ref="J1133:O1133" si="348">J1132</f>
        <v>89.22</v>
      </c>
      <c r="K1133" s="72">
        <f t="shared" si="348"/>
        <v>5.3</v>
      </c>
      <c r="L1133" s="72">
        <f t="shared" si="348"/>
        <v>180</v>
      </c>
      <c r="M1133" s="72">
        <f t="shared" si="348"/>
        <v>0.2</v>
      </c>
      <c r="N1133" s="72">
        <f t="shared" si="348"/>
        <v>69</v>
      </c>
      <c r="O1133" s="72">
        <f t="shared" si="348"/>
        <v>0.13800000000000001</v>
      </c>
      <c r="P1133" s="72"/>
      <c r="Q1133" s="72"/>
      <c r="R1133" s="72">
        <f>R1132</f>
        <v>11.3</v>
      </c>
      <c r="S1133" s="72"/>
      <c r="T1133" s="72"/>
      <c r="U1133" s="72"/>
      <c r="V1133" s="72"/>
      <c r="W1133" s="72"/>
      <c r="X1133" s="72"/>
      <c r="Y1133" s="72"/>
      <c r="Z1133" s="72"/>
      <c r="AA1133" s="72"/>
      <c r="AB1133" s="72"/>
      <c r="AC1133" s="73"/>
      <c r="AD1133" s="73"/>
      <c r="AE1133" s="73"/>
      <c r="AF1133" s="73"/>
      <c r="AG1133" s="73"/>
      <c r="AH1133" s="73"/>
      <c r="AI1133" s="73"/>
      <c r="AJ1133" s="73"/>
      <c r="AK1133" s="73"/>
      <c r="AL1133" s="73"/>
      <c r="AM1133" s="73"/>
      <c r="AN1133" s="73"/>
      <c r="AO1133" s="73"/>
      <c r="AP1133" s="73"/>
      <c r="AQ1133" s="73"/>
      <c r="AR1133" s="73"/>
      <c r="AS1133" s="73"/>
      <c r="AT1133" s="73"/>
      <c r="AU1133" s="73"/>
      <c r="AV1133" s="73"/>
      <c r="AW1133" s="73"/>
      <c r="AX1133" s="73"/>
    </row>
    <row r="1134" spans="1:50" s="41" customFormat="1" ht="15" customHeight="1" x14ac:dyDescent="0.2">
      <c r="A1134" s="40" t="s">
        <v>481</v>
      </c>
      <c r="B1134" s="40" t="s">
        <v>250</v>
      </c>
      <c r="C1134" s="41" t="s">
        <v>0</v>
      </c>
      <c r="D1134" s="22"/>
      <c r="E1134" s="22"/>
      <c r="H1134" s="41" t="s">
        <v>33</v>
      </c>
      <c r="I1134" s="248" t="s">
        <v>1009</v>
      </c>
      <c r="J1134" s="43"/>
      <c r="K1134" s="43">
        <v>1.29</v>
      </c>
      <c r="L1134" s="43">
        <v>26</v>
      </c>
      <c r="M1134" s="43">
        <v>1.26</v>
      </c>
      <c r="N1134" s="43"/>
      <c r="O1134" s="43"/>
      <c r="P1134" s="4">
        <f t="shared" ref="P1134" si="349">AN1134</f>
        <v>0</v>
      </c>
      <c r="Q1134" s="43"/>
      <c r="R1134" s="43">
        <v>97</v>
      </c>
      <c r="S1134" s="43">
        <v>4.16</v>
      </c>
      <c r="T1134" s="43"/>
      <c r="U1134" s="43"/>
      <c r="V1134" s="43"/>
      <c r="W1134" s="43"/>
      <c r="X1134" s="43"/>
      <c r="Y1134" s="43"/>
      <c r="Z1134" s="43"/>
      <c r="AA1134" s="43"/>
      <c r="AB1134" s="43"/>
      <c r="AC1134" s="44"/>
      <c r="AD1134" s="44"/>
      <c r="AE1134" s="44"/>
      <c r="AF1134" s="44"/>
      <c r="AG1134" s="5"/>
      <c r="AH1134" s="44"/>
      <c r="AI1134" s="44"/>
      <c r="AJ1134" s="44"/>
      <c r="AK1134" s="44"/>
      <c r="AL1134" s="44"/>
      <c r="AM1134" s="44"/>
      <c r="AN1134" s="23"/>
      <c r="AO1134" s="44"/>
      <c r="AP1134" s="44"/>
      <c r="AQ1134" s="44"/>
      <c r="AR1134" s="44"/>
      <c r="AS1134" s="44"/>
      <c r="AT1134" s="44"/>
      <c r="AU1134" s="44"/>
      <c r="AV1134" s="44"/>
      <c r="AW1134" s="44"/>
      <c r="AX1134" s="44"/>
    </row>
    <row r="1135" spans="1:50" s="71" customFormat="1" ht="15" customHeight="1" x14ac:dyDescent="0.2">
      <c r="A1135" s="70" t="s">
        <v>481</v>
      </c>
      <c r="B1135" s="70" t="s">
        <v>250</v>
      </c>
      <c r="C1135" s="71" t="s">
        <v>482</v>
      </c>
      <c r="D1135" s="71" t="s">
        <v>31</v>
      </c>
      <c r="E1135" s="71" t="s">
        <v>32</v>
      </c>
      <c r="F1135" s="71" t="s">
        <v>781</v>
      </c>
      <c r="H1135" s="71" t="s">
        <v>33</v>
      </c>
      <c r="I1135" s="87"/>
      <c r="J1135" s="72"/>
      <c r="K1135" s="72">
        <f>K1134</f>
        <v>1.29</v>
      </c>
      <c r="L1135" s="72">
        <f>L1134</f>
        <v>26</v>
      </c>
      <c r="M1135" s="72">
        <f>M1134</f>
        <v>1.26</v>
      </c>
      <c r="N1135" s="72"/>
      <c r="O1135" s="72"/>
      <c r="P1135" s="72">
        <f>P1134</f>
        <v>0</v>
      </c>
      <c r="Q1135" s="72"/>
      <c r="R1135" s="72">
        <f>R1134</f>
        <v>97</v>
      </c>
      <c r="S1135" s="72">
        <f>S1134</f>
        <v>4.16</v>
      </c>
      <c r="T1135" s="72"/>
      <c r="U1135" s="72"/>
      <c r="V1135" s="72"/>
      <c r="W1135" s="72"/>
      <c r="X1135" s="72"/>
      <c r="Y1135" s="72"/>
      <c r="Z1135" s="72"/>
      <c r="AA1135" s="72"/>
      <c r="AB1135" s="72"/>
      <c r="AC1135" s="73"/>
      <c r="AD1135" s="73"/>
      <c r="AE1135" s="73"/>
      <c r="AF1135" s="73"/>
      <c r="AG1135" s="73"/>
      <c r="AH1135" s="73"/>
      <c r="AI1135" s="73"/>
      <c r="AJ1135" s="73"/>
      <c r="AK1135" s="73"/>
      <c r="AL1135" s="73"/>
      <c r="AM1135" s="73"/>
      <c r="AN1135" s="73"/>
      <c r="AO1135" s="73"/>
      <c r="AP1135" s="73"/>
      <c r="AQ1135" s="73"/>
      <c r="AR1135" s="73"/>
      <c r="AS1135" s="73"/>
      <c r="AT1135" s="73"/>
      <c r="AU1135" s="73"/>
      <c r="AV1135" s="73"/>
      <c r="AW1135" s="73"/>
      <c r="AX1135" s="73"/>
    </row>
    <row r="1136" spans="1:50" ht="51" x14ac:dyDescent="0.2">
      <c r="A1136" s="24" t="s">
        <v>483</v>
      </c>
      <c r="B1136" s="24" t="s">
        <v>484</v>
      </c>
      <c r="D1136" s="22"/>
      <c r="E1136" s="22"/>
      <c r="H1136" s="2" t="s">
        <v>131</v>
      </c>
      <c r="I1136" s="243" t="s">
        <v>485</v>
      </c>
      <c r="J1136" s="3">
        <v>91.1</v>
      </c>
      <c r="K1136" s="3">
        <v>3.7</v>
      </c>
      <c r="P1136" s="4" t="s">
        <v>0</v>
      </c>
    </row>
    <row r="1137" spans="1:50" s="22" customFormat="1" ht="15" customHeight="1" x14ac:dyDescent="0.2">
      <c r="A1137" s="40" t="s">
        <v>483</v>
      </c>
      <c r="B1137" s="40" t="s">
        <v>484</v>
      </c>
      <c r="C1137" s="41" t="s">
        <v>0</v>
      </c>
      <c r="F1137" s="41"/>
      <c r="G1137" s="41"/>
      <c r="H1137" s="41" t="s">
        <v>33</v>
      </c>
      <c r="I1137" s="65" t="s">
        <v>1022</v>
      </c>
      <c r="J1137" s="4">
        <v>90.9</v>
      </c>
      <c r="K1137" s="4">
        <v>3.8</v>
      </c>
      <c r="L1137" s="4">
        <v>10</v>
      </c>
      <c r="M1137" s="4">
        <v>0.6</v>
      </c>
      <c r="N1137" s="4">
        <v>17</v>
      </c>
      <c r="O1137" s="4">
        <v>0.5</v>
      </c>
      <c r="P1137" s="4" t="s">
        <v>0</v>
      </c>
      <c r="Q1137" s="4">
        <v>210</v>
      </c>
      <c r="R1137" s="4">
        <v>24</v>
      </c>
      <c r="S1137" s="4">
        <v>0.7</v>
      </c>
      <c r="T1137" s="4"/>
      <c r="U1137" s="4"/>
      <c r="V1137" s="4"/>
      <c r="W1137" s="4"/>
      <c r="X1137" s="4"/>
      <c r="Y1137" s="4"/>
      <c r="Z1137" s="4"/>
      <c r="AA1137" s="4"/>
      <c r="AB1137" s="4"/>
      <c r="AC1137" s="23"/>
      <c r="AD1137" s="23"/>
      <c r="AE1137" s="23"/>
      <c r="AF1137" s="23"/>
      <c r="AG1137" s="23"/>
      <c r="AH1137" s="23"/>
      <c r="AI1137" s="23"/>
      <c r="AJ1137" s="23"/>
      <c r="AK1137" s="23"/>
      <c r="AL1137" s="23"/>
      <c r="AM1137" s="23"/>
      <c r="AN1137" s="23"/>
      <c r="AO1137" s="23"/>
      <c r="AP1137" s="23"/>
      <c r="AQ1137" s="23"/>
      <c r="AR1137" s="23"/>
      <c r="AS1137" s="23"/>
      <c r="AT1137" s="23"/>
      <c r="AU1137" s="23"/>
      <c r="AV1137" s="23"/>
      <c r="AW1137" s="23"/>
      <c r="AX1137" s="23"/>
    </row>
    <row r="1138" spans="1:50" s="41" customFormat="1" ht="15" customHeight="1" x14ac:dyDescent="0.2">
      <c r="A1138" s="40" t="s">
        <v>483</v>
      </c>
      <c r="B1138" s="40" t="s">
        <v>484</v>
      </c>
      <c r="C1138" s="41" t="s">
        <v>0</v>
      </c>
      <c r="D1138" s="22"/>
      <c r="E1138" s="22"/>
      <c r="H1138" s="41" t="s">
        <v>33</v>
      </c>
      <c r="I1138" s="248" t="s">
        <v>1010</v>
      </c>
      <c r="J1138" s="43">
        <v>88.3</v>
      </c>
      <c r="K1138" s="43">
        <v>3.8</v>
      </c>
      <c r="L1138" s="43">
        <v>9</v>
      </c>
      <c r="M1138" s="43">
        <v>0.8</v>
      </c>
      <c r="N1138" s="43"/>
      <c r="O1138" s="43"/>
      <c r="P1138" s="4">
        <f t="shared" ref="P1138" si="350">AN1138</f>
        <v>0</v>
      </c>
      <c r="Q1138" s="43"/>
      <c r="R1138" s="43">
        <v>15</v>
      </c>
      <c r="S1138" s="43"/>
      <c r="T1138" s="43"/>
      <c r="U1138" s="43"/>
      <c r="V1138" s="43"/>
      <c r="W1138" s="43"/>
      <c r="X1138" s="43"/>
      <c r="Y1138" s="43"/>
      <c r="Z1138" s="43"/>
      <c r="AA1138" s="43"/>
      <c r="AB1138" s="43"/>
      <c r="AC1138" s="44"/>
      <c r="AD1138" s="44"/>
      <c r="AE1138" s="44"/>
      <c r="AF1138" s="44"/>
      <c r="AG1138" s="44"/>
      <c r="AH1138" s="44"/>
      <c r="AI1138" s="23"/>
      <c r="AJ1138" s="44"/>
      <c r="AK1138" s="44"/>
      <c r="AL1138" s="44"/>
      <c r="AM1138" s="44"/>
      <c r="AN1138" s="23"/>
      <c r="AO1138" s="44"/>
      <c r="AP1138" s="44"/>
      <c r="AQ1138" s="44"/>
      <c r="AR1138" s="44"/>
      <c r="AS1138" s="44"/>
      <c r="AT1138" s="44"/>
      <c r="AU1138" s="44"/>
      <c r="AV1138" s="44"/>
      <c r="AW1138" s="44"/>
      <c r="AX1138" s="44"/>
    </row>
    <row r="1139" spans="1:50" s="71" customFormat="1" ht="15" customHeight="1" x14ac:dyDescent="0.2">
      <c r="A1139" s="70" t="s">
        <v>483</v>
      </c>
      <c r="B1139" s="70" t="s">
        <v>484</v>
      </c>
      <c r="C1139" s="71" t="s">
        <v>486</v>
      </c>
      <c r="D1139" s="71" t="s">
        <v>31</v>
      </c>
      <c r="E1139" s="71" t="s">
        <v>46</v>
      </c>
      <c r="F1139" s="78" t="s">
        <v>782</v>
      </c>
      <c r="H1139" s="71" t="s">
        <v>33</v>
      </c>
      <c r="I1139" s="87"/>
      <c r="J1139" s="72">
        <f>AVERAGE(J1137:J1138)</f>
        <v>89.6</v>
      </c>
      <c r="K1139" s="72">
        <f>AVERAGE(K1136:K1138)</f>
        <v>3.7666666666666671</v>
      </c>
      <c r="L1139" s="72">
        <f>AVERAGE(L1136:L1138)</f>
        <v>9.5</v>
      </c>
      <c r="M1139" s="72">
        <f t="shared" ref="M1139:S1139" si="351">AVERAGE(M1137:M1138)</f>
        <v>0.7</v>
      </c>
      <c r="N1139" s="72">
        <f t="shared" si="351"/>
        <v>17</v>
      </c>
      <c r="O1139" s="72">
        <f t="shared" si="351"/>
        <v>0.5</v>
      </c>
      <c r="P1139" s="72">
        <f t="shared" si="351"/>
        <v>0</v>
      </c>
      <c r="Q1139" s="72">
        <f t="shared" si="351"/>
        <v>210</v>
      </c>
      <c r="R1139" s="72">
        <f t="shared" si="351"/>
        <v>19.5</v>
      </c>
      <c r="S1139" s="72">
        <f t="shared" si="351"/>
        <v>0.7</v>
      </c>
      <c r="T1139" s="72"/>
      <c r="U1139" s="72"/>
      <c r="V1139" s="72"/>
      <c r="W1139" s="72"/>
      <c r="X1139" s="72"/>
      <c r="Y1139" s="72"/>
      <c r="Z1139" s="72"/>
      <c r="AA1139" s="72"/>
      <c r="AB1139" s="72"/>
      <c r="AC1139" s="73"/>
      <c r="AD1139" s="73"/>
      <c r="AE1139" s="73"/>
      <c r="AF1139" s="73"/>
      <c r="AG1139" s="73"/>
      <c r="AH1139" s="73"/>
      <c r="AI1139" s="73"/>
      <c r="AJ1139" s="73"/>
      <c r="AK1139" s="73"/>
      <c r="AL1139" s="73"/>
      <c r="AM1139" s="73"/>
      <c r="AN1139" s="73"/>
      <c r="AO1139" s="73"/>
      <c r="AP1139" s="73"/>
      <c r="AQ1139" s="73"/>
      <c r="AR1139" s="73"/>
      <c r="AS1139" s="73"/>
      <c r="AT1139" s="73"/>
      <c r="AU1139" s="73"/>
      <c r="AV1139" s="73"/>
      <c r="AW1139" s="73"/>
      <c r="AX1139" s="73"/>
    </row>
    <row r="1140" spans="1:50" ht="51" x14ac:dyDescent="0.2">
      <c r="A1140" s="24" t="s">
        <v>487</v>
      </c>
      <c r="B1140" s="24" t="s">
        <v>488</v>
      </c>
      <c r="D1140" s="22"/>
      <c r="E1140" s="22"/>
      <c r="H1140" s="2" t="s">
        <v>33</v>
      </c>
      <c r="I1140" s="243" t="s">
        <v>1032</v>
      </c>
      <c r="J1140" s="3">
        <v>86.8</v>
      </c>
      <c r="L1140" s="3">
        <v>116</v>
      </c>
      <c r="M1140" s="3">
        <v>3.2</v>
      </c>
      <c r="N1140" s="3">
        <v>75</v>
      </c>
      <c r="O1140" s="3">
        <v>0.6</v>
      </c>
      <c r="P1140" s="4" t="s">
        <v>0</v>
      </c>
      <c r="R1140" s="3">
        <v>41.57</v>
      </c>
    </row>
    <row r="1141" spans="1:50" ht="51" x14ac:dyDescent="0.2">
      <c r="A1141" s="24" t="s">
        <v>487</v>
      </c>
      <c r="B1141" s="24" t="s">
        <v>488</v>
      </c>
      <c r="D1141" s="22"/>
      <c r="E1141" s="22"/>
      <c r="H1141" s="2" t="s">
        <v>33</v>
      </c>
      <c r="I1141" s="243" t="s">
        <v>1032</v>
      </c>
      <c r="J1141" s="3">
        <v>87</v>
      </c>
      <c r="P1141" s="4" t="s">
        <v>0</v>
      </c>
    </row>
    <row r="1142" spans="1:50" ht="51" x14ac:dyDescent="0.2">
      <c r="A1142" s="24" t="s">
        <v>487</v>
      </c>
      <c r="B1142" s="24" t="s">
        <v>488</v>
      </c>
      <c r="D1142" s="22"/>
      <c r="E1142" s="22"/>
      <c r="H1142" s="2" t="s">
        <v>33</v>
      </c>
      <c r="I1142" s="243" t="s">
        <v>1032</v>
      </c>
      <c r="P1142" s="4" t="s">
        <v>0</v>
      </c>
    </row>
    <row r="1143" spans="1:50" s="22" customFormat="1" ht="15" customHeight="1" x14ac:dyDescent="0.2">
      <c r="A1143" s="25" t="s">
        <v>487</v>
      </c>
      <c r="B1143" s="25" t="s">
        <v>488</v>
      </c>
      <c r="C1143" s="22" t="s">
        <v>0</v>
      </c>
      <c r="H1143" s="22" t="s">
        <v>33</v>
      </c>
      <c r="I1143" s="65" t="s">
        <v>1023</v>
      </c>
      <c r="J1143" s="4">
        <v>87</v>
      </c>
      <c r="K1143" s="4"/>
      <c r="L1143" s="4">
        <v>116</v>
      </c>
      <c r="M1143" s="4">
        <v>3.2</v>
      </c>
      <c r="N1143" s="4"/>
      <c r="O1143" s="4"/>
      <c r="P1143" s="4">
        <f t="shared" ref="P1143" si="352">AN1143</f>
        <v>0</v>
      </c>
      <c r="Q1143" s="4"/>
      <c r="R1143" s="4">
        <v>40</v>
      </c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23"/>
      <c r="AD1143" s="23"/>
      <c r="AE1143" s="23"/>
      <c r="AF1143" s="23"/>
      <c r="AG1143" s="23"/>
      <c r="AH1143" s="23"/>
      <c r="AI1143" s="23"/>
      <c r="AJ1143" s="23"/>
      <c r="AK1143" s="5"/>
      <c r="AL1143" s="23"/>
      <c r="AM1143" s="23"/>
      <c r="AN1143" s="23"/>
      <c r="AO1143" s="23"/>
      <c r="AP1143" s="23"/>
      <c r="AQ1143" s="23"/>
      <c r="AR1143" s="23"/>
      <c r="AS1143" s="23"/>
      <c r="AT1143" s="23"/>
      <c r="AU1143" s="23"/>
      <c r="AV1143" s="23"/>
      <c r="AW1143" s="23"/>
      <c r="AX1143" s="23"/>
    </row>
    <row r="1144" spans="1:50" s="71" customFormat="1" ht="15" customHeight="1" x14ac:dyDescent="0.2">
      <c r="A1144" s="77" t="s">
        <v>487</v>
      </c>
      <c r="B1144" s="77" t="s">
        <v>488</v>
      </c>
      <c r="C1144" s="71" t="s">
        <v>489</v>
      </c>
      <c r="D1144" s="71" t="s">
        <v>31</v>
      </c>
      <c r="E1144" s="71" t="s">
        <v>46</v>
      </c>
      <c r="F1144" s="78" t="s">
        <v>782</v>
      </c>
      <c r="H1144" s="71" t="s">
        <v>33</v>
      </c>
      <c r="I1144" s="87"/>
      <c r="J1144" s="72">
        <f>J1143</f>
        <v>87</v>
      </c>
      <c r="K1144" s="72"/>
      <c r="L1144" s="72">
        <f>AVERAGE(L1140:L1143)</f>
        <v>116</v>
      </c>
      <c r="M1144" s="72">
        <f>AVERAGE(M1140:M1143)</f>
        <v>3.2</v>
      </c>
      <c r="N1144" s="72">
        <f>AVERAGE(N1140:N1143)</f>
        <v>75</v>
      </c>
      <c r="O1144" s="72">
        <f>AVERAGE(O1140:O1143)</f>
        <v>0.6</v>
      </c>
      <c r="P1144" s="72">
        <f>AVERAGE(P1140:P1143)</f>
        <v>0</v>
      </c>
      <c r="Q1144" s="72"/>
      <c r="R1144" s="72">
        <f>AVERAGE(R1140:R1143)</f>
        <v>40.784999999999997</v>
      </c>
      <c r="S1144" s="72"/>
      <c r="T1144" s="72"/>
      <c r="U1144" s="72"/>
      <c r="V1144" s="72"/>
      <c r="W1144" s="72"/>
      <c r="X1144" s="72"/>
      <c r="Y1144" s="72"/>
      <c r="Z1144" s="72"/>
      <c r="AA1144" s="72"/>
      <c r="AB1144" s="72"/>
      <c r="AC1144" s="73"/>
      <c r="AD1144" s="73"/>
      <c r="AE1144" s="73"/>
      <c r="AF1144" s="73"/>
      <c r="AG1144" s="73"/>
      <c r="AH1144" s="73"/>
      <c r="AI1144" s="73"/>
      <c r="AJ1144" s="73"/>
      <c r="AK1144" s="73"/>
      <c r="AL1144" s="73"/>
      <c r="AM1144" s="73"/>
      <c r="AN1144" s="73"/>
      <c r="AO1144" s="73"/>
      <c r="AP1144" s="73"/>
      <c r="AQ1144" s="73"/>
      <c r="AR1144" s="73"/>
      <c r="AS1144" s="73"/>
      <c r="AT1144" s="73"/>
      <c r="AU1144" s="73"/>
      <c r="AV1144" s="73"/>
      <c r="AW1144" s="73"/>
      <c r="AX1144" s="73"/>
    </row>
    <row r="1145" spans="1:50" ht="15" customHeight="1" x14ac:dyDescent="0.2">
      <c r="A1145" s="24" t="s">
        <v>490</v>
      </c>
      <c r="B1145" s="24" t="s">
        <v>491</v>
      </c>
      <c r="D1145" s="22"/>
      <c r="E1145" s="22"/>
      <c r="H1145" s="2" t="s">
        <v>37</v>
      </c>
      <c r="I1145" s="243" t="s">
        <v>1004</v>
      </c>
      <c r="J1145" s="3">
        <v>71</v>
      </c>
      <c r="L1145" s="3">
        <v>76</v>
      </c>
      <c r="M1145" s="3">
        <v>6</v>
      </c>
      <c r="P1145" s="4">
        <f t="shared" ref="P1145" si="353">AN1145</f>
        <v>0</v>
      </c>
      <c r="R1145" s="3">
        <v>6</v>
      </c>
      <c r="AI1145" s="23"/>
      <c r="AN1145" s="23"/>
    </row>
    <row r="1146" spans="1:50" ht="17" x14ac:dyDescent="0.2">
      <c r="A1146" s="24" t="s">
        <v>490</v>
      </c>
      <c r="B1146" s="24" t="s">
        <v>491</v>
      </c>
      <c r="D1146" s="22"/>
      <c r="E1146" s="22"/>
      <c r="H1146" s="2" t="s">
        <v>492</v>
      </c>
      <c r="I1146" s="243" t="s">
        <v>1013</v>
      </c>
      <c r="J1146" s="3">
        <v>69.900000000000006</v>
      </c>
      <c r="K1146" s="3">
        <v>2.7</v>
      </c>
      <c r="L1146" s="3">
        <v>101</v>
      </c>
      <c r="M1146" s="3">
        <v>2.1</v>
      </c>
      <c r="P1146" s="4" t="s">
        <v>0</v>
      </c>
      <c r="R1146" s="3">
        <v>28</v>
      </c>
    </row>
    <row r="1147" spans="1:50" ht="15" customHeight="1" x14ac:dyDescent="0.2">
      <c r="A1147" s="24" t="s">
        <v>493</v>
      </c>
      <c r="B1147" s="24" t="s">
        <v>491</v>
      </c>
      <c r="D1147" s="22"/>
      <c r="E1147" s="22"/>
      <c r="H1147" s="2" t="s">
        <v>37</v>
      </c>
      <c r="I1147" s="243" t="s">
        <v>1019</v>
      </c>
      <c r="L1147" s="3">
        <v>83</v>
      </c>
      <c r="M1147" s="3">
        <v>1</v>
      </c>
      <c r="P1147" s="4">
        <f t="shared" ref="P1147" si="354">AN1147</f>
        <v>0</v>
      </c>
      <c r="AI1147" s="23"/>
      <c r="AN1147" s="23"/>
    </row>
    <row r="1148" spans="1:50" s="71" customFormat="1" ht="15" customHeight="1" x14ac:dyDescent="0.2">
      <c r="A1148" s="70" t="s">
        <v>493</v>
      </c>
      <c r="B1148" s="70" t="s">
        <v>491</v>
      </c>
      <c r="C1148" s="71" t="s">
        <v>494</v>
      </c>
      <c r="D1148" s="71" t="s">
        <v>31</v>
      </c>
      <c r="E1148" s="71" t="s">
        <v>32</v>
      </c>
      <c r="F1148" s="71" t="s">
        <v>781</v>
      </c>
      <c r="H1148" s="71" t="s">
        <v>37</v>
      </c>
      <c r="I1148" s="87"/>
      <c r="J1148" s="72">
        <f t="shared" ref="J1148" si="355">AVERAGE(J1145:J1147)</f>
        <v>70.45</v>
      </c>
      <c r="K1148" s="72">
        <f>AVERAGE(K1145:K1147)</f>
        <v>2.7</v>
      </c>
      <c r="L1148" s="72">
        <f>AVERAGE(L1145:L1147)</f>
        <v>86.666666666666671</v>
      </c>
      <c r="M1148" s="72">
        <f>AVERAGE(M1145:M1147)</f>
        <v>3.0333333333333332</v>
      </c>
      <c r="N1148" s="72"/>
      <c r="O1148" s="72"/>
      <c r="P1148" s="72">
        <f>AVERAGE(P1145:P1147)</f>
        <v>0</v>
      </c>
      <c r="Q1148" s="72"/>
      <c r="R1148" s="72">
        <f>AVERAGE(R1145:R1147)</f>
        <v>17</v>
      </c>
      <c r="S1148" s="72"/>
      <c r="T1148" s="72"/>
      <c r="U1148" s="72"/>
      <c r="V1148" s="72"/>
      <c r="W1148" s="72"/>
      <c r="X1148" s="72"/>
      <c r="Y1148" s="72"/>
      <c r="Z1148" s="72"/>
      <c r="AA1148" s="72"/>
      <c r="AB1148" s="72"/>
      <c r="AC1148" s="73"/>
      <c r="AD1148" s="73"/>
      <c r="AE1148" s="73"/>
      <c r="AF1148" s="73"/>
      <c r="AG1148" s="73"/>
      <c r="AH1148" s="73"/>
      <c r="AI1148" s="73"/>
      <c r="AJ1148" s="73"/>
      <c r="AK1148" s="73"/>
      <c r="AL1148" s="73"/>
      <c r="AM1148" s="73"/>
      <c r="AN1148" s="73"/>
      <c r="AO1148" s="73"/>
      <c r="AP1148" s="73"/>
      <c r="AQ1148" s="73"/>
      <c r="AR1148" s="73"/>
      <c r="AS1148" s="73"/>
      <c r="AT1148" s="73"/>
      <c r="AU1148" s="73"/>
      <c r="AV1148" s="73"/>
      <c r="AW1148" s="73"/>
      <c r="AX1148" s="73"/>
    </row>
    <row r="1149" spans="1:50" ht="51" x14ac:dyDescent="0.2">
      <c r="A1149" s="24" t="s">
        <v>490</v>
      </c>
      <c r="B1149" s="24" t="s">
        <v>491</v>
      </c>
      <c r="D1149" s="22"/>
      <c r="E1149" s="22"/>
      <c r="H1149" s="2" t="s">
        <v>28</v>
      </c>
      <c r="I1149" s="243" t="s">
        <v>1014</v>
      </c>
      <c r="J1149" s="3">
        <v>70.7</v>
      </c>
      <c r="K1149" s="3">
        <v>0.5</v>
      </c>
      <c r="L1149" s="3">
        <v>76</v>
      </c>
      <c r="M1149" s="3">
        <v>0.7</v>
      </c>
      <c r="P1149" s="4" t="s">
        <v>0</v>
      </c>
      <c r="R1149" s="3">
        <v>6</v>
      </c>
    </row>
    <row r="1150" spans="1:50" s="22" customFormat="1" ht="15" customHeight="1" x14ac:dyDescent="0.2">
      <c r="A1150" s="21" t="s">
        <v>490</v>
      </c>
      <c r="B1150" s="21" t="s">
        <v>491</v>
      </c>
      <c r="C1150" s="22" t="s">
        <v>0</v>
      </c>
      <c r="H1150" s="22" t="s">
        <v>28</v>
      </c>
      <c r="I1150" s="65" t="s">
        <v>1006</v>
      </c>
      <c r="J1150" s="4">
        <v>71</v>
      </c>
      <c r="K1150" s="4">
        <v>1.3771000000000002</v>
      </c>
      <c r="L1150" s="4">
        <v>43.217500000000008</v>
      </c>
      <c r="M1150" s="4">
        <v>1.9338000000000002</v>
      </c>
      <c r="N1150" s="4"/>
      <c r="O1150" s="4"/>
      <c r="P1150" s="4" t="s">
        <v>0</v>
      </c>
      <c r="Q1150" s="4"/>
      <c r="R1150" s="4">
        <v>39.320599999999999</v>
      </c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23"/>
      <c r="AD1150" s="23"/>
      <c r="AE1150" s="23"/>
      <c r="AF1150" s="23"/>
      <c r="AG1150" s="23"/>
      <c r="AH1150" s="23"/>
      <c r="AI1150" s="23"/>
      <c r="AJ1150" s="23"/>
      <c r="AK1150" s="23"/>
      <c r="AL1150" s="23"/>
      <c r="AM1150" s="23"/>
      <c r="AN1150" s="23"/>
      <c r="AO1150" s="23"/>
      <c r="AP1150" s="23"/>
      <c r="AQ1150" s="23"/>
      <c r="AR1150" s="23"/>
      <c r="AS1150" s="23"/>
      <c r="AT1150" s="23"/>
      <c r="AU1150" s="23"/>
      <c r="AV1150" s="23"/>
      <c r="AW1150" s="23"/>
      <c r="AX1150" s="23"/>
    </row>
    <row r="1151" spans="1:50" s="71" customFormat="1" ht="15" customHeight="1" x14ac:dyDescent="0.2">
      <c r="A1151" s="70" t="s">
        <v>490</v>
      </c>
      <c r="B1151" s="70" t="s">
        <v>491</v>
      </c>
      <c r="C1151" s="71" t="s">
        <v>494</v>
      </c>
      <c r="D1151" s="71" t="s">
        <v>31</v>
      </c>
      <c r="E1151" s="71" t="s">
        <v>32</v>
      </c>
      <c r="F1151" s="71" t="s">
        <v>781</v>
      </c>
      <c r="H1151" s="71" t="s">
        <v>28</v>
      </c>
      <c r="I1151" s="87"/>
      <c r="J1151" s="72">
        <f t="shared" ref="J1151" si="356">AVERAGE(J1149:J1150)</f>
        <v>70.849999999999994</v>
      </c>
      <c r="K1151" s="72">
        <f>AVERAGE(K1149:K1150)</f>
        <v>0.93855000000000011</v>
      </c>
      <c r="L1151" s="72">
        <f>AVERAGE(L1149:L1150)</f>
        <v>59.608750000000001</v>
      </c>
      <c r="M1151" s="72">
        <f>AVERAGE(M1149:M1150)</f>
        <v>1.3169</v>
      </c>
      <c r="N1151" s="72"/>
      <c r="O1151" s="72"/>
      <c r="P1151" s="72"/>
      <c r="Q1151" s="72"/>
      <c r="R1151" s="72">
        <f>AVERAGE(R1149:R1150)</f>
        <v>22.660299999999999</v>
      </c>
      <c r="S1151" s="72"/>
      <c r="T1151" s="72"/>
      <c r="U1151" s="72"/>
      <c r="V1151" s="72"/>
      <c r="W1151" s="72"/>
      <c r="X1151" s="72"/>
      <c r="Y1151" s="72"/>
      <c r="Z1151" s="72"/>
      <c r="AA1151" s="72"/>
      <c r="AB1151" s="72"/>
      <c r="AC1151" s="73"/>
      <c r="AD1151" s="73"/>
      <c r="AE1151" s="73"/>
      <c r="AF1151" s="73"/>
      <c r="AG1151" s="73"/>
      <c r="AH1151" s="73"/>
      <c r="AI1151" s="73"/>
      <c r="AJ1151" s="73"/>
      <c r="AK1151" s="73"/>
      <c r="AL1151" s="73"/>
      <c r="AM1151" s="73"/>
      <c r="AN1151" s="73"/>
      <c r="AO1151" s="73"/>
      <c r="AP1151" s="73"/>
      <c r="AQ1151" s="73"/>
      <c r="AR1151" s="73"/>
      <c r="AS1151" s="73"/>
      <c r="AT1151" s="73"/>
      <c r="AU1151" s="73"/>
      <c r="AV1151" s="73"/>
      <c r="AW1151" s="73"/>
      <c r="AX1151" s="73"/>
    </row>
    <row r="1152" spans="1:50" ht="15" customHeight="1" x14ac:dyDescent="0.2">
      <c r="A1152" s="24" t="s">
        <v>495</v>
      </c>
      <c r="B1152" s="24" t="s">
        <v>496</v>
      </c>
      <c r="D1152" s="22"/>
      <c r="E1152" s="22"/>
      <c r="H1152" s="2" t="s">
        <v>28</v>
      </c>
      <c r="I1152" s="243" t="s">
        <v>1006</v>
      </c>
      <c r="J1152" s="3">
        <v>88</v>
      </c>
      <c r="K1152" s="3">
        <v>0.29759999999999998</v>
      </c>
      <c r="L1152" s="3" t="s">
        <v>55</v>
      </c>
      <c r="M1152" s="3" t="s">
        <v>55</v>
      </c>
      <c r="P1152" s="4" t="s">
        <v>0</v>
      </c>
      <c r="R1152" s="3" t="s">
        <v>55</v>
      </c>
    </row>
    <row r="1153" spans="1:50" ht="15" customHeight="1" x14ac:dyDescent="0.2">
      <c r="A1153" s="24" t="s">
        <v>495</v>
      </c>
      <c r="B1153" s="24" t="s">
        <v>496</v>
      </c>
      <c r="D1153" s="22"/>
      <c r="E1153" s="22"/>
      <c r="H1153" s="2" t="s">
        <v>28</v>
      </c>
      <c r="I1153" s="243" t="s">
        <v>1006</v>
      </c>
      <c r="J1153" s="3">
        <v>61</v>
      </c>
      <c r="K1153" s="3">
        <v>20.893599999999999</v>
      </c>
      <c r="L1153" s="3">
        <v>101.6848</v>
      </c>
      <c r="M1153" s="3">
        <v>0.94079999999999997</v>
      </c>
      <c r="P1153" s="4" t="s">
        <v>0</v>
      </c>
      <c r="R1153" s="3">
        <v>8.0359999999999996</v>
      </c>
    </row>
    <row r="1154" spans="1:50" s="71" customFormat="1" ht="15" customHeight="1" x14ac:dyDescent="0.2">
      <c r="A1154" s="70" t="s">
        <v>495</v>
      </c>
      <c r="B1154" s="70" t="s">
        <v>496</v>
      </c>
      <c r="C1154" s="71" t="s">
        <v>497</v>
      </c>
      <c r="D1154" s="71" t="s">
        <v>31</v>
      </c>
      <c r="E1154" s="71" t="s">
        <v>32</v>
      </c>
      <c r="F1154" s="71" t="s">
        <v>781</v>
      </c>
      <c r="H1154" s="71" t="s">
        <v>28</v>
      </c>
      <c r="I1154" s="87"/>
      <c r="J1154" s="72">
        <f>AVERAGE(J1152:J1153)</f>
        <v>74.5</v>
      </c>
      <c r="K1154" s="72">
        <f>AVERAGE(K1152:K1153)</f>
        <v>10.595599999999999</v>
      </c>
      <c r="L1154" s="72">
        <f>AVERAGE(L1152:L1153)</f>
        <v>101.6848</v>
      </c>
      <c r="M1154" s="72">
        <f>AVERAGE(M1152:M1153)</f>
        <v>0.94079999999999997</v>
      </c>
      <c r="N1154" s="72"/>
      <c r="O1154" s="72"/>
      <c r="P1154" s="72"/>
      <c r="Q1154" s="72"/>
      <c r="R1154" s="72">
        <f>AVERAGE(R1152:R1153)</f>
        <v>8.0359999999999996</v>
      </c>
      <c r="S1154" s="72"/>
      <c r="T1154" s="72"/>
      <c r="U1154" s="72"/>
      <c r="V1154" s="72"/>
      <c r="W1154" s="72"/>
      <c r="X1154" s="72"/>
      <c r="Y1154" s="72"/>
      <c r="Z1154" s="72"/>
      <c r="AA1154" s="72"/>
      <c r="AB1154" s="72"/>
      <c r="AC1154" s="73"/>
      <c r="AD1154" s="73"/>
      <c r="AE1154" s="73"/>
      <c r="AF1154" s="73"/>
      <c r="AG1154" s="73"/>
      <c r="AH1154" s="73"/>
      <c r="AI1154" s="73"/>
      <c r="AJ1154" s="73"/>
      <c r="AK1154" s="73"/>
      <c r="AL1154" s="73"/>
      <c r="AM1154" s="73"/>
      <c r="AN1154" s="73"/>
      <c r="AO1154" s="73"/>
      <c r="AP1154" s="73"/>
      <c r="AQ1154" s="73"/>
      <c r="AR1154" s="73"/>
      <c r="AS1154" s="73"/>
      <c r="AT1154" s="73"/>
      <c r="AU1154" s="73"/>
      <c r="AV1154" s="73"/>
      <c r="AW1154" s="73"/>
      <c r="AX1154" s="73"/>
    </row>
    <row r="1155" spans="1:50" s="22" customFormat="1" ht="15" customHeight="1" x14ac:dyDescent="0.2">
      <c r="A1155" s="21" t="s">
        <v>498</v>
      </c>
      <c r="B1155" s="21" t="s">
        <v>499</v>
      </c>
      <c r="H1155" s="22" t="s">
        <v>33</v>
      </c>
      <c r="I1155" s="65" t="s">
        <v>1036</v>
      </c>
      <c r="J1155" s="4">
        <v>85</v>
      </c>
      <c r="K1155" s="4">
        <v>0.5</v>
      </c>
      <c r="L1155" s="4">
        <v>370</v>
      </c>
      <c r="M1155" s="4">
        <v>8.75</v>
      </c>
      <c r="N1155" s="4">
        <v>78.7</v>
      </c>
      <c r="O1155" s="4"/>
      <c r="P1155" s="4" t="s">
        <v>0</v>
      </c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23"/>
      <c r="AD1155" s="23"/>
      <c r="AE1155" s="23"/>
      <c r="AF1155" s="23"/>
      <c r="AG1155" s="23"/>
      <c r="AH1155" s="23"/>
      <c r="AI1155" s="23"/>
      <c r="AJ1155" s="23"/>
      <c r="AK1155" s="23"/>
      <c r="AL1155" s="23"/>
      <c r="AM1155" s="23"/>
      <c r="AN1155" s="23"/>
      <c r="AO1155" s="23"/>
      <c r="AP1155" s="23"/>
      <c r="AQ1155" s="23"/>
      <c r="AR1155" s="23"/>
      <c r="AS1155" s="23"/>
      <c r="AT1155" s="23"/>
      <c r="AU1155" s="23"/>
      <c r="AV1155" s="23"/>
      <c r="AW1155" s="23"/>
      <c r="AX1155" s="23"/>
    </row>
    <row r="1156" spans="1:50" s="71" customFormat="1" ht="15" customHeight="1" x14ac:dyDescent="0.2">
      <c r="A1156" s="70" t="s">
        <v>498</v>
      </c>
      <c r="B1156" s="70" t="s">
        <v>499</v>
      </c>
      <c r="C1156" s="71" t="s">
        <v>879</v>
      </c>
      <c r="D1156" s="71" t="s">
        <v>31</v>
      </c>
      <c r="E1156" s="71" t="s">
        <v>42</v>
      </c>
      <c r="F1156" s="71" t="s">
        <v>784</v>
      </c>
      <c r="H1156" s="71" t="s">
        <v>33</v>
      </c>
      <c r="I1156" s="87"/>
      <c r="J1156" s="72">
        <f t="shared" ref="J1156" si="357">J1155</f>
        <v>85</v>
      </c>
      <c r="K1156" s="72">
        <f>K1155</f>
        <v>0.5</v>
      </c>
      <c r="L1156" s="72">
        <f>L1155</f>
        <v>370</v>
      </c>
      <c r="M1156" s="72">
        <f>M1155</f>
        <v>8.75</v>
      </c>
      <c r="N1156" s="72">
        <f>N1155</f>
        <v>78.7</v>
      </c>
      <c r="O1156" s="72"/>
      <c r="P1156" s="72"/>
      <c r="Q1156" s="72"/>
      <c r="R1156" s="72"/>
      <c r="S1156" s="72"/>
      <c r="T1156" s="72"/>
      <c r="U1156" s="72"/>
      <c r="V1156" s="72"/>
      <c r="W1156" s="72"/>
      <c r="X1156" s="72"/>
      <c r="Y1156" s="72"/>
      <c r="Z1156" s="72"/>
      <c r="AA1156" s="72"/>
      <c r="AB1156" s="72"/>
      <c r="AC1156" s="73"/>
      <c r="AD1156" s="73"/>
      <c r="AE1156" s="73"/>
      <c r="AF1156" s="73"/>
      <c r="AG1156" s="73"/>
      <c r="AH1156" s="73"/>
      <c r="AI1156" s="73"/>
      <c r="AJ1156" s="73"/>
      <c r="AK1156" s="73"/>
      <c r="AL1156" s="73"/>
      <c r="AM1156" s="73"/>
      <c r="AN1156" s="73"/>
      <c r="AO1156" s="73"/>
      <c r="AP1156" s="73"/>
      <c r="AQ1156" s="73"/>
      <c r="AR1156" s="73"/>
      <c r="AS1156" s="73"/>
      <c r="AT1156" s="73"/>
      <c r="AU1156" s="73"/>
      <c r="AV1156" s="73"/>
      <c r="AW1156" s="73"/>
      <c r="AX1156" s="73"/>
    </row>
    <row r="1157" spans="1:50" ht="15" customHeight="1" x14ac:dyDescent="0.2">
      <c r="A1157" s="24" t="s">
        <v>500</v>
      </c>
      <c r="B1157" s="24" t="s">
        <v>88</v>
      </c>
      <c r="D1157" s="22"/>
      <c r="E1157" s="22"/>
      <c r="H1157" s="2" t="s">
        <v>28</v>
      </c>
      <c r="I1157" s="243" t="s">
        <v>1006</v>
      </c>
      <c r="J1157" s="3">
        <v>80</v>
      </c>
      <c r="K1157" s="3">
        <v>1.7926999999999995</v>
      </c>
      <c r="L1157" s="3">
        <v>18.990799999999997</v>
      </c>
      <c r="M1157" s="3">
        <v>1.3986999999999996</v>
      </c>
      <c r="P1157" s="4">
        <f t="shared" ref="P1157" si="358">AN1157</f>
        <v>0</v>
      </c>
      <c r="R1157" s="3">
        <v>18.005799999999997</v>
      </c>
      <c r="AE1157" s="23"/>
      <c r="AN1157" s="23"/>
    </row>
    <row r="1158" spans="1:50" ht="15" customHeight="1" x14ac:dyDescent="0.2">
      <c r="A1158" s="24" t="s">
        <v>500</v>
      </c>
      <c r="B1158" s="24" t="s">
        <v>88</v>
      </c>
      <c r="D1158" s="22"/>
      <c r="E1158" s="22"/>
      <c r="H1158" s="2" t="s">
        <v>28</v>
      </c>
      <c r="I1158" s="243" t="s">
        <v>1026</v>
      </c>
      <c r="J1158" s="3">
        <v>77.400000000000006</v>
      </c>
      <c r="K1158" s="3">
        <v>3.7</v>
      </c>
      <c r="L1158" s="3">
        <v>4</v>
      </c>
      <c r="M1158" s="3">
        <v>0.1</v>
      </c>
      <c r="N1158" s="3">
        <v>5</v>
      </c>
      <c r="O1158" s="3">
        <v>0.73</v>
      </c>
      <c r="P1158" s="4">
        <f>10/1000</f>
        <v>0.01</v>
      </c>
      <c r="Q1158" s="3">
        <v>53</v>
      </c>
      <c r="R1158" s="3">
        <v>12</v>
      </c>
      <c r="AE1158" s="23"/>
      <c r="AN1158" s="23"/>
    </row>
    <row r="1159" spans="1:50" ht="15" customHeight="1" x14ac:dyDescent="0.2">
      <c r="A1159" s="24" t="s">
        <v>500</v>
      </c>
      <c r="B1159" s="24" t="s">
        <v>88</v>
      </c>
      <c r="D1159" s="22"/>
      <c r="E1159" s="22"/>
      <c r="H1159" s="2" t="s">
        <v>28</v>
      </c>
      <c r="I1159" s="243" t="s">
        <v>1026</v>
      </c>
      <c r="J1159" s="3">
        <v>72.400000000000006</v>
      </c>
      <c r="K1159" s="3">
        <v>0.41</v>
      </c>
      <c r="L1159" s="3">
        <v>5</v>
      </c>
      <c r="M1159" s="3">
        <v>0.3</v>
      </c>
      <c r="N1159" s="3">
        <v>16</v>
      </c>
      <c r="O1159" s="3">
        <v>0.1</v>
      </c>
      <c r="P1159" s="4">
        <f>10.5/1000</f>
        <v>1.0500000000000001E-2</v>
      </c>
      <c r="Q1159" s="3">
        <v>53</v>
      </c>
      <c r="R1159" s="3">
        <v>15</v>
      </c>
      <c r="AE1159" s="23"/>
      <c r="AN1159" s="23"/>
    </row>
    <row r="1160" spans="1:50" ht="15" customHeight="1" x14ac:dyDescent="0.2">
      <c r="A1160" s="24" t="s">
        <v>500</v>
      </c>
      <c r="B1160" s="24" t="s">
        <v>88</v>
      </c>
      <c r="D1160" s="22"/>
      <c r="E1160" s="22"/>
      <c r="H1160" s="2" t="s">
        <v>28</v>
      </c>
      <c r="I1160" s="243" t="s">
        <v>1026</v>
      </c>
      <c r="J1160" s="3">
        <v>77.760000000000005</v>
      </c>
      <c r="K1160" s="3">
        <v>2.25</v>
      </c>
      <c r="L1160" s="3">
        <v>24</v>
      </c>
      <c r="M1160" s="3">
        <v>0.55000000000000004</v>
      </c>
      <c r="N1160" s="3">
        <v>45</v>
      </c>
      <c r="O1160" s="3">
        <v>0.64</v>
      </c>
      <c r="P1160" s="4">
        <f>7/1000</f>
        <v>7.0000000000000001E-3</v>
      </c>
      <c r="Q1160" s="3">
        <v>62</v>
      </c>
      <c r="R1160" s="3">
        <v>10</v>
      </c>
      <c r="AE1160" s="23"/>
      <c r="AN1160" s="23"/>
    </row>
    <row r="1161" spans="1:50" ht="15" customHeight="1" x14ac:dyDescent="0.2">
      <c r="A1161" s="24" t="s">
        <v>500</v>
      </c>
      <c r="B1161" s="24" t="s">
        <v>88</v>
      </c>
      <c r="D1161" s="22"/>
      <c r="E1161" s="22"/>
      <c r="H1161" s="2" t="s">
        <v>28</v>
      </c>
      <c r="I1161" s="243" t="s">
        <v>1028</v>
      </c>
      <c r="J1161" s="3">
        <v>73.2</v>
      </c>
      <c r="K1161" s="3">
        <v>6.7</v>
      </c>
      <c r="L1161" s="3">
        <v>12</v>
      </c>
      <c r="M1161" s="3">
        <v>0.55000000000000004</v>
      </c>
      <c r="N1161" s="3">
        <v>29</v>
      </c>
      <c r="O1161" s="3">
        <v>0.64</v>
      </c>
      <c r="P1161" s="4" t="s">
        <v>0</v>
      </c>
      <c r="Q1161" s="3">
        <v>81</v>
      </c>
      <c r="R1161" s="3">
        <v>10</v>
      </c>
    </row>
    <row r="1162" spans="1:50" ht="15" customHeight="1" x14ac:dyDescent="0.2">
      <c r="A1162" s="24" t="s">
        <v>500</v>
      </c>
      <c r="B1162" s="24" t="s">
        <v>88</v>
      </c>
      <c r="D1162" s="22"/>
      <c r="E1162" s="22"/>
      <c r="H1162" s="2" t="s">
        <v>28</v>
      </c>
      <c r="I1162" s="243" t="s">
        <v>1016</v>
      </c>
      <c r="J1162" s="3">
        <v>66.5</v>
      </c>
      <c r="K1162" s="3">
        <v>6.3</v>
      </c>
      <c r="L1162" s="3">
        <v>12</v>
      </c>
      <c r="M1162" s="3">
        <v>0.49</v>
      </c>
      <c r="N1162" s="3">
        <v>30</v>
      </c>
      <c r="O1162" s="3">
        <v>0.65</v>
      </c>
      <c r="P1162" s="4" t="s">
        <v>0</v>
      </c>
      <c r="Q1162" s="3">
        <v>30</v>
      </c>
      <c r="R1162" s="3">
        <v>13</v>
      </c>
      <c r="S1162" s="3">
        <v>1.3</v>
      </c>
    </row>
    <row r="1163" spans="1:50" ht="15" customHeight="1" x14ac:dyDescent="0.2">
      <c r="A1163" s="24" t="s">
        <v>500</v>
      </c>
      <c r="B1163" s="24" t="s">
        <v>88</v>
      </c>
      <c r="D1163" s="22"/>
      <c r="E1163" s="22"/>
      <c r="H1163" s="2" t="s">
        <v>28</v>
      </c>
      <c r="I1163" s="243" t="s">
        <v>1006</v>
      </c>
      <c r="J1163" s="3">
        <v>77</v>
      </c>
      <c r="K1163" s="3">
        <v>1.7939999999999998</v>
      </c>
      <c r="L1163" s="3">
        <v>10.004999999999999</v>
      </c>
      <c r="M1163" s="3">
        <v>0.98899999999999988</v>
      </c>
      <c r="P1163" s="4">
        <f t="shared" ref="P1163:P1166" si="359">AN1163</f>
        <v>0</v>
      </c>
      <c r="R1163" s="3">
        <v>10.993999999999998</v>
      </c>
      <c r="AE1163" s="23"/>
      <c r="AN1163" s="23"/>
    </row>
    <row r="1164" spans="1:50" ht="15" customHeight="1" x14ac:dyDescent="0.2">
      <c r="A1164" s="24" t="s">
        <v>500</v>
      </c>
      <c r="B1164" s="24" t="s">
        <v>88</v>
      </c>
      <c r="D1164" s="22"/>
      <c r="E1164" s="22"/>
      <c r="H1164" s="2" t="s">
        <v>28</v>
      </c>
      <c r="I1164" s="243" t="s">
        <v>1006</v>
      </c>
      <c r="J1164" s="3">
        <v>84</v>
      </c>
      <c r="K1164" s="3">
        <v>1.3041000000000003</v>
      </c>
      <c r="L1164" s="3">
        <v>6.005300000000001</v>
      </c>
      <c r="M1164" s="3">
        <v>0.80500000000000016</v>
      </c>
      <c r="P1164" s="4">
        <f t="shared" si="359"/>
        <v>0</v>
      </c>
      <c r="R1164" s="3">
        <v>16.003400000000003</v>
      </c>
      <c r="AE1164" s="23"/>
      <c r="AN1164" s="23"/>
    </row>
    <row r="1165" spans="1:50" ht="15" customHeight="1" x14ac:dyDescent="0.2">
      <c r="A1165" s="24" t="s">
        <v>500</v>
      </c>
      <c r="B1165" s="24" t="s">
        <v>88</v>
      </c>
      <c r="D1165" s="22"/>
      <c r="E1165" s="22"/>
      <c r="H1165" s="2" t="s">
        <v>28</v>
      </c>
      <c r="I1165" s="243" t="s">
        <v>1006</v>
      </c>
      <c r="J1165" s="3">
        <v>74</v>
      </c>
      <c r="K1165" s="3" t="s">
        <v>55</v>
      </c>
      <c r="L1165" s="3">
        <v>10.005599999999999</v>
      </c>
      <c r="M1165" s="3">
        <v>0.7128000000000001</v>
      </c>
      <c r="P1165" s="4">
        <f t="shared" si="359"/>
        <v>0</v>
      </c>
      <c r="R1165" s="3">
        <v>12.988800000000001</v>
      </c>
      <c r="AE1165" s="23"/>
      <c r="AN1165" s="23"/>
    </row>
    <row r="1166" spans="1:50" ht="15" customHeight="1" x14ac:dyDescent="0.2">
      <c r="A1166" s="24" t="s">
        <v>500</v>
      </c>
      <c r="B1166" s="24" t="s">
        <v>88</v>
      </c>
      <c r="D1166" s="22"/>
      <c r="E1166" s="22"/>
      <c r="H1166" s="2" t="s">
        <v>28</v>
      </c>
      <c r="I1166" s="243" t="s">
        <v>1006</v>
      </c>
      <c r="J1166" s="3">
        <v>81</v>
      </c>
      <c r="K1166" s="3">
        <v>1.9927999999999995</v>
      </c>
      <c r="L1166" s="3">
        <v>14.005999999999997</v>
      </c>
      <c r="M1166" s="3">
        <v>0.69559999999999989</v>
      </c>
      <c r="P1166" s="4">
        <f t="shared" si="359"/>
        <v>0</v>
      </c>
      <c r="R1166" s="3">
        <v>16.995199999999997</v>
      </c>
      <c r="AE1166" s="23"/>
      <c r="AN1166" s="23"/>
    </row>
    <row r="1167" spans="1:50" ht="15" customHeight="1" x14ac:dyDescent="0.2">
      <c r="A1167" s="24" t="s">
        <v>500</v>
      </c>
      <c r="B1167" s="24" t="s">
        <v>88</v>
      </c>
      <c r="D1167" s="22"/>
      <c r="E1167" s="22"/>
      <c r="H1167" s="2" t="s">
        <v>28</v>
      </c>
      <c r="I1167" s="243" t="s">
        <v>1006</v>
      </c>
      <c r="J1167" s="3">
        <v>79</v>
      </c>
      <c r="K1167" s="3">
        <v>1.0079999999999998</v>
      </c>
      <c r="L1167" s="3">
        <v>11.990999999999998</v>
      </c>
      <c r="M1167" s="3">
        <v>0.69299999999999984</v>
      </c>
      <c r="P1167" s="4" t="s">
        <v>0</v>
      </c>
      <c r="R1167" s="3">
        <v>8.0009999999999994</v>
      </c>
    </row>
    <row r="1168" spans="1:50" s="22" customFormat="1" ht="15" customHeight="1" x14ac:dyDescent="0.2">
      <c r="A1168" s="21" t="s">
        <v>500</v>
      </c>
      <c r="B1168" s="21" t="s">
        <v>88</v>
      </c>
      <c r="H1168" s="22" t="s">
        <v>28</v>
      </c>
      <c r="I1168" s="65" t="s">
        <v>1015</v>
      </c>
      <c r="J1168" s="4">
        <v>77.099999999999994</v>
      </c>
      <c r="K1168" s="4">
        <v>4.7</v>
      </c>
      <c r="L1168" s="4">
        <v>16</v>
      </c>
      <c r="M1168" s="4">
        <v>1.1000000000000001</v>
      </c>
      <c r="N1168" s="4">
        <v>32</v>
      </c>
      <c r="O1168" s="4">
        <v>0.6</v>
      </c>
      <c r="P1168" s="4">
        <f t="shared" ref="P1168" si="360">AN1168</f>
        <v>0</v>
      </c>
      <c r="Q1168" s="4">
        <v>42</v>
      </c>
      <c r="R1168" s="4">
        <v>16</v>
      </c>
      <c r="S1168" s="4">
        <v>1.6</v>
      </c>
      <c r="T1168" s="4"/>
      <c r="U1168" s="4"/>
      <c r="V1168" s="4"/>
      <c r="W1168" s="4"/>
      <c r="X1168" s="4"/>
      <c r="Y1168" s="4"/>
      <c r="Z1168" s="4"/>
      <c r="AA1168" s="4"/>
      <c r="AB1168" s="4"/>
      <c r="AC1168" s="23"/>
      <c r="AD1168" s="23"/>
      <c r="AE1168" s="23"/>
      <c r="AF1168" s="23"/>
      <c r="AG1168" s="23"/>
      <c r="AH1168" s="23"/>
      <c r="AI1168" s="23"/>
      <c r="AJ1168" s="23"/>
      <c r="AK1168" s="23"/>
      <c r="AL1168" s="23"/>
      <c r="AM1168" s="23"/>
      <c r="AN1168" s="23"/>
      <c r="AO1168" s="23"/>
      <c r="AP1168" s="23"/>
      <c r="AQ1168" s="23"/>
      <c r="AR1168" s="23"/>
      <c r="AS1168" s="23"/>
      <c r="AT1168" s="23"/>
      <c r="AU1168" s="23"/>
      <c r="AV1168" s="23"/>
      <c r="AW1168" s="23"/>
      <c r="AX1168" s="23"/>
    </row>
    <row r="1169" spans="1:50" ht="15" customHeight="1" x14ac:dyDescent="0.2">
      <c r="A1169" s="24" t="s">
        <v>500</v>
      </c>
      <c r="B1169" s="24" t="s">
        <v>88</v>
      </c>
      <c r="D1169" s="22"/>
      <c r="E1169" s="22"/>
      <c r="H1169" s="2" t="s">
        <v>28</v>
      </c>
      <c r="I1169" s="243" t="s">
        <v>1006</v>
      </c>
      <c r="J1169" s="3">
        <v>74</v>
      </c>
      <c r="K1169" s="3">
        <v>1.6119999999999999</v>
      </c>
      <c r="L1169" s="3">
        <v>10.01</v>
      </c>
      <c r="M1169" s="3">
        <v>0.59799999999999998</v>
      </c>
      <c r="P1169" s="4" t="s">
        <v>0</v>
      </c>
      <c r="R1169" s="3">
        <v>13.988</v>
      </c>
    </row>
    <row r="1170" spans="1:50" s="71" customFormat="1" ht="15" customHeight="1" x14ac:dyDescent="0.2">
      <c r="A1170" s="70" t="s">
        <v>500</v>
      </c>
      <c r="B1170" s="70" t="s">
        <v>88</v>
      </c>
      <c r="C1170" s="71" t="s">
        <v>501</v>
      </c>
      <c r="D1170" s="71" t="s">
        <v>31</v>
      </c>
      <c r="E1170" s="71" t="s">
        <v>32</v>
      </c>
      <c r="F1170" s="71" t="s">
        <v>781</v>
      </c>
      <c r="H1170" s="71" t="s">
        <v>28</v>
      </c>
      <c r="I1170" s="87"/>
      <c r="J1170" s="72">
        <f t="shared" ref="J1170:S1170" si="361">AVERAGE(J1157:J1169)</f>
        <v>76.412307692307692</v>
      </c>
      <c r="K1170" s="72">
        <f t="shared" si="361"/>
        <v>2.7969666666666666</v>
      </c>
      <c r="L1170" s="72">
        <f t="shared" si="361"/>
        <v>11.847207692307689</v>
      </c>
      <c r="M1170" s="72">
        <f t="shared" si="361"/>
        <v>0.69093076923076935</v>
      </c>
      <c r="N1170" s="72">
        <f t="shared" si="361"/>
        <v>26.166666666666668</v>
      </c>
      <c r="O1170" s="72">
        <f t="shared" si="361"/>
        <v>0.55999999999999994</v>
      </c>
      <c r="P1170" s="72">
        <f t="shared" si="361"/>
        <v>3.0555555555555557E-3</v>
      </c>
      <c r="Q1170" s="72">
        <f t="shared" si="361"/>
        <v>53.5</v>
      </c>
      <c r="R1170" s="72">
        <f t="shared" si="361"/>
        <v>13.305861538461537</v>
      </c>
      <c r="S1170" s="72">
        <f t="shared" si="361"/>
        <v>1.4500000000000002</v>
      </c>
      <c r="T1170" s="72"/>
      <c r="U1170" s="72"/>
      <c r="V1170" s="72"/>
      <c r="W1170" s="72"/>
      <c r="X1170" s="72"/>
      <c r="Y1170" s="72"/>
      <c r="Z1170" s="72"/>
      <c r="AA1170" s="72"/>
      <c r="AB1170" s="72"/>
      <c r="AC1170" s="73"/>
      <c r="AD1170" s="73"/>
      <c r="AE1170" s="73"/>
      <c r="AF1170" s="73"/>
      <c r="AG1170" s="73"/>
      <c r="AH1170" s="73"/>
      <c r="AI1170" s="73"/>
      <c r="AJ1170" s="73"/>
      <c r="AK1170" s="73"/>
      <c r="AL1170" s="73"/>
      <c r="AM1170" s="73"/>
      <c r="AN1170" s="73"/>
      <c r="AO1170" s="73"/>
      <c r="AP1170" s="73"/>
      <c r="AQ1170" s="73"/>
      <c r="AR1170" s="73"/>
      <c r="AS1170" s="73"/>
      <c r="AT1170" s="73"/>
      <c r="AU1170" s="73"/>
      <c r="AV1170" s="73"/>
      <c r="AW1170" s="73"/>
      <c r="AX1170" s="73"/>
    </row>
    <row r="1171" spans="1:50" ht="51" x14ac:dyDescent="0.2">
      <c r="A1171" s="24" t="s">
        <v>500</v>
      </c>
      <c r="B1171" s="24" t="s">
        <v>502</v>
      </c>
      <c r="D1171" s="22"/>
      <c r="E1171" s="22"/>
      <c r="H1171" s="2" t="s">
        <v>28</v>
      </c>
      <c r="I1171" s="243" t="s">
        <v>1028</v>
      </c>
      <c r="J1171" s="3">
        <v>71.8</v>
      </c>
      <c r="L1171" s="3">
        <v>11</v>
      </c>
      <c r="M1171" s="3">
        <v>0.5</v>
      </c>
      <c r="P1171" s="4" t="s">
        <v>0</v>
      </c>
      <c r="R1171" s="3">
        <v>11</v>
      </c>
    </row>
    <row r="1172" spans="1:50" s="22" customFormat="1" ht="15" customHeight="1" x14ac:dyDescent="0.2">
      <c r="A1172" s="21" t="s">
        <v>500</v>
      </c>
      <c r="B1172" s="21" t="s">
        <v>503</v>
      </c>
      <c r="C1172" s="22" t="s">
        <v>0</v>
      </c>
      <c r="H1172" s="22" t="s">
        <v>28</v>
      </c>
      <c r="I1172" s="65" t="s">
        <v>1006</v>
      </c>
      <c r="J1172" s="4">
        <v>76</v>
      </c>
      <c r="K1172" s="4">
        <v>2.0003000000000002</v>
      </c>
      <c r="L1172" s="4">
        <v>14.0021</v>
      </c>
      <c r="M1172" s="4">
        <v>0.50609999999999999</v>
      </c>
      <c r="N1172" s="4"/>
      <c r="O1172" s="4"/>
      <c r="P1172" s="4">
        <f t="shared" ref="P1172" si="362">AN1172</f>
        <v>0</v>
      </c>
      <c r="Q1172" s="4"/>
      <c r="R1172" s="4">
        <v>12.001799999999999</v>
      </c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23"/>
      <c r="AD1172" s="23"/>
      <c r="AE1172" s="23"/>
      <c r="AF1172" s="23"/>
      <c r="AG1172" s="23"/>
      <c r="AH1172" s="23"/>
      <c r="AI1172" s="23"/>
      <c r="AJ1172" s="23"/>
      <c r="AK1172" s="23"/>
      <c r="AL1172" s="23"/>
      <c r="AM1172" s="23"/>
      <c r="AN1172" s="23"/>
      <c r="AO1172" s="23"/>
      <c r="AP1172" s="23"/>
      <c r="AQ1172" s="23"/>
      <c r="AR1172" s="23"/>
      <c r="AS1172" s="23"/>
      <c r="AT1172" s="23"/>
      <c r="AU1172" s="23"/>
      <c r="AV1172" s="23"/>
      <c r="AW1172" s="23"/>
      <c r="AX1172" s="23"/>
    </row>
    <row r="1173" spans="1:50" s="71" customFormat="1" ht="15" customHeight="1" x14ac:dyDescent="0.2">
      <c r="A1173" s="70" t="s">
        <v>500</v>
      </c>
      <c r="B1173" s="70" t="s">
        <v>503</v>
      </c>
      <c r="C1173" s="71" t="s">
        <v>504</v>
      </c>
      <c r="D1173" s="71" t="s">
        <v>31</v>
      </c>
      <c r="E1173" s="71" t="s">
        <v>32</v>
      </c>
      <c r="F1173" s="71" t="s">
        <v>781</v>
      </c>
      <c r="H1173" s="71" t="s">
        <v>28</v>
      </c>
      <c r="I1173" s="87"/>
      <c r="J1173" s="72">
        <f t="shared" ref="J1173" si="363">AVERAGE(J1171:J1172)</f>
        <v>73.900000000000006</v>
      </c>
      <c r="K1173" s="72">
        <f>AVERAGE(K1171:K1172)</f>
        <v>2.0003000000000002</v>
      </c>
      <c r="L1173" s="72">
        <f>AVERAGE(L1171:L1172)</f>
        <v>12.501049999999999</v>
      </c>
      <c r="M1173" s="72">
        <f>AVERAGE(M1171:M1172)</f>
        <v>0.50305</v>
      </c>
      <c r="N1173" s="72"/>
      <c r="O1173" s="72"/>
      <c r="P1173" s="72">
        <f>AVERAGE(P1171:P1172)</f>
        <v>0</v>
      </c>
      <c r="Q1173" s="72"/>
      <c r="R1173" s="72">
        <f>AVERAGE(R1171:R1172)</f>
        <v>11.5009</v>
      </c>
      <c r="S1173" s="72"/>
      <c r="T1173" s="72"/>
      <c r="U1173" s="72"/>
      <c r="V1173" s="72"/>
      <c r="W1173" s="72"/>
      <c r="X1173" s="72"/>
      <c r="Y1173" s="72"/>
      <c r="Z1173" s="72"/>
      <c r="AA1173" s="72"/>
      <c r="AB1173" s="72"/>
      <c r="AC1173" s="73"/>
      <c r="AD1173" s="73"/>
      <c r="AE1173" s="73"/>
      <c r="AF1173" s="73"/>
      <c r="AG1173" s="73"/>
      <c r="AH1173" s="73"/>
      <c r="AI1173" s="73"/>
      <c r="AJ1173" s="73"/>
      <c r="AK1173" s="73"/>
      <c r="AL1173" s="73"/>
      <c r="AM1173" s="73"/>
      <c r="AN1173" s="73"/>
      <c r="AO1173" s="73"/>
      <c r="AP1173" s="73"/>
      <c r="AQ1173" s="73"/>
      <c r="AR1173" s="73"/>
      <c r="AS1173" s="73"/>
      <c r="AT1173" s="73"/>
      <c r="AU1173" s="73"/>
      <c r="AV1173" s="73"/>
      <c r="AW1173" s="73"/>
      <c r="AX1173" s="73"/>
    </row>
    <row r="1174" spans="1:50" s="22" customFormat="1" ht="15" customHeight="1" x14ac:dyDescent="0.2">
      <c r="A1174" s="21" t="s">
        <v>927</v>
      </c>
      <c r="B1174" s="21" t="s">
        <v>928</v>
      </c>
      <c r="C1174" s="22" t="s">
        <v>0</v>
      </c>
      <c r="H1174" s="22" t="s">
        <v>33</v>
      </c>
      <c r="I1174" s="65" t="s">
        <v>1020</v>
      </c>
      <c r="J1174" s="4">
        <v>84.5</v>
      </c>
      <c r="K1174" s="4">
        <v>4.37</v>
      </c>
      <c r="L1174" s="4">
        <v>130</v>
      </c>
      <c r="M1174" s="4">
        <v>7.23</v>
      </c>
      <c r="N1174" s="4">
        <v>160</v>
      </c>
      <c r="O1174" s="4">
        <v>0.96</v>
      </c>
      <c r="P1174" s="4"/>
      <c r="Q1174" s="4">
        <v>287</v>
      </c>
      <c r="R1174" s="4">
        <v>22.4</v>
      </c>
      <c r="S1174" s="4">
        <v>0.89</v>
      </c>
      <c r="T1174" s="4"/>
      <c r="U1174" s="4"/>
      <c r="V1174" s="4"/>
      <c r="W1174" s="4"/>
      <c r="X1174" s="4"/>
      <c r="Y1174" s="4"/>
      <c r="Z1174" s="4"/>
      <c r="AA1174" s="4"/>
      <c r="AB1174" s="4"/>
      <c r="AC1174" s="23"/>
      <c r="AD1174" s="23"/>
      <c r="AE1174" s="23"/>
      <c r="AF1174" s="23"/>
      <c r="AG1174" s="23"/>
      <c r="AH1174" s="23"/>
      <c r="AI1174" s="23"/>
      <c r="AJ1174" s="23"/>
      <c r="AK1174" s="23"/>
      <c r="AL1174" s="23"/>
      <c r="AM1174" s="23"/>
      <c r="AN1174" s="23"/>
      <c r="AO1174" s="23"/>
      <c r="AP1174" s="23"/>
      <c r="AQ1174" s="23"/>
      <c r="AR1174" s="23"/>
      <c r="AS1174" s="23"/>
      <c r="AT1174" s="23"/>
      <c r="AU1174" s="23"/>
      <c r="AV1174" s="23"/>
      <c r="AW1174" s="23"/>
      <c r="AX1174" s="23"/>
    </row>
    <row r="1175" spans="1:50" s="71" customFormat="1" ht="15" customHeight="1" x14ac:dyDescent="0.2">
      <c r="A1175" s="70" t="s">
        <v>927</v>
      </c>
      <c r="B1175" s="70" t="s">
        <v>928</v>
      </c>
      <c r="C1175" s="71" t="s">
        <v>929</v>
      </c>
      <c r="D1175" s="71" t="s">
        <v>31</v>
      </c>
      <c r="E1175" s="71" t="s">
        <v>46</v>
      </c>
      <c r="F1175" s="71" t="s">
        <v>782</v>
      </c>
      <c r="H1175" s="71" t="s">
        <v>33</v>
      </c>
      <c r="I1175" s="87"/>
      <c r="J1175" s="72">
        <f t="shared" ref="J1175:O1175" si="364">J1174</f>
        <v>84.5</v>
      </c>
      <c r="K1175" s="72">
        <f t="shared" si="364"/>
        <v>4.37</v>
      </c>
      <c r="L1175" s="72">
        <f t="shared" si="364"/>
        <v>130</v>
      </c>
      <c r="M1175" s="72">
        <f t="shared" si="364"/>
        <v>7.23</v>
      </c>
      <c r="N1175" s="72">
        <f t="shared" si="364"/>
        <v>160</v>
      </c>
      <c r="O1175" s="72">
        <f t="shared" si="364"/>
        <v>0.96</v>
      </c>
      <c r="P1175" s="72"/>
      <c r="Q1175" s="72">
        <f>Q1174</f>
        <v>287</v>
      </c>
      <c r="R1175" s="72">
        <f>R1174</f>
        <v>22.4</v>
      </c>
      <c r="S1175" s="72">
        <f>S1174</f>
        <v>0.89</v>
      </c>
      <c r="T1175" s="72"/>
      <c r="U1175" s="72"/>
      <c r="V1175" s="72"/>
      <c r="W1175" s="72"/>
      <c r="X1175" s="72"/>
      <c r="Y1175" s="72"/>
      <c r="Z1175" s="72"/>
      <c r="AA1175" s="72"/>
      <c r="AB1175" s="72"/>
      <c r="AC1175" s="73"/>
      <c r="AD1175" s="73"/>
      <c r="AE1175" s="73"/>
      <c r="AF1175" s="73"/>
      <c r="AG1175" s="73"/>
      <c r="AH1175" s="73"/>
      <c r="AI1175" s="73"/>
      <c r="AJ1175" s="73"/>
      <c r="AK1175" s="73"/>
      <c r="AL1175" s="73"/>
      <c r="AM1175" s="73"/>
      <c r="AN1175" s="73"/>
      <c r="AO1175" s="73"/>
      <c r="AP1175" s="73"/>
      <c r="AQ1175" s="73"/>
      <c r="AR1175" s="73"/>
      <c r="AS1175" s="73"/>
      <c r="AT1175" s="73"/>
      <c r="AU1175" s="73"/>
      <c r="AV1175" s="73"/>
      <c r="AW1175" s="73"/>
      <c r="AX1175" s="73"/>
    </row>
    <row r="1176" spans="1:50" ht="15" customHeight="1" x14ac:dyDescent="0.2">
      <c r="A1176" s="24" t="s">
        <v>505</v>
      </c>
      <c r="B1176" s="24" t="s">
        <v>506</v>
      </c>
      <c r="D1176" s="22"/>
      <c r="E1176" s="22"/>
      <c r="H1176" s="2" t="s">
        <v>37</v>
      </c>
      <c r="I1176" s="243" t="s">
        <v>1010</v>
      </c>
      <c r="J1176" s="3">
        <v>34.200000000000003</v>
      </c>
      <c r="K1176" s="3">
        <v>12.2</v>
      </c>
      <c r="L1176" s="3">
        <v>61</v>
      </c>
      <c r="M1176" s="3">
        <v>4.0999999999999996</v>
      </c>
      <c r="P1176" s="4" t="s">
        <v>0</v>
      </c>
    </row>
    <row r="1177" spans="1:50" ht="15" customHeight="1" x14ac:dyDescent="0.2">
      <c r="A1177" s="24" t="s">
        <v>505</v>
      </c>
      <c r="B1177" s="24" t="s">
        <v>506</v>
      </c>
      <c r="D1177" s="22"/>
      <c r="E1177" s="22"/>
      <c r="H1177" s="2" t="s">
        <v>37</v>
      </c>
      <c r="I1177" s="243" t="s">
        <v>1006</v>
      </c>
      <c r="J1177" s="3">
        <v>34</v>
      </c>
      <c r="K1177" s="3">
        <v>12.172999999999998</v>
      </c>
      <c r="L1177" s="3">
        <v>60.996599999999994</v>
      </c>
      <c r="M1177" s="3">
        <v>4.0795999999999992</v>
      </c>
      <c r="P1177" s="4">
        <f t="shared" ref="P1177" si="365">AN1177</f>
        <v>0</v>
      </c>
      <c r="R1177" s="3">
        <v>0</v>
      </c>
      <c r="AE1177" s="23"/>
      <c r="AN1177" s="23"/>
    </row>
    <row r="1178" spans="1:50" s="71" customFormat="1" ht="15" customHeight="1" x14ac:dyDescent="0.2">
      <c r="A1178" s="70" t="s">
        <v>505</v>
      </c>
      <c r="B1178" s="70" t="s">
        <v>506</v>
      </c>
      <c r="C1178" s="71" t="s">
        <v>507</v>
      </c>
      <c r="D1178" s="71" t="s">
        <v>173</v>
      </c>
      <c r="E1178" s="71" t="s">
        <v>42</v>
      </c>
      <c r="F1178" s="71" t="s">
        <v>784</v>
      </c>
      <c r="H1178" s="71" t="s">
        <v>37</v>
      </c>
      <c r="I1178" s="87"/>
      <c r="J1178" s="72">
        <f t="shared" ref="J1178" si="366">AVERAGE(J1176:J1177)</f>
        <v>34.1</v>
      </c>
      <c r="K1178" s="72">
        <f>AVERAGE(K1176:K1177)</f>
        <v>12.186499999999999</v>
      </c>
      <c r="L1178" s="72">
        <f>AVERAGE(L1176:L1177)</f>
        <v>60.9983</v>
      </c>
      <c r="M1178" s="72">
        <f>AVERAGE(M1176:M1177)</f>
        <v>4.0897999999999994</v>
      </c>
      <c r="N1178" s="72"/>
      <c r="O1178" s="72"/>
      <c r="P1178" s="72">
        <f>AVERAGE(P1176:P1177)</f>
        <v>0</v>
      </c>
      <c r="Q1178" s="72"/>
      <c r="R1178" s="72">
        <f>AVERAGE(R1176:R1177)</f>
        <v>0</v>
      </c>
      <c r="S1178" s="72"/>
      <c r="T1178" s="72"/>
      <c r="U1178" s="72"/>
      <c r="V1178" s="72"/>
      <c r="W1178" s="72"/>
      <c r="X1178" s="72"/>
      <c r="Y1178" s="72"/>
      <c r="Z1178" s="72"/>
      <c r="AA1178" s="72"/>
      <c r="AB1178" s="72"/>
      <c r="AC1178" s="73"/>
      <c r="AD1178" s="73"/>
      <c r="AE1178" s="73"/>
      <c r="AF1178" s="73"/>
      <c r="AG1178" s="73"/>
      <c r="AH1178" s="73"/>
      <c r="AI1178" s="73"/>
      <c r="AJ1178" s="73"/>
      <c r="AK1178" s="73"/>
      <c r="AL1178" s="73"/>
      <c r="AM1178" s="73"/>
      <c r="AN1178" s="73"/>
      <c r="AO1178" s="73"/>
      <c r="AP1178" s="73"/>
      <c r="AQ1178" s="73"/>
      <c r="AR1178" s="73"/>
      <c r="AS1178" s="73"/>
      <c r="AT1178" s="73"/>
      <c r="AU1178" s="73"/>
      <c r="AV1178" s="73"/>
      <c r="AW1178" s="73"/>
      <c r="AX1178" s="73"/>
    </row>
    <row r="1179" spans="1:50" s="22" customFormat="1" ht="15" customHeight="1" x14ac:dyDescent="0.2">
      <c r="A1179" s="21" t="s">
        <v>505</v>
      </c>
      <c r="B1179" s="21" t="s">
        <v>506</v>
      </c>
      <c r="C1179" s="22" t="s">
        <v>0</v>
      </c>
      <c r="H1179" s="22" t="s">
        <v>27</v>
      </c>
      <c r="I1179" s="65" t="s">
        <v>1006</v>
      </c>
      <c r="J1179" s="4">
        <v>58</v>
      </c>
      <c r="K1179" s="4">
        <v>1.9182000000000001</v>
      </c>
      <c r="L1179" s="4">
        <v>49.998300000000008</v>
      </c>
      <c r="M1179" s="4">
        <v>2.5854000000000004</v>
      </c>
      <c r="N1179" s="4"/>
      <c r="O1179" s="4"/>
      <c r="P1179" s="4">
        <f t="shared" ref="P1179" si="367">AN1179</f>
        <v>0</v>
      </c>
      <c r="Q1179" s="4"/>
      <c r="R1179" s="4">
        <v>26.979900000000004</v>
      </c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23"/>
      <c r="AD1179" s="23"/>
      <c r="AE1179" s="23"/>
      <c r="AF1179" s="23"/>
      <c r="AG1179" s="23"/>
      <c r="AH1179" s="23"/>
      <c r="AI1179" s="23"/>
      <c r="AJ1179" s="23"/>
      <c r="AK1179" s="23"/>
      <c r="AL1179" s="23"/>
      <c r="AM1179" s="23"/>
      <c r="AN1179" s="23"/>
      <c r="AO1179" s="23"/>
      <c r="AP1179" s="23"/>
      <c r="AQ1179" s="23"/>
      <c r="AR1179" s="23"/>
      <c r="AS1179" s="23"/>
      <c r="AT1179" s="23"/>
      <c r="AU1179" s="23"/>
      <c r="AV1179" s="23"/>
      <c r="AW1179" s="23"/>
      <c r="AX1179" s="23"/>
    </row>
    <row r="1180" spans="1:50" s="71" customFormat="1" ht="15" customHeight="1" x14ac:dyDescent="0.2">
      <c r="A1180" s="70" t="s">
        <v>505</v>
      </c>
      <c r="B1180" s="70" t="s">
        <v>506</v>
      </c>
      <c r="C1180" s="71" t="s">
        <v>507</v>
      </c>
      <c r="D1180" s="71" t="s">
        <v>173</v>
      </c>
      <c r="E1180" s="71" t="s">
        <v>42</v>
      </c>
      <c r="F1180" s="71" t="s">
        <v>784</v>
      </c>
      <c r="H1180" s="71" t="s">
        <v>27</v>
      </c>
      <c r="I1180" s="87"/>
      <c r="J1180" s="72">
        <f>J1179</f>
        <v>58</v>
      </c>
      <c r="K1180" s="72">
        <f>K1179</f>
        <v>1.9182000000000001</v>
      </c>
      <c r="L1180" s="72">
        <f>L1179</f>
        <v>49.998300000000008</v>
      </c>
      <c r="M1180" s="72">
        <f>M1179</f>
        <v>2.5854000000000004</v>
      </c>
      <c r="N1180" s="72"/>
      <c r="O1180" s="72"/>
      <c r="P1180" s="72">
        <f>P1179</f>
        <v>0</v>
      </c>
      <c r="Q1180" s="72"/>
      <c r="R1180" s="72">
        <f>R1179</f>
        <v>26.979900000000004</v>
      </c>
      <c r="S1180" s="72"/>
      <c r="T1180" s="72"/>
      <c r="U1180" s="72"/>
      <c r="V1180" s="72"/>
      <c r="W1180" s="72"/>
      <c r="X1180" s="72"/>
      <c r="Y1180" s="72"/>
      <c r="Z1180" s="72"/>
      <c r="AA1180" s="72"/>
      <c r="AB1180" s="72"/>
      <c r="AC1180" s="73"/>
      <c r="AD1180" s="73"/>
      <c r="AE1180" s="73"/>
      <c r="AF1180" s="73"/>
      <c r="AG1180" s="73"/>
      <c r="AH1180" s="73"/>
      <c r="AI1180" s="73"/>
      <c r="AJ1180" s="73"/>
      <c r="AK1180" s="73"/>
      <c r="AL1180" s="73"/>
      <c r="AM1180" s="73"/>
      <c r="AN1180" s="73"/>
      <c r="AO1180" s="73"/>
      <c r="AP1180" s="73"/>
      <c r="AQ1180" s="73"/>
      <c r="AR1180" s="73"/>
      <c r="AS1180" s="73"/>
      <c r="AT1180" s="73"/>
      <c r="AU1180" s="73"/>
      <c r="AV1180" s="73"/>
      <c r="AW1180" s="73"/>
      <c r="AX1180" s="73"/>
    </row>
    <row r="1181" spans="1:50" ht="15" customHeight="1" x14ac:dyDescent="0.2">
      <c r="A1181" s="55" t="s">
        <v>505</v>
      </c>
      <c r="B1181" s="55" t="s">
        <v>508</v>
      </c>
      <c r="C1181" s="56" t="s">
        <v>0</v>
      </c>
      <c r="D1181" s="22"/>
      <c r="E1181" s="22"/>
      <c r="F1181" s="57"/>
      <c r="G1181" s="57"/>
      <c r="H1181" s="57" t="s">
        <v>37</v>
      </c>
      <c r="I1181" s="249" t="s">
        <v>1007</v>
      </c>
      <c r="J1181" s="58">
        <v>70.239999999999995</v>
      </c>
      <c r="K1181" s="58">
        <v>4.9000000000000004</v>
      </c>
      <c r="L1181" s="58">
        <v>34</v>
      </c>
      <c r="M1181" s="58">
        <v>3.14</v>
      </c>
      <c r="N1181" s="58">
        <v>58</v>
      </c>
      <c r="O1181" s="58">
        <v>0.78</v>
      </c>
      <c r="P1181" s="4">
        <f t="shared" ref="P1181:P1185" si="368">AN1181</f>
        <v>0</v>
      </c>
      <c r="Q1181" s="58">
        <v>34</v>
      </c>
      <c r="R1181" s="58">
        <v>23.4</v>
      </c>
      <c r="S1181" s="58">
        <v>0.32</v>
      </c>
      <c r="T1181" s="58"/>
      <c r="U1181" s="58"/>
      <c r="V1181" s="58"/>
      <c r="W1181" s="58"/>
      <c r="X1181" s="58"/>
      <c r="Y1181" s="58"/>
      <c r="Z1181" s="58"/>
      <c r="AA1181" s="58"/>
      <c r="AB1181" s="58"/>
      <c r="AI1181" s="23"/>
      <c r="AN1181" s="23"/>
    </row>
    <row r="1182" spans="1:50" ht="15" customHeight="1" x14ac:dyDescent="0.2">
      <c r="A1182" s="34" t="s">
        <v>505</v>
      </c>
      <c r="B1182" s="34" t="s">
        <v>508</v>
      </c>
      <c r="C1182" s="33"/>
      <c r="D1182" s="22"/>
      <c r="E1182" s="22"/>
      <c r="F1182" s="33"/>
      <c r="G1182" s="33"/>
      <c r="H1182" s="57" t="s">
        <v>37</v>
      </c>
      <c r="I1182" s="245" t="s">
        <v>1006</v>
      </c>
      <c r="J1182" s="36">
        <v>69</v>
      </c>
      <c r="K1182" s="36">
        <v>5.5124999999999984</v>
      </c>
      <c r="L1182" s="36" t="s">
        <v>55</v>
      </c>
      <c r="M1182" s="36" t="s">
        <v>55</v>
      </c>
      <c r="N1182" s="36"/>
      <c r="P1182" s="4">
        <f t="shared" si="368"/>
        <v>0</v>
      </c>
      <c r="Q1182" s="36"/>
      <c r="R1182" s="36" t="s">
        <v>55</v>
      </c>
      <c r="T1182" s="36"/>
      <c r="U1182" s="36"/>
      <c r="V1182" s="36"/>
      <c r="W1182" s="36"/>
      <c r="X1182" s="36"/>
      <c r="Y1182" s="36"/>
      <c r="Z1182" s="36"/>
      <c r="AA1182" s="36"/>
      <c r="AB1182" s="36"/>
      <c r="AE1182" s="23"/>
      <c r="AN1182" s="23"/>
    </row>
    <row r="1183" spans="1:50" ht="15" customHeight="1" x14ac:dyDescent="0.2">
      <c r="A1183" s="24" t="s">
        <v>505</v>
      </c>
      <c r="B1183" s="24" t="s">
        <v>508</v>
      </c>
      <c r="D1183" s="22"/>
      <c r="E1183" s="22"/>
      <c r="H1183" s="57" t="s">
        <v>37</v>
      </c>
      <c r="I1183" s="243" t="s">
        <v>1006</v>
      </c>
      <c r="J1183" s="3">
        <v>64</v>
      </c>
      <c r="K1183" s="3">
        <v>1.7787000000000002</v>
      </c>
      <c r="L1183" s="3">
        <v>33.759</v>
      </c>
      <c r="M1183" s="3">
        <v>3.0129000000000001</v>
      </c>
      <c r="P1183" s="4">
        <f t="shared" si="368"/>
        <v>0</v>
      </c>
      <c r="R1183" s="3">
        <v>2.8313999999999999</v>
      </c>
      <c r="AE1183" s="23"/>
      <c r="AN1183" s="23"/>
    </row>
    <row r="1184" spans="1:50" ht="15" customHeight="1" x14ac:dyDescent="0.2">
      <c r="A1184" s="24" t="s">
        <v>505</v>
      </c>
      <c r="B1184" s="24" t="s">
        <v>508</v>
      </c>
      <c r="D1184" s="22"/>
      <c r="E1184" s="22"/>
      <c r="H1184" s="57" t="s">
        <v>37</v>
      </c>
      <c r="I1184" s="243" t="s">
        <v>1010</v>
      </c>
      <c r="J1184" s="3">
        <v>68.3</v>
      </c>
      <c r="K1184" s="3">
        <v>1.6</v>
      </c>
      <c r="L1184" s="3">
        <v>102</v>
      </c>
      <c r="M1184" s="3">
        <v>2.8</v>
      </c>
      <c r="N1184" s="3">
        <v>51</v>
      </c>
      <c r="P1184" s="4">
        <f t="shared" si="368"/>
        <v>0</v>
      </c>
      <c r="R1184" s="3">
        <v>29</v>
      </c>
      <c r="AI1184" s="23"/>
      <c r="AN1184" s="23"/>
    </row>
    <row r="1185" spans="1:50" ht="15" customHeight="1" x14ac:dyDescent="0.2">
      <c r="A1185" s="24" t="s">
        <v>505</v>
      </c>
      <c r="B1185" s="24" t="s">
        <v>508</v>
      </c>
      <c r="D1185" s="22"/>
      <c r="E1185" s="22"/>
      <c r="H1185" s="57" t="s">
        <v>37</v>
      </c>
      <c r="I1185" s="243" t="s">
        <v>1006</v>
      </c>
      <c r="J1185" s="3">
        <v>68</v>
      </c>
      <c r="K1185" s="3">
        <v>1.7874999999999999</v>
      </c>
      <c r="L1185" s="3">
        <v>51.999999999999993</v>
      </c>
      <c r="M1185" s="3">
        <v>2.7949999999999995</v>
      </c>
      <c r="P1185" s="4">
        <f t="shared" si="368"/>
        <v>0</v>
      </c>
      <c r="R1185" s="3">
        <v>28.99</v>
      </c>
      <c r="AE1185" s="23"/>
      <c r="AN1185" s="23"/>
    </row>
    <row r="1186" spans="1:50" ht="15" customHeight="1" x14ac:dyDescent="0.2">
      <c r="A1186" s="24" t="s">
        <v>505</v>
      </c>
      <c r="B1186" s="24" t="s">
        <v>508</v>
      </c>
      <c r="D1186" s="22"/>
      <c r="E1186" s="22"/>
      <c r="H1186" s="57" t="s">
        <v>37</v>
      </c>
      <c r="I1186" s="243" t="s">
        <v>1006</v>
      </c>
      <c r="J1186" s="3">
        <v>61</v>
      </c>
      <c r="K1186" s="3">
        <v>1.2384000000000002</v>
      </c>
      <c r="L1186" s="3">
        <v>30.727800000000002</v>
      </c>
      <c r="M1186" s="3">
        <v>2.7090000000000001</v>
      </c>
      <c r="P1186" s="4" t="s">
        <v>0</v>
      </c>
      <c r="R1186" s="3">
        <v>36.842400000000005</v>
      </c>
    </row>
    <row r="1187" spans="1:50" s="71" customFormat="1" ht="15" customHeight="1" x14ac:dyDescent="0.2">
      <c r="A1187" s="70" t="s">
        <v>505</v>
      </c>
      <c r="B1187" s="70" t="s">
        <v>508</v>
      </c>
      <c r="C1187" s="71" t="s">
        <v>509</v>
      </c>
      <c r="D1187" s="71" t="s">
        <v>173</v>
      </c>
      <c r="E1187" s="71" t="s">
        <v>42</v>
      </c>
      <c r="F1187" s="71" t="s">
        <v>784</v>
      </c>
      <c r="H1187" s="71" t="s">
        <v>37</v>
      </c>
      <c r="I1187" s="87"/>
      <c r="J1187" s="72">
        <f t="shared" ref="J1187" si="369">AVERAGE(J1181:J1186)</f>
        <v>66.756666666666675</v>
      </c>
      <c r="K1187" s="72">
        <f t="shared" ref="K1187:S1187" si="370">AVERAGE(K1181:K1186)</f>
        <v>2.8028499999999994</v>
      </c>
      <c r="L1187" s="72">
        <f t="shared" si="370"/>
        <v>50.49736</v>
      </c>
      <c r="M1187" s="72">
        <f t="shared" si="370"/>
        <v>2.8913799999999998</v>
      </c>
      <c r="N1187" s="72">
        <f t="shared" si="370"/>
        <v>54.5</v>
      </c>
      <c r="O1187" s="72">
        <f t="shared" si="370"/>
        <v>0.78</v>
      </c>
      <c r="P1187" s="72">
        <f t="shared" si="370"/>
        <v>0</v>
      </c>
      <c r="Q1187" s="72">
        <f t="shared" si="370"/>
        <v>34</v>
      </c>
      <c r="R1187" s="72">
        <f t="shared" si="370"/>
        <v>24.212759999999996</v>
      </c>
      <c r="S1187" s="72">
        <f t="shared" si="370"/>
        <v>0.32</v>
      </c>
      <c r="T1187" s="72"/>
      <c r="U1187" s="72"/>
      <c r="V1187" s="72"/>
      <c r="W1187" s="72"/>
      <c r="X1187" s="72"/>
      <c r="Y1187" s="72"/>
      <c r="Z1187" s="72"/>
      <c r="AA1187" s="72"/>
      <c r="AB1187" s="72"/>
      <c r="AC1187" s="73"/>
      <c r="AD1187" s="73"/>
      <c r="AE1187" s="73"/>
      <c r="AF1187" s="73"/>
      <c r="AG1187" s="73"/>
      <c r="AH1187" s="73"/>
      <c r="AI1187" s="73"/>
      <c r="AJ1187" s="73"/>
      <c r="AK1187" s="73"/>
      <c r="AL1187" s="73"/>
      <c r="AM1187" s="73"/>
      <c r="AN1187" s="73"/>
      <c r="AO1187" s="73"/>
      <c r="AP1187" s="73"/>
      <c r="AQ1187" s="73"/>
      <c r="AR1187" s="73"/>
      <c r="AS1187" s="73"/>
      <c r="AT1187" s="73"/>
      <c r="AU1187" s="73"/>
      <c r="AV1187" s="73"/>
      <c r="AW1187" s="73"/>
      <c r="AX1187" s="73"/>
    </row>
    <row r="1188" spans="1:50" ht="15" customHeight="1" x14ac:dyDescent="0.2">
      <c r="A1188" s="55" t="s">
        <v>505</v>
      </c>
      <c r="B1188" s="55" t="s">
        <v>146</v>
      </c>
      <c r="C1188" s="56" t="s">
        <v>0</v>
      </c>
      <c r="D1188" s="22"/>
      <c r="E1188" s="22"/>
      <c r="F1188" s="57"/>
      <c r="G1188" s="57"/>
      <c r="H1188" s="57" t="s">
        <v>27</v>
      </c>
      <c r="I1188" s="249" t="s">
        <v>1007</v>
      </c>
      <c r="J1188" s="58">
        <v>90.32</v>
      </c>
      <c r="K1188" s="58">
        <v>2.7</v>
      </c>
      <c r="L1188" s="58">
        <v>37</v>
      </c>
      <c r="M1188" s="58">
        <v>1.03</v>
      </c>
      <c r="N1188" s="58">
        <v>25</v>
      </c>
      <c r="O1188" s="58">
        <v>0.24</v>
      </c>
      <c r="P1188" s="4">
        <f t="shared" ref="P1188:P1190" si="371">AN1188</f>
        <v>0</v>
      </c>
      <c r="Q1188" s="58">
        <v>33</v>
      </c>
      <c r="R1188" s="58">
        <v>12.2</v>
      </c>
      <c r="S1188" s="58">
        <v>0.41</v>
      </c>
      <c r="T1188" s="58"/>
      <c r="U1188" s="58"/>
      <c r="V1188" s="58"/>
      <c r="W1188" s="58"/>
      <c r="X1188" s="58"/>
      <c r="Y1188" s="58"/>
      <c r="Z1188" s="58"/>
      <c r="AA1188" s="58"/>
      <c r="AB1188" s="58"/>
      <c r="AI1188" s="23"/>
      <c r="AN1188" s="23"/>
    </row>
    <row r="1189" spans="1:50" ht="15" customHeight="1" x14ac:dyDescent="0.2">
      <c r="A1189" s="55" t="s">
        <v>505</v>
      </c>
      <c r="B1189" s="55" t="s">
        <v>146</v>
      </c>
      <c r="C1189" s="56" t="s">
        <v>0</v>
      </c>
      <c r="D1189" s="22"/>
      <c r="E1189" s="22"/>
      <c r="F1189" s="57"/>
      <c r="G1189" s="57"/>
      <c r="H1189" s="57" t="s">
        <v>27</v>
      </c>
      <c r="I1189" s="249" t="s">
        <v>1007</v>
      </c>
      <c r="J1189" s="58">
        <v>90.27</v>
      </c>
      <c r="K1189" s="58">
        <v>3.4</v>
      </c>
      <c r="L1189" s="58">
        <v>37</v>
      </c>
      <c r="M1189" s="58">
        <v>1.04</v>
      </c>
      <c r="N1189" s="58">
        <v>25</v>
      </c>
      <c r="O1189" s="58">
        <v>0.24</v>
      </c>
      <c r="P1189" s="4">
        <f t="shared" si="371"/>
        <v>0</v>
      </c>
      <c r="Q1189" s="58">
        <v>37</v>
      </c>
      <c r="R1189" s="58">
        <v>16.3</v>
      </c>
      <c r="S1189" s="58">
        <v>0.41</v>
      </c>
      <c r="T1189" s="58"/>
      <c r="U1189" s="58"/>
      <c r="V1189" s="58"/>
      <c r="W1189" s="58"/>
      <c r="X1189" s="58"/>
      <c r="Y1189" s="58"/>
      <c r="Z1189" s="58"/>
      <c r="AA1189" s="58"/>
      <c r="AB1189" s="58"/>
      <c r="AI1189" s="23"/>
      <c r="AN1189" s="23"/>
    </row>
    <row r="1190" spans="1:50" ht="15" customHeight="1" x14ac:dyDescent="0.2">
      <c r="A1190" s="24" t="s">
        <v>505</v>
      </c>
      <c r="B1190" s="24" t="s">
        <v>146</v>
      </c>
      <c r="D1190" s="22"/>
      <c r="E1190" s="22"/>
      <c r="F1190" s="57"/>
      <c r="G1190" s="57"/>
      <c r="H1190" s="57" t="s">
        <v>27</v>
      </c>
      <c r="I1190" s="243" t="s">
        <v>1010</v>
      </c>
      <c r="J1190" s="3">
        <v>90.9</v>
      </c>
      <c r="K1190" s="3">
        <v>1.2</v>
      </c>
      <c r="L1190" s="3">
        <v>50</v>
      </c>
      <c r="M1190" s="3">
        <v>0.9</v>
      </c>
      <c r="N1190" s="3">
        <v>34</v>
      </c>
      <c r="P1190" s="4">
        <f t="shared" si="371"/>
        <v>0</v>
      </c>
      <c r="R1190" s="3">
        <v>19</v>
      </c>
      <c r="AI1190" s="23"/>
      <c r="AN1190" s="23"/>
    </row>
    <row r="1191" spans="1:50" s="71" customFormat="1" ht="15" customHeight="1" x14ac:dyDescent="0.2">
      <c r="A1191" s="70" t="s">
        <v>505</v>
      </c>
      <c r="B1191" s="70" t="s">
        <v>146</v>
      </c>
      <c r="C1191" s="71" t="s">
        <v>510</v>
      </c>
      <c r="D1191" s="71" t="s">
        <v>56</v>
      </c>
      <c r="E1191" s="71" t="s">
        <v>42</v>
      </c>
      <c r="F1191" s="71" t="s">
        <v>784</v>
      </c>
      <c r="H1191" s="71" t="s">
        <v>27</v>
      </c>
      <c r="I1191" s="87"/>
      <c r="J1191" s="72">
        <f t="shared" ref="J1191" si="372">AVERAGE(J1188:J1190)</f>
        <v>90.49666666666667</v>
      </c>
      <c r="K1191" s="72">
        <f t="shared" ref="K1191:S1191" si="373">AVERAGE(K1188:K1190)</f>
        <v>2.4333333333333331</v>
      </c>
      <c r="L1191" s="72">
        <f t="shared" si="373"/>
        <v>41.333333333333336</v>
      </c>
      <c r="M1191" s="72">
        <f t="shared" si="373"/>
        <v>0.9900000000000001</v>
      </c>
      <c r="N1191" s="72">
        <f t="shared" si="373"/>
        <v>28</v>
      </c>
      <c r="O1191" s="72">
        <f t="shared" si="373"/>
        <v>0.24</v>
      </c>
      <c r="P1191" s="72">
        <f t="shared" si="373"/>
        <v>0</v>
      </c>
      <c r="Q1191" s="72">
        <f t="shared" si="373"/>
        <v>35</v>
      </c>
      <c r="R1191" s="72">
        <f t="shared" si="373"/>
        <v>15.833333333333334</v>
      </c>
      <c r="S1191" s="72">
        <f t="shared" si="373"/>
        <v>0.41</v>
      </c>
      <c r="T1191" s="72"/>
      <c r="U1191" s="72"/>
      <c r="V1191" s="72"/>
      <c r="W1191" s="72"/>
      <c r="X1191" s="72"/>
      <c r="Y1191" s="72"/>
      <c r="Z1191" s="72"/>
      <c r="AA1191" s="72"/>
      <c r="AB1191" s="72"/>
      <c r="AC1191" s="73"/>
      <c r="AD1191" s="73"/>
      <c r="AE1191" s="73"/>
      <c r="AF1191" s="73"/>
      <c r="AG1191" s="73"/>
      <c r="AH1191" s="73"/>
      <c r="AI1191" s="73"/>
      <c r="AJ1191" s="73"/>
      <c r="AK1191" s="73"/>
      <c r="AL1191" s="73"/>
      <c r="AM1191" s="73"/>
      <c r="AN1191" s="73"/>
      <c r="AO1191" s="73"/>
      <c r="AP1191" s="73"/>
      <c r="AQ1191" s="73"/>
      <c r="AR1191" s="73"/>
      <c r="AS1191" s="73"/>
      <c r="AT1191" s="73"/>
      <c r="AU1191" s="73"/>
      <c r="AV1191" s="73"/>
      <c r="AW1191" s="73"/>
      <c r="AX1191" s="73"/>
    </row>
    <row r="1192" spans="1:50" s="22" customFormat="1" ht="15" customHeight="1" x14ac:dyDescent="0.2">
      <c r="A1192" s="25" t="s">
        <v>511</v>
      </c>
      <c r="B1192" s="25" t="s">
        <v>430</v>
      </c>
      <c r="C1192" s="22" t="s">
        <v>0</v>
      </c>
      <c r="H1192" s="22" t="s">
        <v>33</v>
      </c>
      <c r="I1192" s="65" t="s">
        <v>1023</v>
      </c>
      <c r="J1192" s="4">
        <v>95</v>
      </c>
      <c r="K1192" s="4">
        <v>1.3</v>
      </c>
      <c r="L1192" s="4">
        <v>103</v>
      </c>
      <c r="M1192" s="4">
        <v>0.1</v>
      </c>
      <c r="N1192" s="4"/>
      <c r="O1192" s="4"/>
      <c r="P1192" s="4" t="s">
        <v>0</v>
      </c>
      <c r="Q1192" s="4"/>
      <c r="R1192" s="4">
        <v>32</v>
      </c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23"/>
      <c r="AD1192" s="23"/>
      <c r="AE1192" s="23"/>
      <c r="AF1192" s="23"/>
      <c r="AG1192" s="23"/>
      <c r="AH1192" s="23"/>
      <c r="AI1192" s="23"/>
      <c r="AJ1192" s="23"/>
      <c r="AK1192" s="23"/>
      <c r="AL1192" s="23"/>
      <c r="AM1192" s="23"/>
      <c r="AN1192" s="23"/>
      <c r="AO1192" s="23"/>
      <c r="AP1192" s="23"/>
      <c r="AQ1192" s="23"/>
      <c r="AR1192" s="23"/>
      <c r="AS1192" s="23"/>
      <c r="AT1192" s="23"/>
      <c r="AU1192" s="23"/>
      <c r="AV1192" s="23"/>
      <c r="AW1192" s="23"/>
      <c r="AX1192" s="23"/>
    </row>
    <row r="1193" spans="1:50" s="71" customFormat="1" ht="15" customHeight="1" x14ac:dyDescent="0.2">
      <c r="A1193" s="77" t="s">
        <v>511</v>
      </c>
      <c r="B1193" s="77" t="s">
        <v>430</v>
      </c>
      <c r="C1193" s="71" t="s">
        <v>512</v>
      </c>
      <c r="D1193" s="71" t="s">
        <v>31</v>
      </c>
      <c r="E1193" s="71" t="s">
        <v>46</v>
      </c>
      <c r="F1193" s="71" t="s">
        <v>885</v>
      </c>
      <c r="H1193" s="71" t="s">
        <v>33</v>
      </c>
      <c r="I1193" s="87"/>
      <c r="J1193" s="72">
        <f t="shared" ref="J1193" si="374">J1192</f>
        <v>95</v>
      </c>
      <c r="K1193" s="72">
        <f>K1192</f>
        <v>1.3</v>
      </c>
      <c r="L1193" s="72">
        <f>L1192</f>
        <v>103</v>
      </c>
      <c r="M1193" s="72">
        <f>M1192</f>
        <v>0.1</v>
      </c>
      <c r="N1193" s="72"/>
      <c r="O1193" s="72"/>
      <c r="P1193" s="72"/>
      <c r="Q1193" s="72"/>
      <c r="R1193" s="72">
        <f>R1192</f>
        <v>32</v>
      </c>
      <c r="S1193" s="72"/>
      <c r="T1193" s="72"/>
      <c r="U1193" s="72"/>
      <c r="V1193" s="72"/>
      <c r="W1193" s="72"/>
      <c r="X1193" s="72"/>
      <c r="Y1193" s="72"/>
      <c r="Z1193" s="72"/>
      <c r="AA1193" s="72"/>
      <c r="AB1193" s="72"/>
      <c r="AC1193" s="73"/>
      <c r="AD1193" s="73"/>
      <c r="AE1193" s="73"/>
      <c r="AF1193" s="73"/>
      <c r="AG1193" s="73"/>
      <c r="AH1193" s="73"/>
      <c r="AI1193" s="73"/>
      <c r="AJ1193" s="73"/>
      <c r="AK1193" s="73"/>
      <c r="AL1193" s="73"/>
      <c r="AM1193" s="73"/>
      <c r="AN1193" s="73"/>
      <c r="AO1193" s="73"/>
      <c r="AP1193" s="73"/>
      <c r="AQ1193" s="73"/>
      <c r="AR1193" s="73"/>
      <c r="AS1193" s="73"/>
      <c r="AT1193" s="73"/>
      <c r="AU1193" s="73"/>
      <c r="AV1193" s="73"/>
      <c r="AW1193" s="73"/>
      <c r="AX1193" s="73"/>
    </row>
    <row r="1194" spans="1:50" s="22" customFormat="1" ht="15" customHeight="1" x14ac:dyDescent="0.2">
      <c r="A1194" s="25" t="s">
        <v>513</v>
      </c>
      <c r="B1194" s="25" t="s">
        <v>210</v>
      </c>
      <c r="H1194" s="22" t="s">
        <v>131</v>
      </c>
      <c r="I1194" s="65" t="s">
        <v>1021</v>
      </c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23"/>
      <c r="AD1194" s="23"/>
      <c r="AE1194" s="23"/>
      <c r="AF1194" s="23"/>
      <c r="AG1194" s="23"/>
      <c r="AH1194" s="23"/>
      <c r="AI1194" s="23"/>
      <c r="AJ1194" s="23"/>
      <c r="AK1194" s="23"/>
      <c r="AL1194" s="23"/>
      <c r="AM1194" s="23"/>
      <c r="AN1194" s="23"/>
      <c r="AO1194" s="23"/>
      <c r="AP1194" s="23"/>
      <c r="AQ1194" s="23"/>
      <c r="AR1194" s="23"/>
      <c r="AS1194" s="23"/>
      <c r="AT1194" s="23"/>
      <c r="AU1194" s="23"/>
      <c r="AV1194" s="23"/>
      <c r="AW1194" s="23"/>
      <c r="AX1194" s="23"/>
    </row>
    <row r="1195" spans="1:50" s="71" customFormat="1" ht="15" customHeight="1" x14ac:dyDescent="0.2">
      <c r="A1195" s="77" t="s">
        <v>513</v>
      </c>
      <c r="B1195" s="77" t="s">
        <v>210</v>
      </c>
      <c r="C1195" s="71" t="s">
        <v>906</v>
      </c>
      <c r="D1195" s="71" t="s">
        <v>31</v>
      </c>
      <c r="E1195" s="71" t="s">
        <v>32</v>
      </c>
      <c r="F1195" s="71" t="s">
        <v>132</v>
      </c>
      <c r="H1195" s="71" t="s">
        <v>131</v>
      </c>
      <c r="I1195" s="87"/>
      <c r="J1195" s="72"/>
      <c r="K1195" s="72"/>
      <c r="L1195" s="72"/>
      <c r="M1195" s="72"/>
      <c r="N1195" s="72"/>
      <c r="O1195" s="72"/>
      <c r="P1195" s="72"/>
      <c r="Q1195" s="72"/>
      <c r="R1195" s="72"/>
      <c r="S1195" s="72"/>
      <c r="T1195" s="72"/>
      <c r="U1195" s="72"/>
      <c r="V1195" s="72"/>
      <c r="W1195" s="72"/>
      <c r="X1195" s="72"/>
      <c r="Y1195" s="72"/>
      <c r="Z1195" s="72"/>
      <c r="AA1195" s="72"/>
      <c r="AB1195" s="72"/>
      <c r="AC1195" s="73"/>
      <c r="AD1195" s="73"/>
      <c r="AE1195" s="73"/>
      <c r="AF1195" s="73"/>
      <c r="AG1195" s="73"/>
      <c r="AH1195" s="73"/>
      <c r="AI1195" s="73"/>
      <c r="AJ1195" s="73"/>
      <c r="AK1195" s="73"/>
      <c r="AL1195" s="73"/>
      <c r="AM1195" s="73"/>
      <c r="AN1195" s="73"/>
      <c r="AO1195" s="73"/>
      <c r="AP1195" s="73"/>
      <c r="AQ1195" s="73"/>
      <c r="AR1195" s="73"/>
      <c r="AS1195" s="73"/>
      <c r="AT1195" s="73"/>
      <c r="AU1195" s="73"/>
      <c r="AV1195" s="73"/>
      <c r="AW1195" s="73"/>
      <c r="AX1195" s="73"/>
    </row>
    <row r="1196" spans="1:50" s="22" customFormat="1" ht="15" customHeight="1" x14ac:dyDescent="0.2">
      <c r="A1196" s="21" t="s">
        <v>513</v>
      </c>
      <c r="B1196" s="21" t="s">
        <v>79</v>
      </c>
      <c r="C1196" s="27" t="s">
        <v>0</v>
      </c>
      <c r="H1196" s="22" t="s">
        <v>33</v>
      </c>
      <c r="I1196" s="65" t="s">
        <v>1007</v>
      </c>
      <c r="J1196" s="4">
        <v>91</v>
      </c>
      <c r="K1196" s="4">
        <v>2.2000000000000002</v>
      </c>
      <c r="L1196" s="4">
        <v>13</v>
      </c>
      <c r="M1196" s="4">
        <v>0.5</v>
      </c>
      <c r="N1196" s="4">
        <v>3</v>
      </c>
      <c r="O1196" s="4">
        <v>1.1000000000000001</v>
      </c>
      <c r="P1196" s="4">
        <f t="shared" ref="P1196" si="375">AN1196</f>
        <v>0</v>
      </c>
      <c r="Q1196" s="4">
        <v>7</v>
      </c>
      <c r="R1196" s="4">
        <v>4</v>
      </c>
      <c r="S1196" s="4">
        <v>1</v>
      </c>
      <c r="T1196" s="4"/>
      <c r="U1196" s="4"/>
      <c r="V1196" s="4"/>
      <c r="W1196" s="4"/>
      <c r="X1196" s="4"/>
      <c r="Y1196" s="4"/>
      <c r="Z1196" s="4"/>
      <c r="AA1196" s="4"/>
      <c r="AB1196" s="4"/>
      <c r="AC1196" s="23"/>
      <c r="AD1196" s="23"/>
      <c r="AE1196" s="23"/>
      <c r="AF1196" s="23"/>
      <c r="AG1196" s="23"/>
      <c r="AH1196" s="23"/>
      <c r="AI1196" s="23"/>
      <c r="AJ1196" s="23"/>
      <c r="AK1196" s="23"/>
      <c r="AL1196" s="23"/>
      <c r="AM1196" s="23"/>
      <c r="AN1196" s="23"/>
      <c r="AO1196" s="23"/>
      <c r="AP1196" s="23"/>
      <c r="AQ1196" s="23"/>
      <c r="AR1196" s="23"/>
      <c r="AS1196" s="23"/>
      <c r="AT1196" s="23"/>
      <c r="AU1196" s="23"/>
      <c r="AV1196" s="23"/>
      <c r="AW1196" s="23"/>
      <c r="AX1196" s="23"/>
    </row>
    <row r="1197" spans="1:50" s="71" customFormat="1" ht="15" customHeight="1" x14ac:dyDescent="0.2">
      <c r="A1197" s="70" t="s">
        <v>513</v>
      </c>
      <c r="B1197" s="70" t="s">
        <v>79</v>
      </c>
      <c r="C1197" s="84" t="s">
        <v>514</v>
      </c>
      <c r="D1197" s="71" t="s">
        <v>31</v>
      </c>
      <c r="E1197" s="71" t="s">
        <v>32</v>
      </c>
      <c r="F1197" s="71" t="s">
        <v>132</v>
      </c>
      <c r="H1197" s="71" t="s">
        <v>33</v>
      </c>
      <c r="I1197" s="87"/>
      <c r="J1197" s="72">
        <f t="shared" ref="J1197" si="376">J1196</f>
        <v>91</v>
      </c>
      <c r="K1197" s="72">
        <f t="shared" ref="K1197:S1197" si="377">K1196</f>
        <v>2.2000000000000002</v>
      </c>
      <c r="L1197" s="72">
        <f t="shared" si="377"/>
        <v>13</v>
      </c>
      <c r="M1197" s="72">
        <f t="shared" si="377"/>
        <v>0.5</v>
      </c>
      <c r="N1197" s="72">
        <f t="shared" si="377"/>
        <v>3</v>
      </c>
      <c r="O1197" s="72">
        <f t="shared" si="377"/>
        <v>1.1000000000000001</v>
      </c>
      <c r="P1197" s="72">
        <f t="shared" si="377"/>
        <v>0</v>
      </c>
      <c r="Q1197" s="72">
        <f t="shared" si="377"/>
        <v>7</v>
      </c>
      <c r="R1197" s="72">
        <f t="shared" si="377"/>
        <v>4</v>
      </c>
      <c r="S1197" s="72">
        <f t="shared" si="377"/>
        <v>1</v>
      </c>
      <c r="T1197" s="72"/>
      <c r="U1197" s="72"/>
      <c r="V1197" s="72"/>
      <c r="W1197" s="72"/>
      <c r="X1197" s="72"/>
      <c r="Y1197" s="72"/>
      <c r="Z1197" s="72"/>
      <c r="AA1197" s="72"/>
      <c r="AB1197" s="72"/>
      <c r="AC1197" s="73"/>
      <c r="AD1197" s="73"/>
      <c r="AE1197" s="73"/>
      <c r="AF1197" s="73"/>
      <c r="AG1197" s="73"/>
      <c r="AH1197" s="73"/>
      <c r="AI1197" s="73"/>
      <c r="AJ1197" s="73"/>
      <c r="AK1197" s="73"/>
      <c r="AL1197" s="73"/>
      <c r="AM1197" s="73"/>
      <c r="AN1197" s="73"/>
      <c r="AO1197" s="73"/>
      <c r="AP1197" s="73"/>
      <c r="AQ1197" s="73"/>
      <c r="AR1197" s="73"/>
      <c r="AS1197" s="73"/>
      <c r="AT1197" s="73"/>
      <c r="AU1197" s="73"/>
      <c r="AV1197" s="73"/>
      <c r="AW1197" s="73"/>
      <c r="AX1197" s="73"/>
    </row>
    <row r="1198" spans="1:50" s="22" customFormat="1" ht="15" customHeight="1" x14ac:dyDescent="0.2">
      <c r="A1198" s="21" t="s">
        <v>515</v>
      </c>
      <c r="B1198" s="21" t="s">
        <v>897</v>
      </c>
      <c r="C1198" s="27"/>
      <c r="H1198" s="22" t="s">
        <v>28</v>
      </c>
      <c r="I1198" s="65" t="s">
        <v>1026</v>
      </c>
      <c r="J1198" s="4">
        <v>90.7</v>
      </c>
      <c r="K1198" s="4">
        <v>1.32</v>
      </c>
      <c r="L1198" s="4">
        <v>18</v>
      </c>
      <c r="M1198" s="4">
        <v>0.51</v>
      </c>
      <c r="N1198" s="4">
        <v>10</v>
      </c>
      <c r="O1198" s="4">
        <v>7.0000000000000007E-2</v>
      </c>
      <c r="P1198" s="4">
        <f>32/1000</f>
        <v>3.2000000000000001E-2</v>
      </c>
      <c r="Q1198" s="4">
        <v>7.35</v>
      </c>
      <c r="R1198" s="4">
        <v>23.4</v>
      </c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23"/>
      <c r="AD1198" s="23"/>
      <c r="AE1198" s="23"/>
      <c r="AF1198" s="23"/>
      <c r="AG1198" s="23"/>
      <c r="AH1198" s="23"/>
      <c r="AI1198" s="23"/>
      <c r="AJ1198" s="23"/>
      <c r="AK1198" s="23"/>
      <c r="AL1198" s="23"/>
      <c r="AM1198" s="23"/>
      <c r="AN1198" s="23"/>
      <c r="AO1198" s="23"/>
      <c r="AP1198" s="23"/>
      <c r="AQ1198" s="23"/>
      <c r="AR1198" s="23"/>
      <c r="AS1198" s="23"/>
      <c r="AT1198" s="23"/>
      <c r="AU1198" s="23"/>
      <c r="AV1198" s="23"/>
      <c r="AW1198" s="23"/>
      <c r="AX1198" s="23"/>
    </row>
    <row r="1199" spans="1:50" s="71" customFormat="1" ht="15" customHeight="1" x14ac:dyDescent="0.2">
      <c r="A1199" s="70" t="s">
        <v>515</v>
      </c>
      <c r="B1199" s="70" t="s">
        <v>897</v>
      </c>
      <c r="C1199" s="84" t="s">
        <v>897</v>
      </c>
      <c r="D1199" s="71" t="s">
        <v>31</v>
      </c>
      <c r="E1199" s="71" t="s">
        <v>46</v>
      </c>
      <c r="F1199" s="71" t="s">
        <v>782</v>
      </c>
      <c r="H1199" s="71" t="s">
        <v>28</v>
      </c>
      <c r="I1199" s="87"/>
      <c r="J1199" s="72">
        <f t="shared" ref="J1199:R1199" si="378">J1198</f>
        <v>90.7</v>
      </c>
      <c r="K1199" s="72">
        <f t="shared" si="378"/>
        <v>1.32</v>
      </c>
      <c r="L1199" s="72">
        <f t="shared" si="378"/>
        <v>18</v>
      </c>
      <c r="M1199" s="72">
        <f t="shared" si="378"/>
        <v>0.51</v>
      </c>
      <c r="N1199" s="72">
        <f t="shared" si="378"/>
        <v>10</v>
      </c>
      <c r="O1199" s="72">
        <f t="shared" si="378"/>
        <v>7.0000000000000007E-2</v>
      </c>
      <c r="P1199" s="72">
        <f t="shared" si="378"/>
        <v>3.2000000000000001E-2</v>
      </c>
      <c r="Q1199" s="72">
        <f t="shared" si="378"/>
        <v>7.35</v>
      </c>
      <c r="R1199" s="72">
        <f t="shared" si="378"/>
        <v>23.4</v>
      </c>
      <c r="S1199" s="72"/>
      <c r="T1199" s="72"/>
      <c r="U1199" s="72"/>
      <c r="V1199" s="72"/>
      <c r="W1199" s="72"/>
      <c r="X1199" s="72"/>
      <c r="Y1199" s="72"/>
      <c r="Z1199" s="72"/>
      <c r="AA1199" s="72"/>
      <c r="AB1199" s="72"/>
      <c r="AC1199" s="73"/>
      <c r="AD1199" s="73"/>
      <c r="AE1199" s="73"/>
      <c r="AF1199" s="73"/>
      <c r="AG1199" s="73"/>
      <c r="AH1199" s="73"/>
      <c r="AI1199" s="73"/>
      <c r="AJ1199" s="73"/>
      <c r="AK1199" s="73"/>
      <c r="AL1199" s="73"/>
      <c r="AM1199" s="73"/>
      <c r="AN1199" s="73"/>
      <c r="AO1199" s="73"/>
      <c r="AP1199" s="73"/>
      <c r="AQ1199" s="73"/>
      <c r="AR1199" s="73"/>
      <c r="AS1199" s="73"/>
      <c r="AT1199" s="73"/>
      <c r="AU1199" s="73"/>
      <c r="AV1199" s="73"/>
      <c r="AW1199" s="73"/>
      <c r="AX1199" s="73"/>
    </row>
    <row r="1200" spans="1:50" ht="15" customHeight="1" x14ac:dyDescent="0.2">
      <c r="A1200" s="55" t="s">
        <v>515</v>
      </c>
      <c r="B1200" s="55" t="s">
        <v>516</v>
      </c>
      <c r="C1200" s="56" t="s">
        <v>0</v>
      </c>
      <c r="D1200" s="22"/>
      <c r="E1200" s="22"/>
      <c r="F1200" s="57"/>
      <c r="G1200" s="57"/>
      <c r="H1200" s="57" t="s">
        <v>28</v>
      </c>
      <c r="I1200" s="249" t="s">
        <v>1007</v>
      </c>
      <c r="J1200" s="58">
        <v>91.63</v>
      </c>
      <c r="K1200" s="58">
        <v>1.9</v>
      </c>
      <c r="L1200" s="58">
        <v>7</v>
      </c>
      <c r="M1200" s="58">
        <v>0.62</v>
      </c>
      <c r="N1200" s="58">
        <v>20</v>
      </c>
      <c r="O1200" s="58">
        <v>0.22</v>
      </c>
      <c r="P1200" s="4">
        <f t="shared" ref="P1200:P1201" si="379">AN1200</f>
        <v>0</v>
      </c>
      <c r="Q1200" s="58">
        <v>7</v>
      </c>
      <c r="R1200" s="58">
        <v>11.7</v>
      </c>
      <c r="S1200" s="58">
        <v>0.38</v>
      </c>
      <c r="T1200" s="58"/>
      <c r="U1200" s="58"/>
      <c r="V1200" s="58"/>
      <c r="W1200" s="58"/>
      <c r="X1200" s="58"/>
      <c r="Y1200" s="58"/>
      <c r="Z1200" s="58"/>
      <c r="AA1200" s="58"/>
      <c r="AB1200" s="58"/>
      <c r="AI1200" s="23"/>
      <c r="AN1200" s="23"/>
    </row>
    <row r="1201" spans="1:50" ht="15" customHeight="1" x14ac:dyDescent="0.2">
      <c r="A1201" s="24" t="s">
        <v>515</v>
      </c>
      <c r="B1201" s="24" t="s">
        <v>516</v>
      </c>
      <c r="D1201" s="22"/>
      <c r="E1201" s="22"/>
      <c r="F1201" s="57"/>
      <c r="G1201" s="57"/>
      <c r="H1201" s="57" t="s">
        <v>28</v>
      </c>
      <c r="I1201" s="243" t="s">
        <v>1010</v>
      </c>
      <c r="J1201" s="3">
        <v>89</v>
      </c>
      <c r="K1201" s="3">
        <v>1.9</v>
      </c>
      <c r="L1201" s="3">
        <v>20</v>
      </c>
      <c r="M1201" s="3">
        <v>1.8</v>
      </c>
      <c r="N1201" s="3">
        <v>81</v>
      </c>
      <c r="P1201" s="4">
        <f t="shared" si="379"/>
        <v>0</v>
      </c>
      <c r="R1201" s="3">
        <v>10</v>
      </c>
      <c r="AI1201" s="23"/>
      <c r="AN1201" s="23"/>
    </row>
    <row r="1202" spans="1:50" s="71" customFormat="1" ht="15" customHeight="1" x14ac:dyDescent="0.2">
      <c r="A1202" s="70" t="s">
        <v>515</v>
      </c>
      <c r="B1202" s="70" t="s">
        <v>516</v>
      </c>
      <c r="C1202" s="71" t="s">
        <v>517</v>
      </c>
      <c r="D1202" s="71" t="s">
        <v>56</v>
      </c>
      <c r="E1202" s="71" t="s">
        <v>46</v>
      </c>
      <c r="F1202" s="71" t="s">
        <v>782</v>
      </c>
      <c r="H1202" s="71" t="s">
        <v>28</v>
      </c>
      <c r="I1202" s="87"/>
      <c r="J1202" s="72">
        <f t="shared" ref="J1202" si="380">AVERAGE(J1200:J1201)</f>
        <v>90.314999999999998</v>
      </c>
      <c r="K1202" s="72">
        <f t="shared" ref="K1202:S1202" si="381">AVERAGE(K1200:K1201)</f>
        <v>1.9</v>
      </c>
      <c r="L1202" s="72">
        <f t="shared" si="381"/>
        <v>13.5</v>
      </c>
      <c r="M1202" s="72">
        <f t="shared" si="381"/>
        <v>1.21</v>
      </c>
      <c r="N1202" s="72">
        <f t="shared" si="381"/>
        <v>50.5</v>
      </c>
      <c r="O1202" s="72">
        <f t="shared" si="381"/>
        <v>0.22</v>
      </c>
      <c r="P1202" s="72">
        <f t="shared" si="381"/>
        <v>0</v>
      </c>
      <c r="Q1202" s="72">
        <f t="shared" si="381"/>
        <v>7</v>
      </c>
      <c r="R1202" s="72">
        <f t="shared" si="381"/>
        <v>10.85</v>
      </c>
      <c r="S1202" s="72">
        <f t="shared" si="381"/>
        <v>0.38</v>
      </c>
      <c r="T1202" s="72"/>
      <c r="U1202" s="72"/>
      <c r="V1202" s="72"/>
      <c r="W1202" s="72"/>
      <c r="X1202" s="72"/>
      <c r="Y1202" s="72"/>
      <c r="Z1202" s="72"/>
      <c r="AA1202" s="72"/>
      <c r="AB1202" s="72"/>
      <c r="AC1202" s="73"/>
      <c r="AD1202" s="73"/>
      <c r="AE1202" s="73"/>
      <c r="AF1202" s="73"/>
      <c r="AG1202" s="73"/>
      <c r="AH1202" s="73"/>
      <c r="AI1202" s="73"/>
      <c r="AJ1202" s="73"/>
      <c r="AK1202" s="73"/>
      <c r="AL1202" s="73"/>
      <c r="AM1202" s="73"/>
      <c r="AN1202" s="73"/>
      <c r="AO1202" s="73"/>
      <c r="AP1202" s="73"/>
      <c r="AQ1202" s="73"/>
      <c r="AR1202" s="73"/>
      <c r="AS1202" s="73"/>
      <c r="AT1202" s="73"/>
      <c r="AU1202" s="73"/>
      <c r="AV1202" s="73"/>
      <c r="AW1202" s="73"/>
      <c r="AX1202" s="73"/>
    </row>
    <row r="1203" spans="1:50" ht="15" customHeight="1" x14ac:dyDescent="0.2">
      <c r="A1203" s="24" t="s">
        <v>515</v>
      </c>
      <c r="B1203" s="24" t="s">
        <v>518</v>
      </c>
      <c r="D1203" s="22"/>
      <c r="E1203" s="22"/>
      <c r="H1203" s="2" t="s">
        <v>28</v>
      </c>
      <c r="I1203" s="243" t="s">
        <v>1006</v>
      </c>
      <c r="J1203" s="3">
        <v>83</v>
      </c>
      <c r="K1203" s="3">
        <v>3.1</v>
      </c>
      <c r="L1203" s="3">
        <v>10.003500000000003</v>
      </c>
      <c r="M1203" s="3">
        <v>2.0007000000000001</v>
      </c>
      <c r="P1203" s="4">
        <f t="shared" ref="P1203" si="382">AN1203</f>
        <v>0</v>
      </c>
      <c r="R1203" s="3">
        <v>48.991500000000009</v>
      </c>
      <c r="AE1203" s="23"/>
      <c r="AN1203" s="23"/>
    </row>
    <row r="1204" spans="1:50" ht="15" customHeight="1" x14ac:dyDescent="0.2">
      <c r="A1204" s="24" t="s">
        <v>515</v>
      </c>
      <c r="B1204" s="24" t="s">
        <v>518</v>
      </c>
      <c r="D1204" s="22"/>
      <c r="E1204" s="22"/>
      <c r="H1204" s="2" t="s">
        <v>28</v>
      </c>
      <c r="I1204" s="243" t="s">
        <v>1027</v>
      </c>
      <c r="J1204" s="3">
        <f>100-17.8</f>
        <v>82.2</v>
      </c>
      <c r="L1204" s="3">
        <v>23</v>
      </c>
      <c r="M1204" s="3">
        <v>0.09</v>
      </c>
      <c r="N1204" s="3">
        <v>19</v>
      </c>
      <c r="O1204" s="3">
        <v>0.28000000000000003</v>
      </c>
      <c r="P1204" s="4" t="s">
        <v>0</v>
      </c>
    </row>
    <row r="1205" spans="1:50" ht="15" customHeight="1" x14ac:dyDescent="0.2">
      <c r="A1205" s="24" t="s">
        <v>515</v>
      </c>
      <c r="B1205" s="24" t="s">
        <v>518</v>
      </c>
      <c r="D1205" s="22"/>
      <c r="E1205" s="22"/>
      <c r="H1205" s="2" t="s">
        <v>28</v>
      </c>
      <c r="I1205" s="243" t="s">
        <v>1016</v>
      </c>
      <c r="J1205" s="3">
        <v>82.5</v>
      </c>
      <c r="L1205" s="3">
        <v>12</v>
      </c>
      <c r="M1205" s="3">
        <v>1.3</v>
      </c>
      <c r="P1205" s="4" t="s">
        <v>0</v>
      </c>
      <c r="R1205" s="3">
        <v>28</v>
      </c>
    </row>
    <row r="1206" spans="1:50" ht="15" customHeight="1" x14ac:dyDescent="0.2">
      <c r="A1206" s="24" t="s">
        <v>515</v>
      </c>
      <c r="B1206" s="24" t="s">
        <v>518</v>
      </c>
      <c r="D1206" s="22"/>
      <c r="E1206" s="22"/>
      <c r="H1206" s="2" t="s">
        <v>28</v>
      </c>
      <c r="I1206" s="243" t="s">
        <v>1006</v>
      </c>
      <c r="J1206" s="3">
        <v>79</v>
      </c>
      <c r="K1206" s="3">
        <v>4.8951999999999991</v>
      </c>
      <c r="L1206" s="3">
        <v>7.9968999999999983</v>
      </c>
      <c r="M1206" s="3">
        <v>1.2026999999999999</v>
      </c>
      <c r="P1206" s="4">
        <f t="shared" ref="P1206" si="383">AN1206</f>
        <v>0</v>
      </c>
      <c r="R1206" s="3">
        <v>43.001799999999996</v>
      </c>
      <c r="AE1206" s="23"/>
      <c r="AN1206" s="23"/>
    </row>
    <row r="1207" spans="1:50" ht="15" customHeight="1" x14ac:dyDescent="0.2">
      <c r="A1207" s="24" t="s">
        <v>515</v>
      </c>
      <c r="B1207" s="24" t="s">
        <v>518</v>
      </c>
      <c r="D1207" s="22"/>
      <c r="E1207" s="22"/>
      <c r="H1207" s="2" t="s">
        <v>28</v>
      </c>
      <c r="I1207" s="243" t="s">
        <v>1010</v>
      </c>
      <c r="J1207" s="3">
        <v>87.8</v>
      </c>
      <c r="K1207" s="3">
        <v>2</v>
      </c>
      <c r="L1207" s="3">
        <v>15</v>
      </c>
      <c r="M1207" s="3">
        <v>1</v>
      </c>
      <c r="P1207" s="4" t="s">
        <v>0</v>
      </c>
      <c r="R1207" s="3">
        <v>9</v>
      </c>
    </row>
    <row r="1208" spans="1:50" s="71" customFormat="1" ht="15" customHeight="1" x14ac:dyDescent="0.2">
      <c r="A1208" s="70" t="s">
        <v>515</v>
      </c>
      <c r="B1208" s="70" t="s">
        <v>518</v>
      </c>
      <c r="C1208" s="71" t="s">
        <v>519</v>
      </c>
      <c r="D1208" s="71" t="s">
        <v>31</v>
      </c>
      <c r="E1208" s="71" t="s">
        <v>46</v>
      </c>
      <c r="F1208" s="71" t="s">
        <v>782</v>
      </c>
      <c r="H1208" s="71" t="s">
        <v>28</v>
      </c>
      <c r="I1208" s="87"/>
      <c r="J1208" s="72">
        <f t="shared" ref="J1208" si="384">AVERAGE(J1203:J1207)</f>
        <v>82.9</v>
      </c>
      <c r="K1208" s="72">
        <f t="shared" ref="K1208:P1208" si="385">AVERAGE(K1203:K1207)</f>
        <v>3.3317333333333328</v>
      </c>
      <c r="L1208" s="72">
        <f t="shared" si="385"/>
        <v>13.60008</v>
      </c>
      <c r="M1208" s="72">
        <f t="shared" si="385"/>
        <v>1.1186799999999999</v>
      </c>
      <c r="N1208" s="72">
        <f t="shared" si="385"/>
        <v>19</v>
      </c>
      <c r="O1208" s="72">
        <f t="shared" si="385"/>
        <v>0.28000000000000003</v>
      </c>
      <c r="P1208" s="72">
        <f t="shared" si="385"/>
        <v>0</v>
      </c>
      <c r="Q1208" s="72"/>
      <c r="R1208" s="72">
        <f>AVERAGE(R1203:R1207)</f>
        <v>32.248325000000001</v>
      </c>
      <c r="S1208" s="72"/>
      <c r="T1208" s="72"/>
      <c r="U1208" s="72"/>
      <c r="V1208" s="72"/>
      <c r="W1208" s="72"/>
      <c r="X1208" s="72"/>
      <c r="Y1208" s="72"/>
      <c r="Z1208" s="72"/>
      <c r="AA1208" s="72"/>
      <c r="AB1208" s="72"/>
      <c r="AC1208" s="73"/>
      <c r="AD1208" s="73"/>
      <c r="AE1208" s="73"/>
      <c r="AF1208" s="73"/>
      <c r="AG1208" s="73"/>
      <c r="AH1208" s="73"/>
      <c r="AI1208" s="73"/>
      <c r="AJ1208" s="73"/>
      <c r="AK1208" s="73"/>
      <c r="AL1208" s="73"/>
      <c r="AM1208" s="73"/>
      <c r="AN1208" s="73"/>
      <c r="AO1208" s="73"/>
      <c r="AP1208" s="73"/>
      <c r="AQ1208" s="73"/>
      <c r="AR1208" s="73"/>
      <c r="AS1208" s="73"/>
      <c r="AT1208" s="73"/>
      <c r="AU1208" s="73"/>
      <c r="AV1208" s="73"/>
      <c r="AW1208" s="73"/>
      <c r="AX1208" s="73"/>
    </row>
    <row r="1209" spans="1:50" s="22" customFormat="1" ht="15" customHeight="1" x14ac:dyDescent="0.2">
      <c r="A1209" s="25" t="s">
        <v>515</v>
      </c>
      <c r="B1209" s="25" t="s">
        <v>79</v>
      </c>
      <c r="C1209" s="22" t="s">
        <v>0</v>
      </c>
      <c r="H1209" s="22" t="s">
        <v>28</v>
      </c>
      <c r="I1209" s="65" t="s">
        <v>1023</v>
      </c>
      <c r="J1209" s="4">
        <v>85</v>
      </c>
      <c r="K1209" s="4">
        <v>2.8</v>
      </c>
      <c r="L1209" s="4">
        <v>10</v>
      </c>
      <c r="M1209" s="4">
        <v>0.9</v>
      </c>
      <c r="N1209" s="4"/>
      <c r="O1209" s="4"/>
      <c r="P1209" s="4">
        <f t="shared" ref="P1209" si="386">AN1209</f>
        <v>0</v>
      </c>
      <c r="Q1209" s="4"/>
      <c r="R1209" s="4">
        <v>11</v>
      </c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23"/>
      <c r="AD1209" s="23"/>
      <c r="AE1209" s="23"/>
      <c r="AF1209" s="23"/>
      <c r="AG1209" s="23"/>
      <c r="AH1209" s="23"/>
      <c r="AI1209" s="23"/>
      <c r="AJ1209" s="23"/>
      <c r="AK1209" s="5"/>
      <c r="AL1209" s="23"/>
      <c r="AM1209" s="23"/>
      <c r="AN1209" s="23"/>
      <c r="AO1209" s="23"/>
      <c r="AP1209" s="23"/>
      <c r="AQ1209" s="23"/>
      <c r="AR1209" s="23"/>
      <c r="AS1209" s="23"/>
      <c r="AT1209" s="23"/>
      <c r="AU1209" s="23"/>
      <c r="AV1209" s="23"/>
      <c r="AW1209" s="23"/>
      <c r="AX1209" s="23"/>
    </row>
    <row r="1210" spans="1:50" s="71" customFormat="1" ht="15" customHeight="1" x14ac:dyDescent="0.2">
      <c r="A1210" s="77" t="s">
        <v>515</v>
      </c>
      <c r="B1210" s="77" t="s">
        <v>79</v>
      </c>
      <c r="C1210" s="71" t="s">
        <v>520</v>
      </c>
      <c r="D1210" s="71" t="s">
        <v>31</v>
      </c>
      <c r="E1210" s="71" t="s">
        <v>46</v>
      </c>
      <c r="F1210" s="71" t="s">
        <v>782</v>
      </c>
      <c r="H1210" s="71" t="s">
        <v>28</v>
      </c>
      <c r="I1210" s="87"/>
      <c r="J1210" s="72"/>
      <c r="K1210" s="72">
        <f>K1209</f>
        <v>2.8</v>
      </c>
      <c r="L1210" s="72">
        <f>L1209</f>
        <v>10</v>
      </c>
      <c r="M1210" s="72">
        <f>M1209</f>
        <v>0.9</v>
      </c>
      <c r="N1210" s="72"/>
      <c r="O1210" s="72"/>
      <c r="P1210" s="72">
        <f>P1209</f>
        <v>0</v>
      </c>
      <c r="Q1210" s="72"/>
      <c r="R1210" s="72">
        <f>R1209</f>
        <v>11</v>
      </c>
      <c r="S1210" s="72"/>
      <c r="T1210" s="72"/>
      <c r="U1210" s="72"/>
      <c r="V1210" s="72"/>
      <c r="W1210" s="72"/>
      <c r="X1210" s="72"/>
      <c r="Y1210" s="72"/>
      <c r="Z1210" s="72"/>
      <c r="AA1210" s="72"/>
      <c r="AB1210" s="72"/>
      <c r="AC1210" s="73"/>
      <c r="AD1210" s="73"/>
      <c r="AE1210" s="73"/>
      <c r="AF1210" s="73"/>
      <c r="AG1210" s="73"/>
      <c r="AH1210" s="73"/>
      <c r="AI1210" s="73"/>
      <c r="AJ1210" s="73"/>
      <c r="AK1210" s="73"/>
      <c r="AL1210" s="73"/>
      <c r="AM1210" s="73"/>
      <c r="AN1210" s="73"/>
      <c r="AO1210" s="73"/>
      <c r="AP1210" s="73"/>
      <c r="AQ1210" s="73"/>
      <c r="AR1210" s="73"/>
      <c r="AS1210" s="73"/>
      <c r="AT1210" s="73"/>
      <c r="AU1210" s="73"/>
      <c r="AV1210" s="73"/>
      <c r="AW1210" s="73"/>
      <c r="AX1210" s="73"/>
    </row>
    <row r="1211" spans="1:50" ht="51" x14ac:dyDescent="0.2">
      <c r="A1211" s="24" t="s">
        <v>521</v>
      </c>
      <c r="B1211" s="24" t="s">
        <v>738</v>
      </c>
      <c r="C1211" s="2" t="s">
        <v>0</v>
      </c>
      <c r="D1211" s="22"/>
      <c r="E1211" s="22"/>
      <c r="H1211" s="2" t="s">
        <v>33</v>
      </c>
      <c r="I1211" s="243" t="s">
        <v>1028</v>
      </c>
      <c r="J1211" s="3">
        <v>82.2</v>
      </c>
      <c r="L1211" s="3">
        <v>257</v>
      </c>
      <c r="M1211" s="3">
        <v>5.6</v>
      </c>
      <c r="P1211" s="4" t="s">
        <v>0</v>
      </c>
      <c r="R1211" s="3">
        <v>60</v>
      </c>
    </row>
    <row r="1212" spans="1:50" ht="85" x14ac:dyDescent="0.2">
      <c r="A1212" s="24" t="s">
        <v>521</v>
      </c>
      <c r="B1212" s="24" t="s">
        <v>738</v>
      </c>
      <c r="C1212" s="2" t="s">
        <v>0</v>
      </c>
      <c r="D1212" s="22"/>
      <c r="E1212" s="22"/>
      <c r="H1212" s="2" t="s">
        <v>33</v>
      </c>
      <c r="I1212" s="243" t="s">
        <v>1026</v>
      </c>
      <c r="J1212" s="3">
        <v>80.400000000000006</v>
      </c>
      <c r="K1212" s="3">
        <v>2.8</v>
      </c>
      <c r="L1212" s="3">
        <v>317</v>
      </c>
      <c r="M1212" s="3">
        <v>4.8</v>
      </c>
      <c r="P1212" s="4">
        <f>336/1000</f>
        <v>0.33600000000000002</v>
      </c>
      <c r="R1212" s="3">
        <v>49</v>
      </c>
    </row>
    <row r="1213" spans="1:50" ht="85" x14ac:dyDescent="0.2">
      <c r="A1213" s="24" t="s">
        <v>521</v>
      </c>
      <c r="B1213" s="24" t="s">
        <v>738</v>
      </c>
      <c r="C1213" s="2" t="s">
        <v>0</v>
      </c>
      <c r="D1213" s="22"/>
      <c r="E1213" s="22"/>
      <c r="H1213" s="2" t="s">
        <v>33</v>
      </c>
      <c r="I1213" s="243" t="s">
        <v>1026</v>
      </c>
      <c r="J1213" s="3">
        <v>91</v>
      </c>
      <c r="K1213" s="3">
        <v>0.8</v>
      </c>
      <c r="L1213" s="3">
        <v>317</v>
      </c>
      <c r="M1213" s="3">
        <v>4.8</v>
      </c>
      <c r="P1213" s="4">
        <f>336/1000</f>
        <v>0.33600000000000002</v>
      </c>
      <c r="R1213" s="3">
        <v>49</v>
      </c>
    </row>
    <row r="1214" spans="1:50" s="71" customFormat="1" ht="15" customHeight="1" x14ac:dyDescent="0.2">
      <c r="A1214" s="70" t="s">
        <v>521</v>
      </c>
      <c r="B1214" s="70" t="s">
        <v>738</v>
      </c>
      <c r="C1214" s="71" t="s">
        <v>739</v>
      </c>
      <c r="D1214" s="71" t="s">
        <v>31</v>
      </c>
      <c r="E1214" s="71" t="s">
        <v>32</v>
      </c>
      <c r="F1214" s="71" t="s">
        <v>783</v>
      </c>
      <c r="H1214" s="71" t="s">
        <v>33</v>
      </c>
      <c r="I1214" s="87"/>
      <c r="J1214" s="72">
        <f>AVERAGE(J1211:J1213)</f>
        <v>84.533333333333346</v>
      </c>
      <c r="K1214" s="72">
        <f>AVERAGE(K1211:K1213)</f>
        <v>1.7999999999999998</v>
      </c>
      <c r="L1214" s="72">
        <f>AVERAGE(L1211:L1213)</f>
        <v>297</v>
      </c>
      <c r="M1214" s="72">
        <f>AVERAGE(M1211:M1213)</f>
        <v>5.0666666666666664</v>
      </c>
      <c r="N1214" s="72" t="s">
        <v>0</v>
      </c>
      <c r="O1214" s="72" t="s">
        <v>0</v>
      </c>
      <c r="P1214" s="72">
        <f>AVERAGE(P1211:P1213)</f>
        <v>0.33600000000000002</v>
      </c>
      <c r="Q1214" s="72" t="s">
        <v>0</v>
      </c>
      <c r="R1214" s="72">
        <f>AVERAGE(R1211:R1213)</f>
        <v>52.666666666666664</v>
      </c>
      <c r="S1214" s="72" t="s">
        <v>0</v>
      </c>
      <c r="T1214" s="72"/>
      <c r="U1214" s="72"/>
      <c r="V1214" s="72"/>
      <c r="W1214" s="72"/>
      <c r="X1214" s="72"/>
      <c r="Y1214" s="72"/>
      <c r="Z1214" s="72"/>
      <c r="AA1214" s="72"/>
      <c r="AB1214" s="72"/>
      <c r="AC1214" s="73"/>
      <c r="AD1214" s="73"/>
      <c r="AE1214" s="73"/>
      <c r="AF1214" s="73"/>
      <c r="AG1214" s="73"/>
      <c r="AH1214" s="73"/>
      <c r="AI1214" s="73"/>
      <c r="AJ1214" s="73"/>
      <c r="AK1214" s="73"/>
      <c r="AL1214" s="73"/>
      <c r="AM1214" s="73"/>
      <c r="AN1214" s="73"/>
      <c r="AO1214" s="73"/>
      <c r="AP1214" s="73"/>
      <c r="AQ1214" s="73"/>
      <c r="AR1214" s="73"/>
      <c r="AS1214" s="73"/>
      <c r="AT1214" s="73"/>
      <c r="AU1214" s="73"/>
      <c r="AV1214" s="73"/>
      <c r="AW1214" s="73"/>
      <c r="AX1214" s="73"/>
    </row>
    <row r="1215" spans="1:50" s="22" customFormat="1" ht="15" customHeight="1" x14ac:dyDescent="0.2">
      <c r="A1215" s="21" t="s">
        <v>521</v>
      </c>
      <c r="B1215" s="21" t="s">
        <v>522</v>
      </c>
      <c r="C1215" s="22" t="s">
        <v>0</v>
      </c>
      <c r="H1215" s="22" t="s">
        <v>33</v>
      </c>
      <c r="I1215" s="65" t="s">
        <v>1006</v>
      </c>
      <c r="J1215" s="4">
        <v>70</v>
      </c>
      <c r="K1215" s="4">
        <v>4.6055000000000001</v>
      </c>
      <c r="L1215" s="4">
        <v>601.00250000000005</v>
      </c>
      <c r="M1215" s="4">
        <v>7.5945000000000009</v>
      </c>
      <c r="N1215" s="4"/>
      <c r="O1215" s="4"/>
      <c r="P1215" s="4">
        <f t="shared" ref="P1215" si="387">AN1215</f>
        <v>0</v>
      </c>
      <c r="Q1215" s="4"/>
      <c r="R1215" s="4">
        <v>10.004000000000001</v>
      </c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23"/>
      <c r="AD1215" s="23"/>
      <c r="AE1215" s="23"/>
      <c r="AF1215" s="23"/>
      <c r="AG1215" s="23"/>
      <c r="AH1215" s="23"/>
      <c r="AI1215" s="23"/>
      <c r="AJ1215" s="23"/>
      <c r="AK1215" s="23"/>
      <c r="AL1215" s="23"/>
      <c r="AM1215" s="23"/>
      <c r="AN1215" s="23"/>
      <c r="AO1215" s="23"/>
      <c r="AP1215" s="23"/>
      <c r="AQ1215" s="23"/>
      <c r="AR1215" s="23"/>
      <c r="AS1215" s="23"/>
      <c r="AT1215" s="23"/>
      <c r="AU1215" s="23"/>
      <c r="AV1215" s="23"/>
      <c r="AW1215" s="23"/>
      <c r="AX1215" s="23"/>
    </row>
    <row r="1216" spans="1:50" s="71" customFormat="1" ht="15" customHeight="1" x14ac:dyDescent="0.2">
      <c r="A1216" s="70" t="s">
        <v>521</v>
      </c>
      <c r="B1216" s="70" t="s">
        <v>522</v>
      </c>
      <c r="C1216" s="71" t="s">
        <v>523</v>
      </c>
      <c r="D1216" s="71" t="s">
        <v>31</v>
      </c>
      <c r="E1216" s="71" t="s">
        <v>46</v>
      </c>
      <c r="F1216" s="78" t="s">
        <v>782</v>
      </c>
      <c r="H1216" s="71" t="s">
        <v>33</v>
      </c>
      <c r="I1216" s="87"/>
      <c r="J1216" s="72">
        <f>J1215</f>
        <v>70</v>
      </c>
      <c r="K1216" s="72">
        <f>K1215</f>
        <v>4.6055000000000001</v>
      </c>
      <c r="L1216" s="72">
        <f>L1215</f>
        <v>601.00250000000005</v>
      </c>
      <c r="M1216" s="72">
        <f>M1215</f>
        <v>7.5945000000000009</v>
      </c>
      <c r="N1216" s="72"/>
      <c r="O1216" s="72"/>
      <c r="P1216" s="72">
        <f>P1215</f>
        <v>0</v>
      </c>
      <c r="Q1216" s="72"/>
      <c r="R1216" s="72">
        <f>R1215</f>
        <v>10.004000000000001</v>
      </c>
      <c r="S1216" s="72"/>
      <c r="T1216" s="72"/>
      <c r="U1216" s="72"/>
      <c r="V1216" s="72"/>
      <c r="W1216" s="72"/>
      <c r="X1216" s="72"/>
      <c r="Y1216" s="72"/>
      <c r="Z1216" s="72"/>
      <c r="AA1216" s="72"/>
      <c r="AB1216" s="72"/>
      <c r="AC1216" s="73"/>
      <c r="AD1216" s="73"/>
      <c r="AE1216" s="73"/>
      <c r="AF1216" s="73"/>
      <c r="AG1216" s="73"/>
      <c r="AH1216" s="73"/>
      <c r="AI1216" s="73"/>
      <c r="AJ1216" s="73"/>
      <c r="AK1216" s="73"/>
      <c r="AL1216" s="73"/>
      <c r="AM1216" s="73"/>
      <c r="AN1216" s="73"/>
      <c r="AO1216" s="73"/>
      <c r="AP1216" s="73"/>
      <c r="AQ1216" s="73"/>
      <c r="AR1216" s="73"/>
      <c r="AS1216" s="73"/>
      <c r="AT1216" s="73"/>
      <c r="AU1216" s="73"/>
      <c r="AV1216" s="73"/>
      <c r="AW1216" s="73"/>
      <c r="AX1216" s="73"/>
    </row>
    <row r="1217" spans="1:50" ht="51" x14ac:dyDescent="0.2">
      <c r="A1217" s="24" t="s">
        <v>740</v>
      </c>
      <c r="B1217" s="24" t="s">
        <v>741</v>
      </c>
      <c r="D1217" s="22"/>
      <c r="E1217" s="22"/>
      <c r="H1217" s="2" t="s">
        <v>33</v>
      </c>
      <c r="I1217" s="243" t="s">
        <v>1011</v>
      </c>
      <c r="J1217" s="3">
        <v>86</v>
      </c>
      <c r="K1217" s="3">
        <v>5.4</v>
      </c>
      <c r="L1217" s="3">
        <v>310</v>
      </c>
      <c r="M1217" s="3">
        <v>1.3</v>
      </c>
      <c r="N1217" s="3">
        <v>165</v>
      </c>
      <c r="O1217" s="3">
        <v>0.4</v>
      </c>
      <c r="P1217" s="4" t="s">
        <v>0</v>
      </c>
      <c r="R1217" s="3">
        <v>34</v>
      </c>
    </row>
    <row r="1218" spans="1:50" s="71" customFormat="1" ht="15" customHeight="1" x14ac:dyDescent="0.2">
      <c r="A1218" s="70" t="s">
        <v>740</v>
      </c>
      <c r="B1218" s="70" t="s">
        <v>741</v>
      </c>
      <c r="C1218" s="71" t="s">
        <v>742</v>
      </c>
      <c r="D1218" s="71" t="s">
        <v>31</v>
      </c>
      <c r="E1218" s="71" t="s">
        <v>32</v>
      </c>
      <c r="F1218" s="71" t="s">
        <v>781</v>
      </c>
      <c r="H1218" s="71" t="s">
        <v>33</v>
      </c>
      <c r="I1218" s="87"/>
      <c r="J1218" s="72">
        <f>J1217</f>
        <v>86</v>
      </c>
      <c r="K1218" s="72">
        <f t="shared" ref="K1218:O1218" si="388">K1217</f>
        <v>5.4</v>
      </c>
      <c r="L1218" s="72">
        <f t="shared" si="388"/>
        <v>310</v>
      </c>
      <c r="M1218" s="72">
        <f t="shared" si="388"/>
        <v>1.3</v>
      </c>
      <c r="N1218" s="72">
        <f t="shared" si="388"/>
        <v>165</v>
      </c>
      <c r="O1218" s="72">
        <f t="shared" si="388"/>
        <v>0.4</v>
      </c>
      <c r="P1218" s="72"/>
      <c r="Q1218" s="72"/>
      <c r="R1218" s="72">
        <f>R1217</f>
        <v>34</v>
      </c>
      <c r="S1218" s="72"/>
      <c r="T1218" s="72"/>
      <c r="U1218" s="72"/>
      <c r="V1218" s="72"/>
      <c r="W1218" s="72"/>
      <c r="X1218" s="72"/>
      <c r="Y1218" s="72"/>
      <c r="Z1218" s="72"/>
      <c r="AA1218" s="72"/>
      <c r="AB1218" s="72"/>
      <c r="AC1218" s="73"/>
      <c r="AD1218" s="73"/>
      <c r="AE1218" s="73"/>
      <c r="AF1218" s="73"/>
      <c r="AG1218" s="73"/>
      <c r="AH1218" s="73"/>
      <c r="AI1218" s="73"/>
      <c r="AJ1218" s="73"/>
      <c r="AK1218" s="73"/>
      <c r="AL1218" s="73"/>
      <c r="AM1218" s="73"/>
      <c r="AN1218" s="73"/>
      <c r="AO1218" s="73"/>
      <c r="AP1218" s="73"/>
      <c r="AQ1218" s="73"/>
      <c r="AR1218" s="73"/>
      <c r="AS1218" s="73"/>
      <c r="AT1218" s="73"/>
      <c r="AU1218" s="73"/>
      <c r="AV1218" s="73"/>
      <c r="AW1218" s="73"/>
      <c r="AX1218" s="73"/>
    </row>
    <row r="1219" spans="1:50" ht="15" customHeight="1" x14ac:dyDescent="0.2">
      <c r="A1219" s="55" t="s">
        <v>524</v>
      </c>
      <c r="B1219" s="55" t="s">
        <v>398</v>
      </c>
      <c r="C1219" s="56" t="s">
        <v>0</v>
      </c>
      <c r="D1219" s="22"/>
      <c r="E1219" s="22"/>
      <c r="F1219" s="57"/>
      <c r="G1219" s="57"/>
      <c r="H1219" s="57" t="s">
        <v>27</v>
      </c>
      <c r="I1219" s="249" t="s">
        <v>1007</v>
      </c>
      <c r="J1219" s="58">
        <v>88.89</v>
      </c>
      <c r="K1219" s="58">
        <v>2.6</v>
      </c>
      <c r="L1219" s="58">
        <v>43</v>
      </c>
      <c r="M1219" s="58">
        <v>2.08</v>
      </c>
      <c r="N1219" s="58">
        <v>24</v>
      </c>
      <c r="O1219" s="58">
        <v>0.27</v>
      </c>
      <c r="P1219" s="4">
        <f t="shared" ref="P1219:P1220" si="389">AN1219</f>
        <v>0</v>
      </c>
      <c r="Q1219" s="58">
        <v>42</v>
      </c>
      <c r="R1219" s="58">
        <v>60</v>
      </c>
      <c r="S1219" s="58">
        <v>0.39</v>
      </c>
      <c r="T1219" s="58"/>
      <c r="U1219" s="58"/>
      <c r="V1219" s="58"/>
      <c r="W1219" s="58"/>
      <c r="X1219" s="58"/>
      <c r="Y1219" s="58"/>
      <c r="Z1219" s="58"/>
      <c r="AA1219" s="58"/>
      <c r="AB1219" s="58"/>
      <c r="AI1219" s="23"/>
      <c r="AN1219" s="23"/>
    </row>
    <row r="1220" spans="1:50" s="41" customFormat="1" ht="15" customHeight="1" x14ac:dyDescent="0.2">
      <c r="A1220" s="40" t="s">
        <v>525</v>
      </c>
      <c r="B1220" s="40" t="s">
        <v>398</v>
      </c>
      <c r="D1220" s="22"/>
      <c r="E1220" s="22"/>
      <c r="H1220" s="41" t="s">
        <v>27</v>
      </c>
      <c r="I1220" s="248" t="s">
        <v>1010</v>
      </c>
      <c r="J1220" s="43">
        <v>87.6</v>
      </c>
      <c r="K1220" s="43">
        <v>1.8</v>
      </c>
      <c r="L1220" s="43">
        <v>50</v>
      </c>
      <c r="M1220" s="43">
        <v>1.3</v>
      </c>
      <c r="N1220" s="43">
        <v>24</v>
      </c>
      <c r="O1220" s="43"/>
      <c r="P1220" s="4">
        <f t="shared" si="389"/>
        <v>0</v>
      </c>
      <c r="Q1220" s="43"/>
      <c r="R1220" s="43">
        <v>52</v>
      </c>
      <c r="S1220" s="43"/>
      <c r="T1220" s="43"/>
      <c r="U1220" s="43"/>
      <c r="V1220" s="43"/>
      <c r="W1220" s="43"/>
      <c r="X1220" s="43"/>
      <c r="Y1220" s="43"/>
      <c r="Z1220" s="43"/>
      <c r="AA1220" s="43"/>
      <c r="AB1220" s="43"/>
      <c r="AC1220" s="44"/>
      <c r="AD1220" s="44"/>
      <c r="AE1220" s="44"/>
      <c r="AF1220" s="44"/>
      <c r="AG1220" s="44"/>
      <c r="AH1220" s="44"/>
      <c r="AI1220" s="23"/>
      <c r="AJ1220" s="44"/>
      <c r="AK1220" s="44"/>
      <c r="AL1220" s="44"/>
      <c r="AM1220" s="44"/>
      <c r="AN1220" s="23"/>
      <c r="AO1220" s="44"/>
      <c r="AP1220" s="44"/>
      <c r="AQ1220" s="44"/>
      <c r="AR1220" s="44"/>
      <c r="AS1220" s="44"/>
      <c r="AT1220" s="44"/>
      <c r="AU1220" s="44"/>
      <c r="AV1220" s="44"/>
      <c r="AW1220" s="44"/>
      <c r="AX1220" s="44"/>
    </row>
    <row r="1221" spans="1:50" s="71" customFormat="1" ht="15" customHeight="1" x14ac:dyDescent="0.2">
      <c r="A1221" s="70" t="s">
        <v>525</v>
      </c>
      <c r="B1221" s="70" t="s">
        <v>398</v>
      </c>
      <c r="C1221" s="84" t="s">
        <v>526</v>
      </c>
      <c r="D1221" s="71" t="s">
        <v>56</v>
      </c>
      <c r="E1221" s="71" t="s">
        <v>46</v>
      </c>
      <c r="F1221" s="78" t="s">
        <v>782</v>
      </c>
      <c r="H1221" s="71" t="s">
        <v>27</v>
      </c>
      <c r="I1221" s="87"/>
      <c r="J1221" s="72">
        <f t="shared" ref="J1221" si="390">AVERAGE(J1219:J1220)</f>
        <v>88.245000000000005</v>
      </c>
      <c r="K1221" s="72">
        <f t="shared" ref="K1221:S1221" si="391">AVERAGE(K1219:K1220)</f>
        <v>2.2000000000000002</v>
      </c>
      <c r="L1221" s="72">
        <f t="shared" si="391"/>
        <v>46.5</v>
      </c>
      <c r="M1221" s="72">
        <f t="shared" si="391"/>
        <v>1.69</v>
      </c>
      <c r="N1221" s="72">
        <f t="shared" si="391"/>
        <v>24</v>
      </c>
      <c r="O1221" s="72">
        <f t="shared" si="391"/>
        <v>0.27</v>
      </c>
      <c r="P1221" s="72">
        <f t="shared" si="391"/>
        <v>0</v>
      </c>
      <c r="Q1221" s="72">
        <f t="shared" si="391"/>
        <v>42</v>
      </c>
      <c r="R1221" s="72">
        <f t="shared" si="391"/>
        <v>56</v>
      </c>
      <c r="S1221" s="72">
        <f t="shared" si="391"/>
        <v>0.39</v>
      </c>
      <c r="T1221" s="72"/>
      <c r="U1221" s="72"/>
      <c r="V1221" s="72"/>
      <c r="W1221" s="72"/>
      <c r="X1221" s="72"/>
      <c r="Y1221" s="72"/>
      <c r="Z1221" s="72"/>
      <c r="AA1221" s="72"/>
      <c r="AB1221" s="72"/>
      <c r="AC1221" s="73"/>
      <c r="AD1221" s="73"/>
      <c r="AE1221" s="73"/>
      <c r="AF1221" s="73"/>
      <c r="AG1221" s="73"/>
      <c r="AH1221" s="73"/>
      <c r="AI1221" s="73"/>
      <c r="AJ1221" s="73"/>
      <c r="AK1221" s="73"/>
      <c r="AL1221" s="73"/>
      <c r="AM1221" s="73"/>
      <c r="AN1221" s="73"/>
      <c r="AO1221" s="73"/>
      <c r="AP1221" s="73"/>
      <c r="AQ1221" s="73"/>
      <c r="AR1221" s="73"/>
      <c r="AS1221" s="73"/>
      <c r="AT1221" s="73"/>
      <c r="AU1221" s="73"/>
      <c r="AV1221" s="73"/>
      <c r="AW1221" s="73"/>
      <c r="AX1221" s="73"/>
    </row>
    <row r="1222" spans="1:50" ht="15" customHeight="1" x14ac:dyDescent="0.2">
      <c r="A1222" s="24" t="s">
        <v>525</v>
      </c>
      <c r="B1222" s="24" t="s">
        <v>398</v>
      </c>
      <c r="D1222" s="22"/>
      <c r="E1222" s="22"/>
      <c r="H1222" s="2" t="s">
        <v>37</v>
      </c>
      <c r="I1222" s="243" t="s">
        <v>1010</v>
      </c>
      <c r="J1222" s="3">
        <v>74.599999999999994</v>
      </c>
      <c r="K1222" s="3">
        <v>2.2000000000000002</v>
      </c>
      <c r="L1222" s="3">
        <v>30</v>
      </c>
      <c r="M1222" s="3">
        <v>1.8</v>
      </c>
      <c r="N1222" s="3">
        <v>35</v>
      </c>
      <c r="P1222" s="4">
        <f t="shared" ref="P1222" si="392">AN1222</f>
        <v>0</v>
      </c>
      <c r="R1222" s="3">
        <v>33</v>
      </c>
      <c r="AI1222" s="23"/>
      <c r="AN1222" s="23"/>
    </row>
    <row r="1223" spans="1:50" s="71" customFormat="1" ht="15" customHeight="1" x14ac:dyDescent="0.2">
      <c r="A1223" s="70" t="s">
        <v>525</v>
      </c>
      <c r="B1223" s="70" t="s">
        <v>398</v>
      </c>
      <c r="C1223" s="71" t="s">
        <v>526</v>
      </c>
      <c r="D1223" s="71" t="s">
        <v>56</v>
      </c>
      <c r="E1223" s="71" t="s">
        <v>46</v>
      </c>
      <c r="F1223" s="78" t="s">
        <v>782</v>
      </c>
      <c r="H1223" s="71" t="s">
        <v>37</v>
      </c>
      <c r="I1223" s="87"/>
      <c r="J1223" s="72">
        <f t="shared" ref="J1223" si="393">J1222</f>
        <v>74.599999999999994</v>
      </c>
      <c r="K1223" s="72">
        <f>K1222</f>
        <v>2.2000000000000002</v>
      </c>
      <c r="L1223" s="72">
        <f>L1222</f>
        <v>30</v>
      </c>
      <c r="M1223" s="72">
        <f>M1222</f>
        <v>1.8</v>
      </c>
      <c r="N1223" s="72">
        <f>N1222</f>
        <v>35</v>
      </c>
      <c r="O1223" s="72"/>
      <c r="P1223" s="72">
        <f>P1222</f>
        <v>0</v>
      </c>
      <c r="Q1223" s="72"/>
      <c r="R1223" s="72">
        <f>R1222</f>
        <v>33</v>
      </c>
      <c r="S1223" s="72"/>
      <c r="T1223" s="72"/>
      <c r="U1223" s="72"/>
      <c r="V1223" s="72"/>
      <c r="W1223" s="72"/>
      <c r="X1223" s="72"/>
      <c r="Y1223" s="72"/>
      <c r="Z1223" s="72"/>
      <c r="AA1223" s="72"/>
      <c r="AB1223" s="72"/>
      <c r="AC1223" s="73"/>
      <c r="AD1223" s="73"/>
      <c r="AE1223" s="73"/>
      <c r="AF1223" s="73"/>
      <c r="AG1223" s="73"/>
      <c r="AH1223" s="73"/>
      <c r="AI1223" s="73"/>
      <c r="AJ1223" s="73"/>
      <c r="AK1223" s="73"/>
      <c r="AL1223" s="73"/>
      <c r="AM1223" s="73"/>
      <c r="AN1223" s="73"/>
      <c r="AO1223" s="73"/>
      <c r="AP1223" s="73"/>
      <c r="AQ1223" s="73"/>
      <c r="AR1223" s="73"/>
      <c r="AS1223" s="73"/>
      <c r="AT1223" s="73"/>
      <c r="AU1223" s="73"/>
      <c r="AV1223" s="73"/>
      <c r="AW1223" s="73"/>
      <c r="AX1223" s="73"/>
    </row>
    <row r="1224" spans="1:50" ht="35" customHeight="1" x14ac:dyDescent="0.2">
      <c r="A1224" s="24" t="s">
        <v>527</v>
      </c>
      <c r="B1224" s="24" t="s">
        <v>528</v>
      </c>
      <c r="D1224" s="22"/>
      <c r="E1224" s="22"/>
      <c r="H1224" s="2" t="s">
        <v>33</v>
      </c>
      <c r="I1224" s="243" t="s">
        <v>1014</v>
      </c>
      <c r="J1224" s="3">
        <v>81.400000000000006</v>
      </c>
      <c r="L1224" s="3">
        <v>184</v>
      </c>
      <c r="M1224" s="3">
        <v>1.2</v>
      </c>
      <c r="P1224" s="4" t="s">
        <v>0</v>
      </c>
      <c r="R1224" s="3">
        <v>8</v>
      </c>
    </row>
    <row r="1225" spans="1:50" ht="35" customHeight="1" x14ac:dyDescent="0.2">
      <c r="A1225" s="24" t="s">
        <v>527</v>
      </c>
      <c r="B1225" s="24" t="s">
        <v>528</v>
      </c>
      <c r="D1225" s="22"/>
      <c r="E1225" s="22"/>
      <c r="H1225" s="2" t="s">
        <v>33</v>
      </c>
      <c r="I1225" s="243" t="s">
        <v>1016</v>
      </c>
      <c r="J1225" s="3">
        <v>83.9</v>
      </c>
      <c r="L1225" s="3">
        <v>412</v>
      </c>
      <c r="M1225" s="3">
        <v>4.3</v>
      </c>
      <c r="N1225" s="3">
        <v>43</v>
      </c>
      <c r="P1225" s="4" t="s">
        <v>0</v>
      </c>
      <c r="R1225" s="3">
        <v>88</v>
      </c>
    </row>
    <row r="1226" spans="1:50" s="41" customFormat="1" ht="15" customHeight="1" x14ac:dyDescent="0.2">
      <c r="A1226" s="40" t="s">
        <v>527</v>
      </c>
      <c r="B1226" s="40" t="s">
        <v>528</v>
      </c>
      <c r="C1226" s="41" t="s">
        <v>0</v>
      </c>
      <c r="D1226" s="22"/>
      <c r="E1226" s="22"/>
      <c r="H1226" s="41" t="s">
        <v>33</v>
      </c>
      <c r="I1226" s="248" t="s">
        <v>1006</v>
      </c>
      <c r="J1226" s="43">
        <v>81</v>
      </c>
      <c r="K1226" s="43" t="s">
        <v>55</v>
      </c>
      <c r="L1226" s="43">
        <v>183.99120000000005</v>
      </c>
      <c r="M1226" s="43">
        <v>1.2090000000000003</v>
      </c>
      <c r="N1226" s="43"/>
      <c r="O1226" s="43"/>
      <c r="P1226" s="4">
        <f t="shared" ref="P1226" si="394">AN1226</f>
        <v>0</v>
      </c>
      <c r="Q1226" s="43"/>
      <c r="R1226" s="43">
        <v>7.998000000000002</v>
      </c>
      <c r="S1226" s="43"/>
      <c r="T1226" s="43"/>
      <c r="U1226" s="43"/>
      <c r="V1226" s="43"/>
      <c r="W1226" s="43"/>
      <c r="X1226" s="43"/>
      <c r="Y1226" s="43"/>
      <c r="Z1226" s="43"/>
      <c r="AA1226" s="43"/>
      <c r="AB1226" s="43"/>
      <c r="AC1226" s="44"/>
      <c r="AD1226" s="44"/>
      <c r="AE1226" s="23"/>
      <c r="AF1226" s="44"/>
      <c r="AG1226" s="44"/>
      <c r="AH1226" s="44"/>
      <c r="AI1226" s="44"/>
      <c r="AJ1226" s="44"/>
      <c r="AK1226" s="44"/>
      <c r="AL1226" s="44"/>
      <c r="AM1226" s="44"/>
      <c r="AN1226" s="23"/>
      <c r="AO1226" s="44"/>
      <c r="AP1226" s="44"/>
      <c r="AQ1226" s="44"/>
      <c r="AR1226" s="44"/>
      <c r="AS1226" s="44"/>
      <c r="AT1226" s="44"/>
      <c r="AU1226" s="44"/>
      <c r="AV1226" s="44"/>
      <c r="AW1226" s="44"/>
      <c r="AX1226" s="44"/>
    </row>
    <row r="1227" spans="1:50" s="71" customFormat="1" ht="15" customHeight="1" x14ac:dyDescent="0.2">
      <c r="A1227" s="70" t="s">
        <v>527</v>
      </c>
      <c r="B1227" s="70" t="s">
        <v>528</v>
      </c>
      <c r="C1227" s="71" t="s">
        <v>529</v>
      </c>
      <c r="D1227" s="71" t="s">
        <v>31</v>
      </c>
      <c r="E1227" s="71" t="s">
        <v>46</v>
      </c>
      <c r="F1227" s="78" t="s">
        <v>782</v>
      </c>
      <c r="H1227" s="71" t="s">
        <v>33</v>
      </c>
      <c r="I1227" s="87"/>
      <c r="J1227" s="72">
        <f>AVERAGE(J1224:J1226)</f>
        <v>82.100000000000009</v>
      </c>
      <c r="K1227" s="72"/>
      <c r="L1227" s="72">
        <f>AVERAGE(L1224:L1226)</f>
        <v>259.99706666666668</v>
      </c>
      <c r="M1227" s="72">
        <f>AVERAGE(M1224:M1226)</f>
        <v>2.2363333333333335</v>
      </c>
      <c r="N1227" s="72"/>
      <c r="O1227" s="72"/>
      <c r="P1227" s="72">
        <f>AVERAGE(P1224:P1226)</f>
        <v>0</v>
      </c>
      <c r="Q1227" s="72"/>
      <c r="R1227" s="72">
        <f>AVERAGE(R1224:R1226)</f>
        <v>34.666000000000004</v>
      </c>
      <c r="S1227" s="72"/>
      <c r="T1227" s="72"/>
      <c r="U1227" s="72"/>
      <c r="V1227" s="72"/>
      <c r="W1227" s="72"/>
      <c r="X1227" s="72"/>
      <c r="Y1227" s="72"/>
      <c r="Z1227" s="72"/>
      <c r="AA1227" s="72"/>
      <c r="AB1227" s="72"/>
      <c r="AC1227" s="73"/>
      <c r="AD1227" s="73"/>
      <c r="AE1227" s="73"/>
      <c r="AF1227" s="73"/>
      <c r="AG1227" s="73"/>
      <c r="AH1227" s="73"/>
      <c r="AI1227" s="73"/>
      <c r="AJ1227" s="73"/>
      <c r="AK1227" s="73"/>
      <c r="AL1227" s="73"/>
      <c r="AM1227" s="73"/>
      <c r="AN1227" s="73"/>
      <c r="AO1227" s="73"/>
      <c r="AP1227" s="73"/>
      <c r="AQ1227" s="73"/>
      <c r="AR1227" s="73"/>
      <c r="AS1227" s="73"/>
      <c r="AT1227" s="73"/>
      <c r="AU1227" s="73"/>
      <c r="AV1227" s="73"/>
      <c r="AW1227" s="73"/>
      <c r="AX1227" s="73"/>
    </row>
    <row r="1228" spans="1:50" ht="51" x14ac:dyDescent="0.2">
      <c r="A1228" s="24" t="s">
        <v>530</v>
      </c>
      <c r="B1228" s="24" t="s">
        <v>203</v>
      </c>
      <c r="D1228" s="22"/>
      <c r="E1228" s="22"/>
      <c r="H1228" s="2" t="s">
        <v>33</v>
      </c>
      <c r="I1228" s="243" t="s">
        <v>1014</v>
      </c>
      <c r="J1228" s="3">
        <v>86</v>
      </c>
      <c r="L1228" s="3">
        <v>256</v>
      </c>
      <c r="M1228" s="3">
        <v>5.6</v>
      </c>
      <c r="P1228" s="4" t="s">
        <v>0</v>
      </c>
      <c r="R1228" s="3">
        <v>8</v>
      </c>
    </row>
    <row r="1229" spans="1:50" s="22" customFormat="1" ht="15" customHeight="1" x14ac:dyDescent="0.2">
      <c r="A1229" s="21" t="s">
        <v>530</v>
      </c>
      <c r="B1229" s="21" t="s">
        <v>203</v>
      </c>
      <c r="C1229" s="22" t="s">
        <v>0</v>
      </c>
      <c r="H1229" s="22" t="s">
        <v>33</v>
      </c>
      <c r="I1229" s="65" t="s">
        <v>1019</v>
      </c>
      <c r="J1229" s="4"/>
      <c r="K1229" s="4"/>
      <c r="L1229" s="4">
        <v>49</v>
      </c>
      <c r="M1229" s="4">
        <v>6</v>
      </c>
      <c r="N1229" s="4"/>
      <c r="O1229" s="4"/>
      <c r="P1229" s="4">
        <f t="shared" ref="P1229" si="395">AN1229</f>
        <v>0</v>
      </c>
      <c r="Q1229" s="4"/>
      <c r="R1229" s="4">
        <v>30</v>
      </c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23"/>
      <c r="AD1229" s="23"/>
      <c r="AE1229" s="23"/>
      <c r="AF1229" s="23"/>
      <c r="AG1229" s="23"/>
      <c r="AH1229" s="23"/>
      <c r="AI1229" s="23"/>
      <c r="AJ1229" s="23"/>
      <c r="AK1229" s="23"/>
      <c r="AL1229" s="23"/>
      <c r="AM1229" s="23"/>
      <c r="AN1229" s="23"/>
      <c r="AO1229" s="23"/>
      <c r="AP1229" s="23"/>
      <c r="AQ1229" s="23"/>
      <c r="AR1229" s="23"/>
      <c r="AS1229" s="23"/>
      <c r="AT1229" s="23"/>
      <c r="AU1229" s="23"/>
      <c r="AV1229" s="23"/>
      <c r="AW1229" s="23"/>
      <c r="AX1229" s="23"/>
    </row>
    <row r="1230" spans="1:50" s="71" customFormat="1" ht="15" customHeight="1" x14ac:dyDescent="0.2">
      <c r="A1230" s="70" t="s">
        <v>530</v>
      </c>
      <c r="B1230" s="70" t="s">
        <v>203</v>
      </c>
      <c r="C1230" s="71" t="s">
        <v>531</v>
      </c>
      <c r="D1230" s="71" t="s">
        <v>31</v>
      </c>
      <c r="E1230" s="71" t="s">
        <v>46</v>
      </c>
      <c r="F1230" s="78" t="s">
        <v>782</v>
      </c>
      <c r="H1230" s="71" t="s">
        <v>33</v>
      </c>
      <c r="I1230" s="87"/>
      <c r="J1230" s="72">
        <f>AVERAGE(J1228:J1229)</f>
        <v>86</v>
      </c>
      <c r="K1230" s="72"/>
      <c r="L1230" s="72">
        <f>AVERAGE(L1228:L1229)</f>
        <v>152.5</v>
      </c>
      <c r="M1230" s="72">
        <f>AVERAGE(M1228:M1229)</f>
        <v>5.8</v>
      </c>
      <c r="N1230" s="72"/>
      <c r="O1230" s="72"/>
      <c r="P1230" s="72">
        <f>AVERAGE(P1228:P1229)</f>
        <v>0</v>
      </c>
      <c r="Q1230" s="72"/>
      <c r="R1230" s="72">
        <f>AVERAGE(R1228:R1229)</f>
        <v>19</v>
      </c>
      <c r="S1230" s="72"/>
      <c r="T1230" s="72"/>
      <c r="U1230" s="72"/>
      <c r="V1230" s="72"/>
      <c r="W1230" s="72"/>
      <c r="X1230" s="72"/>
      <c r="Y1230" s="72"/>
      <c r="Z1230" s="72"/>
      <c r="AA1230" s="72"/>
      <c r="AB1230" s="72"/>
      <c r="AC1230" s="73"/>
      <c r="AD1230" s="73"/>
      <c r="AE1230" s="73"/>
      <c r="AF1230" s="73"/>
      <c r="AG1230" s="73"/>
      <c r="AH1230" s="73"/>
      <c r="AI1230" s="73"/>
      <c r="AJ1230" s="73"/>
      <c r="AK1230" s="73"/>
      <c r="AL1230" s="73"/>
      <c r="AM1230" s="73"/>
      <c r="AN1230" s="73"/>
      <c r="AO1230" s="73"/>
      <c r="AP1230" s="73"/>
      <c r="AQ1230" s="73"/>
      <c r="AR1230" s="73"/>
      <c r="AS1230" s="73"/>
      <c r="AT1230" s="73"/>
      <c r="AU1230" s="73"/>
      <c r="AV1230" s="73"/>
      <c r="AW1230" s="73"/>
      <c r="AX1230" s="73"/>
    </row>
    <row r="1231" spans="1:50" ht="15" customHeight="1" x14ac:dyDescent="0.2">
      <c r="A1231" s="51" t="s">
        <v>532</v>
      </c>
      <c r="B1231" s="51" t="s">
        <v>533</v>
      </c>
      <c r="C1231" s="41" t="s">
        <v>0</v>
      </c>
      <c r="D1231" s="22"/>
      <c r="E1231" s="22"/>
      <c r="F1231" s="41"/>
      <c r="G1231" s="41"/>
      <c r="H1231" s="41" t="s">
        <v>33</v>
      </c>
      <c r="I1231" s="243" t="s">
        <v>1016</v>
      </c>
      <c r="J1231" s="3">
        <v>85</v>
      </c>
      <c r="L1231" s="3">
        <v>122</v>
      </c>
      <c r="M1231" s="3">
        <v>2.4</v>
      </c>
      <c r="N1231" s="3">
        <v>54</v>
      </c>
      <c r="O1231" s="3">
        <v>1.2</v>
      </c>
      <c r="P1231" s="4" t="s">
        <v>0</v>
      </c>
      <c r="R1231" s="3">
        <v>177</v>
      </c>
    </row>
    <row r="1232" spans="1:50" ht="15" customHeight="1" x14ac:dyDescent="0.2">
      <c r="A1232" s="51" t="s">
        <v>532</v>
      </c>
      <c r="B1232" s="51" t="s">
        <v>533</v>
      </c>
      <c r="C1232" s="41" t="s">
        <v>0</v>
      </c>
      <c r="D1232" s="22"/>
      <c r="E1232" s="22"/>
      <c r="F1232" s="41"/>
      <c r="G1232" s="41"/>
      <c r="H1232" s="41" t="s">
        <v>33</v>
      </c>
      <c r="I1232" s="243" t="s">
        <v>1029</v>
      </c>
      <c r="L1232" s="3">
        <v>100</v>
      </c>
      <c r="M1232" s="3">
        <v>3.9</v>
      </c>
      <c r="N1232" s="3">
        <v>69</v>
      </c>
    </row>
    <row r="1233" spans="1:50" s="41" customFormat="1" ht="15" customHeight="1" x14ac:dyDescent="0.2">
      <c r="A1233" s="51" t="s">
        <v>532</v>
      </c>
      <c r="B1233" s="51" t="s">
        <v>533</v>
      </c>
      <c r="C1233" s="41" t="s">
        <v>0</v>
      </c>
      <c r="D1233" s="22"/>
      <c r="E1233" s="22"/>
      <c r="H1233" s="41" t="s">
        <v>33</v>
      </c>
      <c r="I1233" s="248" t="s">
        <v>1023</v>
      </c>
      <c r="J1233" s="43"/>
      <c r="K1233" s="43"/>
      <c r="L1233" s="43"/>
      <c r="M1233" s="43"/>
      <c r="N1233" s="43"/>
      <c r="O1233" s="43"/>
      <c r="P1233" s="4">
        <f t="shared" ref="P1233" si="396">AN1233</f>
        <v>0</v>
      </c>
      <c r="Q1233" s="43"/>
      <c r="R1233" s="43">
        <v>158</v>
      </c>
      <c r="S1233" s="43"/>
      <c r="T1233" s="43"/>
      <c r="U1233" s="43"/>
      <c r="V1233" s="43"/>
      <c r="W1233" s="43"/>
      <c r="X1233" s="43"/>
      <c r="Y1233" s="43"/>
      <c r="Z1233" s="43"/>
      <c r="AA1233" s="43"/>
      <c r="AB1233" s="43"/>
      <c r="AC1233" s="44"/>
      <c r="AD1233" s="44"/>
      <c r="AE1233" s="44"/>
      <c r="AF1233" s="44"/>
      <c r="AG1233" s="44"/>
      <c r="AH1233" s="44"/>
      <c r="AI1233" s="44"/>
      <c r="AJ1233" s="44"/>
      <c r="AK1233" s="5"/>
      <c r="AL1233" s="44"/>
      <c r="AM1233" s="44"/>
      <c r="AN1233" s="23"/>
      <c r="AO1233" s="44"/>
      <c r="AP1233" s="44"/>
      <c r="AQ1233" s="44"/>
      <c r="AR1233" s="44"/>
      <c r="AS1233" s="44"/>
      <c r="AT1233" s="44"/>
      <c r="AU1233" s="44"/>
      <c r="AV1233" s="44"/>
      <c r="AW1233" s="44"/>
      <c r="AX1233" s="44"/>
    </row>
    <row r="1234" spans="1:50" s="71" customFormat="1" ht="15" customHeight="1" x14ac:dyDescent="0.2">
      <c r="A1234" s="77" t="s">
        <v>532</v>
      </c>
      <c r="B1234" s="77" t="s">
        <v>533</v>
      </c>
      <c r="C1234" s="71" t="s">
        <v>534</v>
      </c>
      <c r="D1234" s="71" t="s">
        <v>31</v>
      </c>
      <c r="E1234" s="71" t="s">
        <v>46</v>
      </c>
      <c r="F1234" s="78" t="s">
        <v>782</v>
      </c>
      <c r="H1234" s="71" t="s">
        <v>33</v>
      </c>
      <c r="I1234" s="87"/>
      <c r="J1234" s="72">
        <f>AVERAGE(J1231:J1233)</f>
        <v>85</v>
      </c>
      <c r="K1234" s="72" t="s">
        <v>0</v>
      </c>
      <c r="L1234" s="72">
        <f>AVERAGE(L1231:L1233)</f>
        <v>111</v>
      </c>
      <c r="M1234" s="72">
        <f>AVERAGE(M1231:M1233)</f>
        <v>3.15</v>
      </c>
      <c r="N1234" s="72">
        <f>AVERAGE(N1231:N1233)</f>
        <v>61.5</v>
      </c>
      <c r="O1234" s="72">
        <f>AVERAGE(O1231:O1233)</f>
        <v>1.2</v>
      </c>
      <c r="P1234" s="72">
        <f>AVERAGE(P1231:P1233)</f>
        <v>0</v>
      </c>
      <c r="Q1234" s="72"/>
      <c r="R1234" s="72">
        <f>AVERAGE(R1231:R1233)</f>
        <v>167.5</v>
      </c>
      <c r="S1234" s="72"/>
      <c r="T1234" s="72"/>
      <c r="U1234" s="72"/>
      <c r="V1234" s="72"/>
      <c r="W1234" s="72"/>
      <c r="X1234" s="72"/>
      <c r="Y1234" s="72"/>
      <c r="Z1234" s="72"/>
      <c r="AA1234" s="72"/>
      <c r="AB1234" s="72"/>
      <c r="AC1234" s="73"/>
      <c r="AD1234" s="73"/>
      <c r="AE1234" s="73"/>
      <c r="AF1234" s="73"/>
      <c r="AG1234" s="73"/>
      <c r="AH1234" s="73"/>
      <c r="AI1234" s="73"/>
      <c r="AJ1234" s="73"/>
      <c r="AK1234" s="73"/>
      <c r="AL1234" s="73"/>
      <c r="AM1234" s="73"/>
      <c r="AN1234" s="73"/>
      <c r="AO1234" s="73"/>
      <c r="AP1234" s="73"/>
      <c r="AQ1234" s="73"/>
      <c r="AR1234" s="73"/>
      <c r="AS1234" s="73"/>
      <c r="AT1234" s="73"/>
      <c r="AU1234" s="73"/>
      <c r="AV1234" s="73"/>
      <c r="AW1234" s="73"/>
      <c r="AX1234" s="73"/>
    </row>
    <row r="1235" spans="1:50" s="22" customFormat="1" ht="15" customHeight="1" x14ac:dyDescent="0.2">
      <c r="A1235" s="21" t="s">
        <v>535</v>
      </c>
      <c r="B1235" s="21" t="s">
        <v>536</v>
      </c>
      <c r="C1235" s="22" t="s">
        <v>0</v>
      </c>
      <c r="H1235" s="22" t="s">
        <v>33</v>
      </c>
      <c r="I1235" s="65" t="s">
        <v>1004</v>
      </c>
      <c r="J1235" s="4"/>
      <c r="K1235" s="4"/>
      <c r="L1235" s="4"/>
      <c r="M1235" s="4"/>
      <c r="N1235" s="4"/>
      <c r="O1235" s="4"/>
      <c r="P1235" s="4">
        <f t="shared" ref="P1235:P1236" si="397">AN1235</f>
        <v>0</v>
      </c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  <c r="AC1235" s="23"/>
      <c r="AD1235" s="23"/>
      <c r="AE1235" s="23"/>
      <c r="AF1235" s="23"/>
      <c r="AG1235" s="23"/>
      <c r="AH1235" s="23"/>
      <c r="AI1235" s="23"/>
      <c r="AJ1235" s="23"/>
      <c r="AK1235" s="23"/>
      <c r="AL1235" s="23"/>
      <c r="AM1235" s="23"/>
      <c r="AN1235" s="23"/>
      <c r="AO1235" s="23"/>
      <c r="AP1235" s="23"/>
      <c r="AQ1235" s="23"/>
      <c r="AR1235" s="23"/>
      <c r="AS1235" s="23"/>
      <c r="AT1235" s="23"/>
      <c r="AU1235" s="23"/>
      <c r="AV1235" s="23"/>
      <c r="AW1235" s="23"/>
      <c r="AX1235" s="23"/>
    </row>
    <row r="1236" spans="1:50" s="22" customFormat="1" ht="15" customHeight="1" x14ac:dyDescent="0.2">
      <c r="A1236" s="21" t="s">
        <v>535</v>
      </c>
      <c r="B1236" s="21" t="s">
        <v>536</v>
      </c>
      <c r="C1236" s="22" t="s">
        <v>0</v>
      </c>
      <c r="H1236" s="22" t="s">
        <v>33</v>
      </c>
      <c r="I1236" s="65" t="s">
        <v>1004</v>
      </c>
      <c r="J1236" s="4">
        <v>82</v>
      </c>
      <c r="K1236" s="4"/>
      <c r="L1236" s="4">
        <v>474</v>
      </c>
      <c r="M1236" s="4">
        <v>6.2</v>
      </c>
      <c r="N1236" s="4"/>
      <c r="O1236" s="4"/>
      <c r="P1236" s="4">
        <f t="shared" si="397"/>
        <v>0</v>
      </c>
      <c r="Q1236" s="4"/>
      <c r="R1236" s="4">
        <v>29</v>
      </c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C1236" s="23"/>
      <c r="AD1236" s="23"/>
      <c r="AE1236" s="23"/>
      <c r="AF1236" s="23"/>
      <c r="AG1236" s="23"/>
      <c r="AH1236" s="23"/>
      <c r="AI1236" s="23"/>
      <c r="AJ1236" s="23"/>
      <c r="AK1236" s="23"/>
      <c r="AL1236" s="23"/>
      <c r="AM1236" s="23"/>
      <c r="AN1236" s="23"/>
      <c r="AO1236" s="23"/>
      <c r="AP1236" s="23"/>
      <c r="AQ1236" s="23"/>
      <c r="AR1236" s="23"/>
      <c r="AS1236" s="23"/>
      <c r="AT1236" s="23"/>
      <c r="AU1236" s="23"/>
      <c r="AV1236" s="23"/>
      <c r="AW1236" s="23"/>
      <c r="AX1236" s="23"/>
    </row>
    <row r="1237" spans="1:50" s="71" customFormat="1" ht="15" customHeight="1" x14ac:dyDescent="0.2">
      <c r="A1237" s="70" t="s">
        <v>535</v>
      </c>
      <c r="B1237" s="70" t="s">
        <v>536</v>
      </c>
      <c r="C1237" s="71" t="s">
        <v>537</v>
      </c>
      <c r="D1237" s="71" t="s">
        <v>31</v>
      </c>
      <c r="E1237" s="71" t="s">
        <v>32</v>
      </c>
      <c r="F1237" s="71" t="s">
        <v>783</v>
      </c>
      <c r="H1237" s="71" t="s">
        <v>33</v>
      </c>
      <c r="I1237" s="87"/>
      <c r="J1237" s="72">
        <f>AVERAGE(J1235:J1236)</f>
        <v>82</v>
      </c>
      <c r="K1237" s="72"/>
      <c r="L1237" s="72">
        <f>AVERAGE(L1235:L1236)</f>
        <v>474</v>
      </c>
      <c r="M1237" s="72">
        <f>AVERAGE(M1235:M1236)</f>
        <v>6.2</v>
      </c>
      <c r="N1237" s="72"/>
      <c r="O1237" s="72"/>
      <c r="P1237" s="72">
        <f>AVERAGE(P1235:P1236)</f>
        <v>0</v>
      </c>
      <c r="Q1237" s="72"/>
      <c r="R1237" s="72">
        <f>AVERAGE(R1235:R1236)</f>
        <v>29</v>
      </c>
      <c r="S1237" s="72"/>
      <c r="T1237" s="72"/>
      <c r="U1237" s="72"/>
      <c r="V1237" s="72"/>
      <c r="W1237" s="72"/>
      <c r="X1237" s="72"/>
      <c r="Y1237" s="72"/>
      <c r="Z1237" s="72"/>
      <c r="AA1237" s="72"/>
      <c r="AB1237" s="72"/>
      <c r="AC1237" s="73"/>
      <c r="AD1237" s="73"/>
      <c r="AE1237" s="73"/>
      <c r="AF1237" s="73"/>
      <c r="AG1237" s="73"/>
      <c r="AH1237" s="73"/>
      <c r="AI1237" s="73"/>
      <c r="AJ1237" s="73"/>
      <c r="AK1237" s="73"/>
      <c r="AL1237" s="73"/>
      <c r="AM1237" s="73"/>
      <c r="AN1237" s="73"/>
      <c r="AO1237" s="73"/>
      <c r="AP1237" s="73"/>
      <c r="AQ1237" s="73"/>
      <c r="AR1237" s="73"/>
      <c r="AS1237" s="73"/>
      <c r="AT1237" s="73"/>
      <c r="AU1237" s="73"/>
      <c r="AV1237" s="73"/>
      <c r="AW1237" s="73"/>
      <c r="AX1237" s="73"/>
    </row>
    <row r="1238" spans="1:50" ht="15" customHeight="1" x14ac:dyDescent="0.2">
      <c r="A1238" s="24" t="s">
        <v>538</v>
      </c>
      <c r="B1238" s="24" t="s">
        <v>45</v>
      </c>
      <c r="D1238" s="22"/>
      <c r="E1238" s="22"/>
      <c r="H1238" s="2" t="s">
        <v>33</v>
      </c>
      <c r="I1238" s="243" t="s">
        <v>1005</v>
      </c>
      <c r="J1238" s="3">
        <v>93.9</v>
      </c>
      <c r="L1238" s="3">
        <v>65</v>
      </c>
      <c r="M1238" s="3">
        <v>2</v>
      </c>
      <c r="N1238" s="36">
        <v>68</v>
      </c>
      <c r="O1238" s="3">
        <v>0.2</v>
      </c>
      <c r="P1238" s="4">
        <f t="shared" ref="P1238:P1242" si="398">AN1238</f>
        <v>0</v>
      </c>
      <c r="Q1238" s="3">
        <v>12</v>
      </c>
      <c r="R1238" s="3">
        <v>21</v>
      </c>
      <c r="X1238" s="36"/>
      <c r="AI1238" s="23"/>
      <c r="AN1238" s="23"/>
    </row>
    <row r="1239" spans="1:50" ht="15" customHeight="1" x14ac:dyDescent="0.2">
      <c r="A1239" s="24" t="s">
        <v>538</v>
      </c>
      <c r="B1239" s="24" t="s">
        <v>45</v>
      </c>
      <c r="D1239" s="22"/>
      <c r="E1239" s="22"/>
      <c r="H1239" s="2" t="s">
        <v>33</v>
      </c>
      <c r="I1239" s="243" t="s">
        <v>1009</v>
      </c>
      <c r="K1239" s="3">
        <v>0.56999999999999995</v>
      </c>
      <c r="L1239" s="3">
        <v>118</v>
      </c>
      <c r="M1239" s="3">
        <v>1.71</v>
      </c>
      <c r="O1239" s="3">
        <v>0.68</v>
      </c>
      <c r="P1239" s="4">
        <f t="shared" si="398"/>
        <v>0</v>
      </c>
      <c r="R1239" s="3">
        <v>6</v>
      </c>
      <c r="AN1239" s="23"/>
    </row>
    <row r="1240" spans="1:50" ht="15" customHeight="1" x14ac:dyDescent="0.2">
      <c r="A1240" s="24" t="s">
        <v>538</v>
      </c>
      <c r="B1240" s="24" t="s">
        <v>45</v>
      </c>
      <c r="D1240" s="22"/>
      <c r="E1240" s="22"/>
      <c r="H1240" s="2" t="s">
        <v>33</v>
      </c>
      <c r="I1240" s="243" t="s">
        <v>1009</v>
      </c>
      <c r="K1240" s="3">
        <v>0.68</v>
      </c>
      <c r="L1240" s="3">
        <v>35</v>
      </c>
      <c r="M1240" s="3">
        <v>1.66</v>
      </c>
      <c r="P1240" s="4">
        <f t="shared" si="398"/>
        <v>0</v>
      </c>
      <c r="R1240" s="3">
        <v>13</v>
      </c>
      <c r="S1240" s="3">
        <v>0.2</v>
      </c>
      <c r="AN1240" s="23"/>
    </row>
    <row r="1241" spans="1:50" ht="15" customHeight="1" x14ac:dyDescent="0.2">
      <c r="A1241" s="24" t="s">
        <v>538</v>
      </c>
      <c r="B1241" s="24" t="s">
        <v>45</v>
      </c>
      <c r="D1241" s="22"/>
      <c r="E1241" s="22"/>
      <c r="H1241" s="2" t="s">
        <v>33</v>
      </c>
      <c r="I1241" s="243" t="s">
        <v>1009</v>
      </c>
      <c r="K1241" s="3">
        <v>0.5</v>
      </c>
      <c r="L1241" s="3">
        <v>47</v>
      </c>
      <c r="M1241" s="3">
        <v>1.07</v>
      </c>
      <c r="P1241" s="4">
        <f t="shared" si="398"/>
        <v>0</v>
      </c>
      <c r="R1241" s="3">
        <v>5</v>
      </c>
      <c r="S1241" s="3">
        <v>0.52</v>
      </c>
      <c r="AN1241" s="23"/>
    </row>
    <row r="1242" spans="1:50" ht="15" customHeight="1" x14ac:dyDescent="0.2">
      <c r="A1242" s="24" t="s">
        <v>538</v>
      </c>
      <c r="B1242" s="24" t="s">
        <v>45</v>
      </c>
      <c r="D1242" s="22"/>
      <c r="E1242" s="22"/>
      <c r="H1242" s="2" t="s">
        <v>33</v>
      </c>
      <c r="I1242" s="243" t="s">
        <v>1009</v>
      </c>
      <c r="K1242" s="3">
        <v>0.44</v>
      </c>
      <c r="L1242" s="3">
        <v>36</v>
      </c>
      <c r="M1242" s="3">
        <v>0.53</v>
      </c>
      <c r="P1242" s="4">
        <f t="shared" si="398"/>
        <v>0</v>
      </c>
      <c r="R1242" s="3">
        <v>9</v>
      </c>
      <c r="S1242" s="3">
        <v>0.69</v>
      </c>
      <c r="AN1242" s="23"/>
    </row>
    <row r="1243" spans="1:50" s="71" customFormat="1" ht="15" customHeight="1" x14ac:dyDescent="0.2">
      <c r="A1243" s="70" t="s">
        <v>538</v>
      </c>
      <c r="B1243" s="70" t="s">
        <v>45</v>
      </c>
      <c r="C1243" s="71" t="s">
        <v>539</v>
      </c>
      <c r="D1243" s="71" t="s">
        <v>56</v>
      </c>
      <c r="E1243" s="71" t="s">
        <v>46</v>
      </c>
      <c r="F1243" s="78" t="s">
        <v>782</v>
      </c>
      <c r="H1243" s="71" t="s">
        <v>33</v>
      </c>
      <c r="I1243" s="87"/>
      <c r="J1243" s="72">
        <f t="shared" ref="J1243" si="399">AVERAGE(J1238:J1242)</f>
        <v>93.9</v>
      </c>
      <c r="K1243" s="72">
        <f t="shared" ref="K1243:S1243" si="400">AVERAGE(K1238:K1242)</f>
        <v>0.54749999999999999</v>
      </c>
      <c r="L1243" s="72">
        <f t="shared" si="400"/>
        <v>60.2</v>
      </c>
      <c r="M1243" s="72">
        <f t="shared" si="400"/>
        <v>1.3940000000000001</v>
      </c>
      <c r="N1243" s="72">
        <f t="shared" si="400"/>
        <v>68</v>
      </c>
      <c r="O1243" s="72">
        <f t="shared" si="400"/>
        <v>0.44000000000000006</v>
      </c>
      <c r="P1243" s="72">
        <f t="shared" si="400"/>
        <v>0</v>
      </c>
      <c r="Q1243" s="72">
        <f t="shared" si="400"/>
        <v>12</v>
      </c>
      <c r="R1243" s="72">
        <f t="shared" si="400"/>
        <v>10.8</v>
      </c>
      <c r="S1243" s="72">
        <f t="shared" si="400"/>
        <v>0.47</v>
      </c>
      <c r="T1243" s="72"/>
      <c r="U1243" s="72"/>
      <c r="V1243" s="72"/>
      <c r="W1243" s="72"/>
      <c r="X1243" s="72"/>
      <c r="Y1243" s="72"/>
      <c r="Z1243" s="72"/>
      <c r="AA1243" s="72"/>
      <c r="AB1243" s="72"/>
      <c r="AC1243" s="73"/>
      <c r="AD1243" s="73"/>
      <c r="AE1243" s="73"/>
      <c r="AF1243" s="73"/>
      <c r="AG1243" s="73"/>
      <c r="AH1243" s="73"/>
      <c r="AI1243" s="73"/>
      <c r="AJ1243" s="73"/>
      <c r="AK1243" s="73"/>
      <c r="AL1243" s="73"/>
      <c r="AM1243" s="73"/>
      <c r="AN1243" s="73"/>
      <c r="AO1243" s="73"/>
      <c r="AP1243" s="73"/>
      <c r="AQ1243" s="73"/>
      <c r="AR1243" s="73"/>
      <c r="AS1243" s="73"/>
      <c r="AT1243" s="73"/>
      <c r="AU1243" s="73"/>
      <c r="AV1243" s="73"/>
      <c r="AW1243" s="73"/>
      <c r="AX1243" s="73"/>
    </row>
    <row r="1244" spans="1:50" s="22" customFormat="1" ht="15" customHeight="1" x14ac:dyDescent="0.2">
      <c r="A1244" s="21" t="s">
        <v>540</v>
      </c>
      <c r="B1244" s="21" t="s">
        <v>541</v>
      </c>
      <c r="C1244" s="22" t="s">
        <v>0</v>
      </c>
      <c r="H1244" s="22" t="s">
        <v>27</v>
      </c>
      <c r="I1244" s="65" t="s">
        <v>1005</v>
      </c>
      <c r="J1244" s="4">
        <v>87</v>
      </c>
      <c r="K1244" s="4"/>
      <c r="L1244" s="4">
        <v>297</v>
      </c>
      <c r="M1244" s="4">
        <v>0.8</v>
      </c>
      <c r="N1244" s="4"/>
      <c r="O1244" s="4"/>
      <c r="P1244" s="4" t="s">
        <v>0</v>
      </c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C1244" s="23"/>
      <c r="AD1244" s="23"/>
      <c r="AE1244" s="23"/>
      <c r="AF1244" s="23"/>
      <c r="AG1244" s="23"/>
      <c r="AH1244" s="23"/>
      <c r="AI1244" s="23"/>
      <c r="AJ1244" s="23"/>
      <c r="AK1244" s="23"/>
      <c r="AL1244" s="23"/>
      <c r="AM1244" s="23"/>
      <c r="AN1244" s="23"/>
      <c r="AO1244" s="23"/>
      <c r="AP1244" s="23"/>
      <c r="AQ1244" s="23"/>
      <c r="AR1244" s="23"/>
      <c r="AS1244" s="23"/>
      <c r="AT1244" s="23"/>
      <c r="AU1244" s="23"/>
      <c r="AV1244" s="23"/>
      <c r="AW1244" s="23"/>
      <c r="AX1244" s="23"/>
    </row>
    <row r="1245" spans="1:50" s="71" customFormat="1" ht="15" customHeight="1" x14ac:dyDescent="0.2">
      <c r="A1245" s="70" t="s">
        <v>540</v>
      </c>
      <c r="B1245" s="70" t="s">
        <v>541</v>
      </c>
      <c r="C1245" s="71" t="s">
        <v>542</v>
      </c>
      <c r="D1245" s="71" t="s">
        <v>31</v>
      </c>
      <c r="E1245" s="71" t="s">
        <v>42</v>
      </c>
      <c r="F1245" s="71" t="s">
        <v>784</v>
      </c>
      <c r="H1245" s="71" t="s">
        <v>27</v>
      </c>
      <c r="I1245" s="87"/>
      <c r="J1245" s="72">
        <f>J1244</f>
        <v>87</v>
      </c>
      <c r="K1245" s="72"/>
      <c r="L1245" s="72">
        <f>L1244</f>
        <v>297</v>
      </c>
      <c r="M1245" s="72">
        <f>M1244</f>
        <v>0.8</v>
      </c>
      <c r="N1245" s="72"/>
      <c r="O1245" s="72"/>
      <c r="P1245" s="72"/>
      <c r="Q1245" s="72"/>
      <c r="R1245" s="72"/>
      <c r="S1245" s="72"/>
      <c r="T1245" s="72"/>
      <c r="U1245" s="72"/>
      <c r="V1245" s="72"/>
      <c r="W1245" s="72"/>
      <c r="X1245" s="72"/>
      <c r="Y1245" s="72"/>
      <c r="Z1245" s="72"/>
      <c r="AA1245" s="72"/>
      <c r="AB1245" s="72"/>
      <c r="AC1245" s="73"/>
      <c r="AD1245" s="73"/>
      <c r="AE1245" s="73"/>
      <c r="AF1245" s="73"/>
      <c r="AG1245" s="73"/>
      <c r="AH1245" s="73"/>
      <c r="AI1245" s="73"/>
      <c r="AJ1245" s="73"/>
      <c r="AK1245" s="73"/>
      <c r="AL1245" s="73"/>
      <c r="AM1245" s="73"/>
      <c r="AN1245" s="73"/>
      <c r="AO1245" s="73"/>
      <c r="AP1245" s="73"/>
      <c r="AQ1245" s="73"/>
      <c r="AR1245" s="73"/>
      <c r="AS1245" s="73"/>
      <c r="AT1245" s="73"/>
      <c r="AU1245" s="73"/>
      <c r="AV1245" s="73"/>
      <c r="AW1245" s="73"/>
      <c r="AX1245" s="73"/>
    </row>
    <row r="1246" spans="1:50" s="22" customFormat="1" ht="15" customHeight="1" x14ac:dyDescent="0.2">
      <c r="A1246" s="21" t="s">
        <v>540</v>
      </c>
      <c r="B1246" s="21" t="s">
        <v>541</v>
      </c>
      <c r="C1246" s="22" t="s">
        <v>0</v>
      </c>
      <c r="H1246" s="22" t="s">
        <v>33</v>
      </c>
      <c r="I1246" s="65" t="s">
        <v>1005</v>
      </c>
      <c r="J1246" s="4">
        <v>82</v>
      </c>
      <c r="K1246" s="4"/>
      <c r="L1246" s="4">
        <v>565</v>
      </c>
      <c r="M1246" s="4"/>
      <c r="N1246" s="4"/>
      <c r="O1246" s="4"/>
      <c r="P1246" s="4" t="s">
        <v>0</v>
      </c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23"/>
      <c r="AD1246" s="23"/>
      <c r="AE1246" s="23"/>
      <c r="AF1246" s="23"/>
      <c r="AG1246" s="23"/>
      <c r="AH1246" s="23"/>
      <c r="AI1246" s="23"/>
      <c r="AJ1246" s="23"/>
      <c r="AK1246" s="23"/>
      <c r="AL1246" s="23"/>
      <c r="AM1246" s="23"/>
      <c r="AN1246" s="23"/>
      <c r="AO1246" s="23"/>
      <c r="AP1246" s="23"/>
      <c r="AQ1246" s="23"/>
      <c r="AR1246" s="23"/>
      <c r="AS1246" s="23"/>
      <c r="AT1246" s="23"/>
      <c r="AU1246" s="23"/>
      <c r="AV1246" s="23"/>
      <c r="AW1246" s="23"/>
      <c r="AX1246" s="23"/>
    </row>
    <row r="1247" spans="1:50" s="71" customFormat="1" ht="15" customHeight="1" x14ac:dyDescent="0.2">
      <c r="A1247" s="70" t="s">
        <v>540</v>
      </c>
      <c r="B1247" s="70" t="s">
        <v>541</v>
      </c>
      <c r="C1247" s="71" t="s">
        <v>542</v>
      </c>
      <c r="D1247" s="71" t="s">
        <v>31</v>
      </c>
      <c r="E1247" s="71" t="s">
        <v>42</v>
      </c>
      <c r="F1247" s="71" t="s">
        <v>784</v>
      </c>
      <c r="H1247" s="71" t="s">
        <v>33</v>
      </c>
      <c r="I1247" s="87"/>
      <c r="J1247" s="72">
        <f>J1246</f>
        <v>82</v>
      </c>
      <c r="K1247" s="72"/>
      <c r="L1247" s="72">
        <f>L1246</f>
        <v>565</v>
      </c>
      <c r="M1247" s="72"/>
      <c r="N1247" s="72"/>
      <c r="O1247" s="72"/>
      <c r="P1247" s="72"/>
      <c r="Q1247" s="72"/>
      <c r="R1247" s="72"/>
      <c r="S1247" s="72"/>
      <c r="T1247" s="72"/>
      <c r="U1247" s="72"/>
      <c r="V1247" s="72"/>
      <c r="W1247" s="72"/>
      <c r="X1247" s="72"/>
      <c r="Y1247" s="72"/>
      <c r="Z1247" s="72"/>
      <c r="AA1247" s="72"/>
      <c r="AB1247" s="72"/>
      <c r="AC1247" s="73"/>
      <c r="AD1247" s="73"/>
      <c r="AE1247" s="73"/>
      <c r="AF1247" s="73"/>
      <c r="AG1247" s="73"/>
      <c r="AH1247" s="73"/>
      <c r="AI1247" s="73"/>
      <c r="AJ1247" s="73"/>
      <c r="AK1247" s="73"/>
      <c r="AL1247" s="73"/>
      <c r="AM1247" s="73"/>
      <c r="AN1247" s="73"/>
      <c r="AO1247" s="73"/>
      <c r="AP1247" s="73"/>
      <c r="AQ1247" s="73"/>
      <c r="AR1247" s="73"/>
      <c r="AS1247" s="73"/>
      <c r="AT1247" s="73"/>
      <c r="AU1247" s="73"/>
      <c r="AV1247" s="73"/>
      <c r="AW1247" s="73"/>
      <c r="AX1247" s="73"/>
    </row>
    <row r="1248" spans="1:50" ht="15" customHeight="1" x14ac:dyDescent="0.2">
      <c r="A1248" s="55" t="s">
        <v>540</v>
      </c>
      <c r="B1248" s="24" t="s">
        <v>544</v>
      </c>
      <c r="C1248" s="56" t="s">
        <v>0</v>
      </c>
      <c r="D1248" s="22"/>
      <c r="E1248" s="22"/>
      <c r="F1248" s="57"/>
      <c r="G1248" s="57"/>
      <c r="H1248" s="57" t="s">
        <v>33</v>
      </c>
      <c r="I1248" s="249" t="s">
        <v>1007</v>
      </c>
      <c r="J1248" s="58">
        <v>76.849999999999994</v>
      </c>
      <c r="K1248" s="58"/>
      <c r="L1248" s="58">
        <v>224</v>
      </c>
      <c r="M1248" s="58">
        <v>4</v>
      </c>
      <c r="N1248" s="58">
        <v>8</v>
      </c>
      <c r="O1248" s="58">
        <v>1.28</v>
      </c>
      <c r="P1248" s="4">
        <f t="shared" ref="P1248" si="401">AN1248</f>
        <v>0</v>
      </c>
      <c r="Q1248" s="58">
        <v>16</v>
      </c>
      <c r="R1248" s="58">
        <v>45</v>
      </c>
      <c r="S1248" s="58"/>
      <c r="T1248" s="58"/>
      <c r="U1248" s="58"/>
      <c r="V1248" s="58"/>
      <c r="W1248" s="58"/>
      <c r="X1248" s="58"/>
      <c r="Y1248" s="58"/>
      <c r="Z1248" s="58"/>
      <c r="AA1248" s="58"/>
      <c r="AB1248" s="58"/>
      <c r="AI1248" s="23"/>
      <c r="AN1248" s="23"/>
    </row>
    <row r="1249" spans="1:50" ht="15" customHeight="1" x14ac:dyDescent="0.2">
      <c r="A1249" s="24" t="s">
        <v>540</v>
      </c>
      <c r="B1249" s="24" t="s">
        <v>544</v>
      </c>
      <c r="D1249" s="22"/>
      <c r="E1249" s="22"/>
      <c r="F1249" s="57"/>
      <c r="G1249" s="57"/>
      <c r="H1249" s="57" t="s">
        <v>33</v>
      </c>
      <c r="I1249" s="243" t="s">
        <v>1005</v>
      </c>
      <c r="J1249" s="3">
        <v>76.900000000000006</v>
      </c>
      <c r="K1249" s="3">
        <v>2.2000000000000002</v>
      </c>
      <c r="M1249" s="3">
        <v>2</v>
      </c>
      <c r="P1249" s="4" t="s">
        <v>0</v>
      </c>
      <c r="Q1249" s="3">
        <v>16</v>
      </c>
      <c r="R1249" s="3">
        <v>45</v>
      </c>
    </row>
    <row r="1250" spans="1:50" ht="15" customHeight="1" x14ac:dyDescent="0.2">
      <c r="A1250" s="24" t="s">
        <v>540</v>
      </c>
      <c r="B1250" s="24" t="s">
        <v>544</v>
      </c>
      <c r="D1250" s="22"/>
      <c r="E1250" s="22"/>
      <c r="F1250" s="57"/>
      <c r="G1250" s="57"/>
      <c r="H1250" s="57" t="s">
        <v>33</v>
      </c>
      <c r="I1250" s="243" t="s">
        <v>1006</v>
      </c>
      <c r="J1250" s="3">
        <v>79</v>
      </c>
      <c r="K1250" s="3">
        <v>4.093399999999999</v>
      </c>
      <c r="L1250" s="3">
        <v>370.00959999999992</v>
      </c>
      <c r="M1250" s="3" t="s">
        <v>55</v>
      </c>
      <c r="P1250" s="4">
        <f t="shared" ref="P1250" si="402">AN1250</f>
        <v>0</v>
      </c>
      <c r="R1250" s="3" t="s">
        <v>55</v>
      </c>
      <c r="AE1250" s="23"/>
      <c r="AN1250" s="23"/>
    </row>
    <row r="1251" spans="1:50" ht="15" customHeight="1" x14ac:dyDescent="0.2">
      <c r="A1251" s="24" t="s">
        <v>540</v>
      </c>
      <c r="B1251" s="24" t="s">
        <v>544</v>
      </c>
      <c r="D1251" s="22"/>
      <c r="E1251" s="22"/>
      <c r="F1251" s="57"/>
      <c r="G1251" s="57"/>
      <c r="H1251" s="57" t="s">
        <v>33</v>
      </c>
      <c r="I1251" s="243" t="s">
        <v>1006</v>
      </c>
      <c r="J1251" s="3">
        <v>85</v>
      </c>
      <c r="K1251" s="3" t="s">
        <v>55</v>
      </c>
      <c r="L1251" s="3">
        <v>133.995</v>
      </c>
      <c r="M1251" s="3">
        <v>6.1950000000000003</v>
      </c>
      <c r="P1251" s="4" t="s">
        <v>0</v>
      </c>
      <c r="R1251" s="3">
        <v>28.995000000000005</v>
      </c>
    </row>
    <row r="1252" spans="1:50" ht="15" customHeight="1" x14ac:dyDescent="0.2">
      <c r="A1252" s="24" t="s">
        <v>540</v>
      </c>
      <c r="B1252" s="24" t="s">
        <v>544</v>
      </c>
      <c r="D1252" s="22"/>
      <c r="E1252" s="22"/>
      <c r="F1252" s="57"/>
      <c r="G1252" s="57"/>
      <c r="H1252" s="57" t="s">
        <v>33</v>
      </c>
      <c r="I1252" s="243" t="s">
        <v>1010</v>
      </c>
      <c r="J1252" s="3">
        <v>76.900000000000006</v>
      </c>
      <c r="K1252" s="3">
        <v>2.5</v>
      </c>
      <c r="L1252" s="3">
        <v>224</v>
      </c>
      <c r="M1252" s="3">
        <v>4</v>
      </c>
      <c r="N1252" s="36">
        <v>8</v>
      </c>
      <c r="P1252" s="4" t="s">
        <v>0</v>
      </c>
      <c r="X1252" s="36"/>
    </row>
    <row r="1253" spans="1:50" ht="15" customHeight="1" x14ac:dyDescent="0.2">
      <c r="A1253" s="24" t="s">
        <v>540</v>
      </c>
      <c r="B1253" s="24" t="s">
        <v>544</v>
      </c>
      <c r="D1253" s="22"/>
      <c r="E1253" s="22"/>
      <c r="F1253" s="57"/>
      <c r="G1253" s="57"/>
      <c r="H1253" s="57" t="s">
        <v>33</v>
      </c>
      <c r="I1253" s="243" t="s">
        <v>1030</v>
      </c>
      <c r="M1253" s="3">
        <v>4</v>
      </c>
      <c r="P1253" s="4">
        <f t="shared" ref="P1253" si="403">AN1253</f>
        <v>0</v>
      </c>
      <c r="AN1253" s="23"/>
    </row>
    <row r="1254" spans="1:50" s="71" customFormat="1" ht="15" customHeight="1" x14ac:dyDescent="0.2">
      <c r="A1254" s="70" t="s">
        <v>540</v>
      </c>
      <c r="B1254" s="70" t="s">
        <v>544</v>
      </c>
      <c r="C1254" s="71" t="s">
        <v>545</v>
      </c>
      <c r="D1254" s="71" t="s">
        <v>173</v>
      </c>
      <c r="E1254" s="71" t="s">
        <v>42</v>
      </c>
      <c r="F1254" s="71" t="s">
        <v>784</v>
      </c>
      <c r="H1254" s="71" t="s">
        <v>33</v>
      </c>
      <c r="I1254" s="87"/>
      <c r="J1254" s="72">
        <f t="shared" ref="J1254" si="404">AVERAGE(J1248:J1253)</f>
        <v>78.929999999999993</v>
      </c>
      <c r="K1254" s="72">
        <f t="shared" ref="K1254:R1254" si="405">AVERAGE(K1248:K1253)</f>
        <v>2.9311333333333329</v>
      </c>
      <c r="L1254" s="72">
        <f t="shared" si="405"/>
        <v>238.00114999999997</v>
      </c>
      <c r="M1254" s="72">
        <f t="shared" si="405"/>
        <v>4.0389999999999997</v>
      </c>
      <c r="N1254" s="72">
        <f t="shared" si="405"/>
        <v>8</v>
      </c>
      <c r="O1254" s="72">
        <f t="shared" si="405"/>
        <v>1.28</v>
      </c>
      <c r="P1254" s="72">
        <f t="shared" si="405"/>
        <v>0</v>
      </c>
      <c r="Q1254" s="72">
        <f t="shared" si="405"/>
        <v>16</v>
      </c>
      <c r="R1254" s="72">
        <f t="shared" si="405"/>
        <v>39.664999999999999</v>
      </c>
      <c r="S1254" s="72"/>
      <c r="T1254" s="72"/>
      <c r="U1254" s="72"/>
      <c r="V1254" s="72"/>
      <c r="W1254" s="72"/>
      <c r="X1254" s="72"/>
      <c r="Y1254" s="72"/>
      <c r="Z1254" s="72"/>
      <c r="AA1254" s="72"/>
      <c r="AB1254" s="72"/>
      <c r="AC1254" s="73"/>
      <c r="AD1254" s="73"/>
      <c r="AE1254" s="73"/>
      <c r="AF1254" s="73"/>
      <c r="AG1254" s="73"/>
      <c r="AH1254" s="73"/>
      <c r="AI1254" s="73"/>
      <c r="AJ1254" s="73"/>
      <c r="AK1254" s="73"/>
      <c r="AL1254" s="73"/>
      <c r="AM1254" s="73"/>
      <c r="AN1254" s="73"/>
      <c r="AO1254" s="73"/>
      <c r="AP1254" s="73"/>
      <c r="AQ1254" s="73"/>
      <c r="AR1254" s="73"/>
      <c r="AS1254" s="73"/>
      <c r="AT1254" s="73"/>
      <c r="AU1254" s="73"/>
      <c r="AV1254" s="73"/>
      <c r="AW1254" s="73"/>
      <c r="AX1254" s="73"/>
    </row>
    <row r="1255" spans="1:50" ht="15" customHeight="1" x14ac:dyDescent="0.2">
      <c r="A1255" s="55" t="s">
        <v>540</v>
      </c>
      <c r="B1255" s="55" t="s">
        <v>543</v>
      </c>
      <c r="C1255" s="56" t="s">
        <v>0</v>
      </c>
      <c r="D1255" s="22"/>
      <c r="E1255" s="22"/>
      <c r="F1255" s="57"/>
      <c r="G1255" s="57"/>
      <c r="H1255" s="57" t="s">
        <v>37</v>
      </c>
      <c r="I1255" s="249" t="s">
        <v>1007</v>
      </c>
      <c r="J1255" s="58">
        <v>87.04</v>
      </c>
      <c r="K1255" s="58"/>
      <c r="L1255" s="58">
        <v>84</v>
      </c>
      <c r="M1255" s="58">
        <v>1.5</v>
      </c>
      <c r="N1255" s="58">
        <v>34</v>
      </c>
      <c r="O1255" s="58">
        <v>0.39</v>
      </c>
      <c r="P1255" s="4">
        <f t="shared" ref="P1255" si="406">AN1255</f>
        <v>0</v>
      </c>
      <c r="Q1255" s="58">
        <v>66</v>
      </c>
      <c r="R1255" s="58">
        <v>18.3</v>
      </c>
      <c r="S1255" s="58"/>
      <c r="T1255" s="58"/>
      <c r="U1255" s="58"/>
      <c r="V1255" s="58"/>
      <c r="W1255" s="58"/>
      <c r="X1255" s="58"/>
      <c r="Y1255" s="58"/>
      <c r="Z1255" s="58"/>
      <c r="AA1255" s="58"/>
      <c r="AB1255" s="58"/>
      <c r="AI1255" s="23"/>
      <c r="AN1255" s="23"/>
    </row>
    <row r="1256" spans="1:50" ht="15" customHeight="1" x14ac:dyDescent="0.2">
      <c r="A1256" s="24" t="s">
        <v>540</v>
      </c>
      <c r="B1256" s="24" t="s">
        <v>544</v>
      </c>
      <c r="D1256" s="22"/>
      <c r="E1256" s="22"/>
      <c r="F1256" s="57"/>
      <c r="G1256" s="57"/>
      <c r="H1256" s="57" t="s">
        <v>37</v>
      </c>
      <c r="I1256" s="243" t="s">
        <v>1006</v>
      </c>
      <c r="J1256" s="3">
        <v>92</v>
      </c>
      <c r="K1256" s="3">
        <v>1.7003999999999992</v>
      </c>
      <c r="L1256" s="3" t="s">
        <v>55</v>
      </c>
      <c r="M1256" s="3" t="s">
        <v>55</v>
      </c>
      <c r="P1256" s="4" t="s">
        <v>0</v>
      </c>
      <c r="R1256" s="3" t="s">
        <v>55</v>
      </c>
    </row>
    <row r="1257" spans="1:50" s="71" customFormat="1" ht="15" customHeight="1" x14ac:dyDescent="0.2">
      <c r="A1257" s="70" t="s">
        <v>540</v>
      </c>
      <c r="B1257" s="70" t="s">
        <v>544</v>
      </c>
      <c r="C1257" s="71" t="s">
        <v>545</v>
      </c>
      <c r="D1257" s="71" t="s">
        <v>173</v>
      </c>
      <c r="E1257" s="71" t="s">
        <v>42</v>
      </c>
      <c r="F1257" s="71" t="s">
        <v>784</v>
      </c>
      <c r="H1257" s="71" t="s">
        <v>37</v>
      </c>
      <c r="I1257" s="87"/>
      <c r="J1257" s="72">
        <f t="shared" ref="J1257" si="407">AVERAGE(J1255:J1256)</f>
        <v>89.52000000000001</v>
      </c>
      <c r="K1257" s="72">
        <f t="shared" ref="K1257:R1257" si="408">AVERAGE(K1255:K1256)</f>
        <v>1.7003999999999992</v>
      </c>
      <c r="L1257" s="72">
        <f t="shared" si="408"/>
        <v>84</v>
      </c>
      <c r="M1257" s="72">
        <f t="shared" si="408"/>
        <v>1.5</v>
      </c>
      <c r="N1257" s="72">
        <f t="shared" si="408"/>
        <v>34</v>
      </c>
      <c r="O1257" s="72">
        <f t="shared" si="408"/>
        <v>0.39</v>
      </c>
      <c r="P1257" s="72">
        <f t="shared" si="408"/>
        <v>0</v>
      </c>
      <c r="Q1257" s="72">
        <f t="shared" si="408"/>
        <v>66</v>
      </c>
      <c r="R1257" s="72">
        <f t="shared" si="408"/>
        <v>18.3</v>
      </c>
      <c r="S1257" s="72"/>
      <c r="T1257" s="72"/>
      <c r="U1257" s="72"/>
      <c r="V1257" s="72"/>
      <c r="W1257" s="72"/>
      <c r="X1257" s="72"/>
      <c r="Y1257" s="72"/>
      <c r="Z1257" s="72"/>
      <c r="AA1257" s="72"/>
      <c r="AB1257" s="72"/>
      <c r="AC1257" s="73"/>
      <c r="AD1257" s="73"/>
      <c r="AE1257" s="73"/>
      <c r="AF1257" s="73"/>
      <c r="AG1257" s="73"/>
      <c r="AH1257" s="73"/>
      <c r="AI1257" s="73"/>
      <c r="AJ1257" s="73"/>
      <c r="AK1257" s="73"/>
      <c r="AL1257" s="73"/>
      <c r="AM1257" s="73"/>
      <c r="AN1257" s="73"/>
      <c r="AO1257" s="73"/>
      <c r="AP1257" s="73"/>
      <c r="AQ1257" s="73"/>
      <c r="AR1257" s="73"/>
      <c r="AS1257" s="73"/>
      <c r="AT1257" s="73"/>
      <c r="AU1257" s="73"/>
      <c r="AV1257" s="73"/>
      <c r="AW1257" s="73"/>
      <c r="AX1257" s="73"/>
    </row>
    <row r="1258" spans="1:50" ht="15" customHeight="1" x14ac:dyDescent="0.2">
      <c r="A1258" s="24" t="s">
        <v>540</v>
      </c>
      <c r="B1258" s="24" t="s">
        <v>544</v>
      </c>
      <c r="D1258" s="22"/>
      <c r="E1258" s="22"/>
      <c r="H1258" s="2" t="s">
        <v>27</v>
      </c>
      <c r="I1258" s="243" t="s">
        <v>1005</v>
      </c>
      <c r="J1258" s="3">
        <v>90</v>
      </c>
      <c r="K1258" s="3">
        <v>1.9</v>
      </c>
      <c r="L1258" s="3">
        <v>64</v>
      </c>
      <c r="M1258" s="3">
        <v>4</v>
      </c>
      <c r="P1258" s="4">
        <f t="shared" ref="P1258" si="409">AN1258</f>
        <v>0</v>
      </c>
      <c r="R1258" s="3">
        <v>15</v>
      </c>
      <c r="AI1258" s="23"/>
      <c r="AN1258" s="23"/>
    </row>
    <row r="1259" spans="1:50" ht="15" customHeight="1" x14ac:dyDescent="0.2">
      <c r="A1259" s="24" t="s">
        <v>540</v>
      </c>
      <c r="B1259" s="24" t="s">
        <v>544</v>
      </c>
      <c r="D1259" s="22"/>
      <c r="E1259" s="22"/>
      <c r="H1259" s="2" t="s">
        <v>27</v>
      </c>
      <c r="I1259" s="243" t="s">
        <v>1010</v>
      </c>
      <c r="J1259" s="3">
        <v>90</v>
      </c>
      <c r="K1259" s="3">
        <v>1.9</v>
      </c>
      <c r="L1259" s="3">
        <v>64</v>
      </c>
      <c r="M1259" s="3">
        <v>0.8</v>
      </c>
      <c r="N1259" s="3">
        <v>34</v>
      </c>
      <c r="P1259" s="4" t="s">
        <v>0</v>
      </c>
      <c r="R1259" s="3">
        <v>15</v>
      </c>
    </row>
    <row r="1260" spans="1:50" ht="15" customHeight="1" x14ac:dyDescent="0.2">
      <c r="A1260" s="24" t="s">
        <v>540</v>
      </c>
      <c r="B1260" s="24" t="s">
        <v>544</v>
      </c>
      <c r="D1260" s="22"/>
      <c r="E1260" s="22"/>
      <c r="H1260" s="2" t="s">
        <v>27</v>
      </c>
      <c r="I1260" s="243" t="s">
        <v>1009</v>
      </c>
      <c r="K1260" s="3">
        <v>0.93</v>
      </c>
      <c r="L1260" s="3">
        <v>72</v>
      </c>
      <c r="M1260" s="3">
        <v>0.35</v>
      </c>
      <c r="O1260" s="3">
        <v>0.53</v>
      </c>
      <c r="P1260" s="4" t="s">
        <v>0</v>
      </c>
      <c r="R1260" s="3">
        <v>19</v>
      </c>
    </row>
    <row r="1261" spans="1:50" ht="15" customHeight="1" x14ac:dyDescent="0.2">
      <c r="A1261" s="24" t="s">
        <v>540</v>
      </c>
      <c r="B1261" s="24" t="s">
        <v>544</v>
      </c>
      <c r="D1261" s="22"/>
      <c r="E1261" s="22"/>
      <c r="H1261" s="2" t="s">
        <v>27</v>
      </c>
      <c r="I1261" s="243" t="s">
        <v>1006</v>
      </c>
      <c r="J1261" s="3">
        <v>90</v>
      </c>
      <c r="K1261" s="3">
        <v>1.5959999999999999</v>
      </c>
      <c r="L1261" s="3">
        <v>53.003999999999991</v>
      </c>
      <c r="M1261" s="3">
        <v>0.19949999999999996</v>
      </c>
      <c r="P1261" s="4">
        <f t="shared" ref="P1261" si="410">AN1261</f>
        <v>0</v>
      </c>
      <c r="R1261" s="3">
        <v>20.999999999999996</v>
      </c>
      <c r="AE1261" s="23"/>
      <c r="AN1261" s="23"/>
    </row>
    <row r="1262" spans="1:50" s="71" customFormat="1" ht="15" customHeight="1" x14ac:dyDescent="0.2">
      <c r="A1262" s="70" t="s">
        <v>540</v>
      </c>
      <c r="B1262" s="70" t="s">
        <v>544</v>
      </c>
      <c r="C1262" s="71" t="s">
        <v>545</v>
      </c>
      <c r="D1262" s="71" t="s">
        <v>173</v>
      </c>
      <c r="E1262" s="71" t="s">
        <v>42</v>
      </c>
      <c r="F1262" s="71" t="s">
        <v>784</v>
      </c>
      <c r="H1262" s="71" t="s">
        <v>27</v>
      </c>
      <c r="I1262" s="87"/>
      <c r="J1262" s="72">
        <f t="shared" ref="J1262" si="411">AVERAGE(J1258:J1261)</f>
        <v>90</v>
      </c>
      <c r="K1262" s="72">
        <f t="shared" ref="K1262:P1262" si="412">AVERAGE(K1258:K1261)</f>
        <v>1.5814999999999999</v>
      </c>
      <c r="L1262" s="72">
        <f t="shared" si="412"/>
        <v>63.250999999999998</v>
      </c>
      <c r="M1262" s="72">
        <f t="shared" si="412"/>
        <v>1.3373749999999998</v>
      </c>
      <c r="N1262" s="72">
        <f t="shared" si="412"/>
        <v>34</v>
      </c>
      <c r="O1262" s="72">
        <f t="shared" si="412"/>
        <v>0.53</v>
      </c>
      <c r="P1262" s="72">
        <f t="shared" si="412"/>
        <v>0</v>
      </c>
      <c r="Q1262" s="72"/>
      <c r="R1262" s="72">
        <f>AVERAGE(R1258:R1261)</f>
        <v>17.5</v>
      </c>
      <c r="S1262" s="72"/>
      <c r="T1262" s="72"/>
      <c r="U1262" s="72"/>
      <c r="V1262" s="72"/>
      <c r="W1262" s="72"/>
      <c r="X1262" s="72"/>
      <c r="Y1262" s="72"/>
      <c r="Z1262" s="72"/>
      <c r="AA1262" s="72"/>
      <c r="AB1262" s="72"/>
      <c r="AC1262" s="73"/>
      <c r="AD1262" s="73"/>
      <c r="AE1262" s="73"/>
      <c r="AF1262" s="73"/>
      <c r="AG1262" s="73"/>
      <c r="AH1262" s="73"/>
      <c r="AI1262" s="73"/>
      <c r="AJ1262" s="73"/>
      <c r="AK1262" s="73"/>
      <c r="AL1262" s="73"/>
      <c r="AM1262" s="73"/>
      <c r="AN1262" s="73"/>
      <c r="AO1262" s="73"/>
      <c r="AP1262" s="73"/>
      <c r="AQ1262" s="73"/>
      <c r="AR1262" s="73"/>
      <c r="AS1262" s="73"/>
      <c r="AT1262" s="73"/>
      <c r="AU1262" s="73"/>
      <c r="AV1262" s="73"/>
      <c r="AW1262" s="73"/>
      <c r="AX1262" s="73"/>
    </row>
    <row r="1263" spans="1:50" s="22" customFormat="1" ht="15" customHeight="1" x14ac:dyDescent="0.2">
      <c r="A1263" s="21" t="s">
        <v>546</v>
      </c>
      <c r="B1263" s="21" t="s">
        <v>547</v>
      </c>
      <c r="C1263" s="22" t="s">
        <v>0</v>
      </c>
      <c r="H1263" s="22" t="s">
        <v>33</v>
      </c>
      <c r="I1263" s="65" t="s">
        <v>1005</v>
      </c>
      <c r="J1263" s="4">
        <v>85</v>
      </c>
      <c r="K1263" s="4">
        <v>1.1299999999999999</v>
      </c>
      <c r="L1263" s="4">
        <v>72</v>
      </c>
      <c r="M1263" s="4"/>
      <c r="N1263" s="4"/>
      <c r="O1263" s="4"/>
      <c r="P1263" s="4" t="s">
        <v>0</v>
      </c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C1263" s="23"/>
      <c r="AD1263" s="23"/>
      <c r="AE1263" s="23"/>
      <c r="AF1263" s="23"/>
      <c r="AG1263" s="23"/>
      <c r="AH1263" s="23"/>
      <c r="AI1263" s="23"/>
      <c r="AJ1263" s="23"/>
      <c r="AK1263" s="23"/>
      <c r="AL1263" s="23"/>
      <c r="AM1263" s="23"/>
      <c r="AN1263" s="23"/>
      <c r="AO1263" s="23"/>
      <c r="AP1263" s="23"/>
      <c r="AQ1263" s="23"/>
      <c r="AR1263" s="23"/>
      <c r="AS1263" s="23"/>
      <c r="AT1263" s="23"/>
      <c r="AU1263" s="23"/>
      <c r="AV1263" s="23"/>
      <c r="AW1263" s="23"/>
      <c r="AX1263" s="23"/>
    </row>
    <row r="1264" spans="1:50" s="22" customFormat="1" ht="15" customHeight="1" x14ac:dyDescent="0.2">
      <c r="A1264" s="21" t="s">
        <v>546</v>
      </c>
      <c r="B1264" s="21" t="s">
        <v>547</v>
      </c>
      <c r="C1264" s="22" t="s">
        <v>0</v>
      </c>
      <c r="H1264" s="22" t="s">
        <v>33</v>
      </c>
      <c r="I1264" s="65" t="s">
        <v>1031</v>
      </c>
      <c r="J1264" s="4">
        <v>85</v>
      </c>
      <c r="K1264" s="4">
        <v>1.1000000000000001</v>
      </c>
      <c r="L1264" s="4">
        <v>72</v>
      </c>
      <c r="M1264" s="4">
        <v>4.8</v>
      </c>
      <c r="N1264" s="4">
        <v>40</v>
      </c>
      <c r="O1264" s="4">
        <v>5</v>
      </c>
      <c r="P1264" s="4" t="s">
        <v>0</v>
      </c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  <c r="AC1264" s="23"/>
      <c r="AD1264" s="23"/>
      <c r="AE1264" s="23"/>
      <c r="AF1264" s="23"/>
      <c r="AG1264" s="23"/>
      <c r="AH1264" s="23"/>
      <c r="AI1264" s="23"/>
      <c r="AJ1264" s="23"/>
      <c r="AK1264" s="23"/>
      <c r="AL1264" s="23"/>
      <c r="AM1264" s="23"/>
      <c r="AN1264" s="23"/>
      <c r="AO1264" s="23"/>
      <c r="AP1264" s="23"/>
      <c r="AQ1264" s="23"/>
      <c r="AR1264" s="23"/>
      <c r="AS1264" s="23"/>
      <c r="AT1264" s="23"/>
      <c r="AU1264" s="23"/>
      <c r="AV1264" s="23"/>
      <c r="AW1264" s="23"/>
      <c r="AX1264" s="23"/>
    </row>
    <row r="1265" spans="1:50" s="71" customFormat="1" ht="15" customHeight="1" x14ac:dyDescent="0.2">
      <c r="A1265" s="70" t="s">
        <v>546</v>
      </c>
      <c r="B1265" s="70" t="s">
        <v>547</v>
      </c>
      <c r="C1265" s="71" t="s">
        <v>548</v>
      </c>
      <c r="D1265" s="71" t="s">
        <v>31</v>
      </c>
      <c r="E1265" s="71" t="s">
        <v>32</v>
      </c>
      <c r="F1265" s="71" t="s">
        <v>781</v>
      </c>
      <c r="H1265" s="71" t="s">
        <v>33</v>
      </c>
      <c r="I1265" s="87"/>
      <c r="J1265" s="72">
        <f t="shared" ref="J1265:O1265" si="413">AVERAGE(J1263:J1264)</f>
        <v>85</v>
      </c>
      <c r="K1265" s="72">
        <f t="shared" si="413"/>
        <v>1.115</v>
      </c>
      <c r="L1265" s="72">
        <f t="shared" si="413"/>
        <v>72</v>
      </c>
      <c r="M1265" s="72">
        <f t="shared" si="413"/>
        <v>4.8</v>
      </c>
      <c r="N1265" s="72">
        <f t="shared" si="413"/>
        <v>40</v>
      </c>
      <c r="O1265" s="72">
        <f t="shared" si="413"/>
        <v>5</v>
      </c>
      <c r="P1265" s="72"/>
      <c r="Q1265" s="72"/>
      <c r="R1265" s="72"/>
      <c r="S1265" s="72"/>
      <c r="T1265" s="72"/>
      <c r="U1265" s="72"/>
      <c r="V1265" s="72"/>
      <c r="W1265" s="72"/>
      <c r="X1265" s="72"/>
      <c r="Y1265" s="72"/>
      <c r="Z1265" s="72"/>
      <c r="AA1265" s="72"/>
      <c r="AB1265" s="72"/>
      <c r="AC1265" s="73"/>
      <c r="AD1265" s="73"/>
      <c r="AE1265" s="73"/>
      <c r="AF1265" s="73"/>
      <c r="AG1265" s="73"/>
      <c r="AH1265" s="73"/>
      <c r="AI1265" s="73"/>
      <c r="AJ1265" s="73"/>
      <c r="AK1265" s="73"/>
      <c r="AL1265" s="73"/>
      <c r="AM1265" s="73"/>
      <c r="AN1265" s="73"/>
      <c r="AO1265" s="73"/>
      <c r="AP1265" s="73"/>
      <c r="AQ1265" s="73"/>
      <c r="AR1265" s="73"/>
      <c r="AS1265" s="73"/>
      <c r="AT1265" s="73"/>
      <c r="AU1265" s="73"/>
      <c r="AV1265" s="73"/>
      <c r="AW1265" s="73"/>
      <c r="AX1265" s="73"/>
    </row>
    <row r="1266" spans="1:50" ht="51" x14ac:dyDescent="0.2">
      <c r="A1266" s="24" t="s">
        <v>743</v>
      </c>
      <c r="B1266" s="24" t="s">
        <v>203</v>
      </c>
      <c r="D1266" s="22"/>
      <c r="E1266" s="22"/>
      <c r="H1266" s="2" t="s">
        <v>33</v>
      </c>
      <c r="I1266" s="243" t="s">
        <v>1014</v>
      </c>
      <c r="J1266" s="3">
        <v>75.400000000000006</v>
      </c>
      <c r="K1266" s="3">
        <v>2</v>
      </c>
      <c r="L1266" s="3">
        <v>104</v>
      </c>
      <c r="P1266" s="4" t="s">
        <v>0</v>
      </c>
      <c r="R1266" s="3">
        <v>70</v>
      </c>
    </row>
    <row r="1267" spans="1:50" s="71" customFormat="1" ht="15" customHeight="1" x14ac:dyDescent="0.2">
      <c r="A1267" s="70" t="s">
        <v>743</v>
      </c>
      <c r="B1267" s="70" t="s">
        <v>203</v>
      </c>
      <c r="C1267" s="71" t="s">
        <v>251</v>
      </c>
      <c r="D1267" s="71" t="s">
        <v>31</v>
      </c>
      <c r="E1267" s="71" t="s">
        <v>42</v>
      </c>
      <c r="F1267" s="71" t="s">
        <v>32</v>
      </c>
      <c r="H1267" s="71" t="s">
        <v>33</v>
      </c>
      <c r="I1267" s="87"/>
      <c r="J1267" s="72">
        <f>J1266</f>
        <v>75.400000000000006</v>
      </c>
      <c r="K1267" s="72">
        <f>K1266</f>
        <v>2</v>
      </c>
      <c r="L1267" s="72">
        <f>L1266</f>
        <v>104</v>
      </c>
      <c r="M1267" s="72"/>
      <c r="N1267" s="72"/>
      <c r="O1267" s="72"/>
      <c r="P1267" s="72"/>
      <c r="Q1267" s="72"/>
      <c r="R1267" s="72">
        <f>R1266</f>
        <v>70</v>
      </c>
      <c r="S1267" s="72"/>
      <c r="T1267" s="72"/>
      <c r="U1267" s="72"/>
      <c r="V1267" s="72"/>
      <c r="W1267" s="72"/>
      <c r="X1267" s="72"/>
      <c r="Y1267" s="72"/>
      <c r="Z1267" s="72"/>
      <c r="AA1267" s="72"/>
      <c r="AB1267" s="72"/>
      <c r="AC1267" s="73"/>
      <c r="AD1267" s="73"/>
      <c r="AE1267" s="73"/>
      <c r="AF1267" s="73"/>
      <c r="AG1267" s="73"/>
      <c r="AH1267" s="73"/>
      <c r="AI1267" s="73"/>
      <c r="AJ1267" s="73"/>
      <c r="AK1267" s="73"/>
      <c r="AL1267" s="73"/>
      <c r="AM1267" s="73"/>
      <c r="AN1267" s="73"/>
      <c r="AO1267" s="73"/>
      <c r="AP1267" s="73"/>
      <c r="AQ1267" s="73"/>
      <c r="AR1267" s="73"/>
      <c r="AS1267" s="73"/>
      <c r="AT1267" s="73"/>
      <c r="AU1267" s="73"/>
      <c r="AV1267" s="73"/>
      <c r="AW1267" s="73"/>
      <c r="AX1267" s="73"/>
    </row>
    <row r="1268" spans="1:50" s="22" customFormat="1" ht="15" customHeight="1" x14ac:dyDescent="0.2">
      <c r="A1268" s="21" t="s">
        <v>549</v>
      </c>
      <c r="B1268" s="21" t="s">
        <v>277</v>
      </c>
      <c r="C1268" s="22" t="s">
        <v>0</v>
      </c>
      <c r="H1268" s="22" t="s">
        <v>27</v>
      </c>
      <c r="I1268" s="65" t="s">
        <v>1010</v>
      </c>
      <c r="J1268" s="4">
        <v>90.5</v>
      </c>
      <c r="K1268" s="4">
        <v>1.4</v>
      </c>
      <c r="L1268" s="4">
        <v>80</v>
      </c>
      <c r="M1268" s="4">
        <v>2.8</v>
      </c>
      <c r="N1268" s="4" t="s">
        <v>0</v>
      </c>
      <c r="O1268" s="4"/>
      <c r="P1268" s="4">
        <f t="shared" ref="P1268" si="414">AN1268</f>
        <v>0</v>
      </c>
      <c r="Q1268" s="4"/>
      <c r="R1268" s="4">
        <v>69</v>
      </c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C1268" s="23"/>
      <c r="AD1268" s="23"/>
      <c r="AE1268" s="23"/>
      <c r="AF1268" s="23"/>
      <c r="AG1268" s="23"/>
      <c r="AH1268" s="23"/>
      <c r="AI1268" s="23"/>
      <c r="AJ1268" s="23"/>
      <c r="AK1268" s="23"/>
      <c r="AL1268" s="23"/>
      <c r="AM1268" s="23"/>
      <c r="AN1268" s="23"/>
      <c r="AO1268" s="23"/>
      <c r="AP1268" s="23"/>
      <c r="AQ1268" s="23"/>
      <c r="AR1268" s="23"/>
      <c r="AS1268" s="23"/>
      <c r="AT1268" s="23"/>
      <c r="AU1268" s="23"/>
      <c r="AV1268" s="23"/>
      <c r="AW1268" s="23"/>
      <c r="AX1268" s="23"/>
    </row>
    <row r="1269" spans="1:50" s="71" customFormat="1" ht="15" customHeight="1" x14ac:dyDescent="0.2">
      <c r="A1269" s="70" t="s">
        <v>549</v>
      </c>
      <c r="B1269" s="70" t="s">
        <v>277</v>
      </c>
      <c r="C1269" s="71" t="s">
        <v>550</v>
      </c>
      <c r="D1269" s="71" t="s">
        <v>56</v>
      </c>
      <c r="E1269" s="71" t="s">
        <v>46</v>
      </c>
      <c r="F1269" s="71" t="s">
        <v>782</v>
      </c>
      <c r="H1269" s="71" t="s">
        <v>27</v>
      </c>
      <c r="I1269" s="87"/>
      <c r="J1269" s="72">
        <f t="shared" ref="J1269" si="415">J1268</f>
        <v>90.5</v>
      </c>
      <c r="K1269" s="72">
        <f>K1268</f>
        <v>1.4</v>
      </c>
      <c r="L1269" s="72">
        <f>L1268</f>
        <v>80</v>
      </c>
      <c r="M1269" s="72">
        <f>M1268</f>
        <v>2.8</v>
      </c>
      <c r="N1269" s="72"/>
      <c r="O1269" s="72"/>
      <c r="P1269" s="72">
        <f>P1268</f>
        <v>0</v>
      </c>
      <c r="Q1269" s="72"/>
      <c r="R1269" s="72">
        <f>R1268</f>
        <v>69</v>
      </c>
      <c r="S1269" s="72"/>
      <c r="T1269" s="72"/>
      <c r="U1269" s="72"/>
      <c r="V1269" s="72"/>
      <c r="W1269" s="72"/>
      <c r="X1269" s="72"/>
      <c r="Y1269" s="72"/>
      <c r="Z1269" s="72"/>
      <c r="AA1269" s="72"/>
      <c r="AB1269" s="72"/>
      <c r="AC1269" s="73"/>
      <c r="AD1269" s="73"/>
      <c r="AE1269" s="73"/>
      <c r="AF1269" s="73"/>
      <c r="AG1269" s="73"/>
      <c r="AH1269" s="73"/>
      <c r="AI1269" s="73"/>
      <c r="AJ1269" s="73"/>
      <c r="AK1269" s="73"/>
      <c r="AL1269" s="73"/>
      <c r="AM1269" s="73"/>
      <c r="AN1269" s="73"/>
      <c r="AO1269" s="73"/>
      <c r="AP1269" s="73"/>
      <c r="AQ1269" s="73"/>
      <c r="AR1269" s="73"/>
      <c r="AS1269" s="73"/>
      <c r="AT1269" s="73"/>
      <c r="AU1269" s="73"/>
      <c r="AV1269" s="73"/>
      <c r="AW1269" s="73"/>
      <c r="AX1269" s="73"/>
    </row>
    <row r="1270" spans="1:50" ht="15" customHeight="1" x14ac:dyDescent="0.2">
      <c r="A1270" s="24" t="s">
        <v>551</v>
      </c>
      <c r="B1270" s="24" t="s">
        <v>1085</v>
      </c>
      <c r="D1270" s="22"/>
      <c r="E1270" s="22"/>
      <c r="H1270" s="2" t="s">
        <v>91</v>
      </c>
      <c r="I1270" s="243" t="s">
        <v>1010</v>
      </c>
      <c r="J1270" s="3">
        <v>93.3</v>
      </c>
      <c r="K1270" s="3">
        <v>0.75</v>
      </c>
      <c r="L1270" s="3">
        <v>130</v>
      </c>
      <c r="M1270" s="3">
        <v>0.9</v>
      </c>
      <c r="N1270" s="3">
        <v>21</v>
      </c>
      <c r="P1270" s="4">
        <f t="shared" ref="P1270" si="416">AN1270</f>
        <v>0</v>
      </c>
      <c r="R1270" s="3">
        <v>10</v>
      </c>
      <c r="AI1270" s="23"/>
      <c r="AN1270" s="23"/>
    </row>
    <row r="1271" spans="1:50" ht="15" customHeight="1" x14ac:dyDescent="0.2">
      <c r="A1271" s="24" t="s">
        <v>551</v>
      </c>
      <c r="B1271" s="24" t="s">
        <v>1085</v>
      </c>
      <c r="D1271" s="22"/>
      <c r="E1271" s="22"/>
      <c r="H1271" s="2" t="s">
        <v>91</v>
      </c>
      <c r="I1271" s="243" t="s">
        <v>1016</v>
      </c>
      <c r="J1271" s="3">
        <v>92.7</v>
      </c>
      <c r="K1271" s="3">
        <v>3.2</v>
      </c>
      <c r="L1271" s="3">
        <v>66</v>
      </c>
      <c r="M1271" s="3">
        <v>0.35299999999999998</v>
      </c>
      <c r="N1271" s="3">
        <v>11</v>
      </c>
      <c r="O1271" s="3">
        <v>0.193</v>
      </c>
      <c r="P1271" s="4" t="s">
        <v>0</v>
      </c>
      <c r="Q1271" s="3">
        <v>2.5000000000000001E-3</v>
      </c>
      <c r="S1271" s="3">
        <v>0.25</v>
      </c>
    </row>
    <row r="1272" spans="1:50" ht="15" customHeight="1" x14ac:dyDescent="0.2">
      <c r="A1272" s="24" t="s">
        <v>551</v>
      </c>
      <c r="B1272" s="24" t="s">
        <v>1085</v>
      </c>
      <c r="D1272" s="22"/>
      <c r="E1272" s="22"/>
      <c r="H1272" s="2" t="s">
        <v>91</v>
      </c>
      <c r="I1272" s="243" t="s">
        <v>1004</v>
      </c>
      <c r="J1272" s="3">
        <v>92</v>
      </c>
      <c r="K1272" s="3">
        <v>0.7</v>
      </c>
      <c r="P1272" s="4" t="s">
        <v>0</v>
      </c>
    </row>
    <row r="1273" spans="1:50" ht="15" customHeight="1" x14ac:dyDescent="0.2">
      <c r="A1273" s="24" t="s">
        <v>551</v>
      </c>
      <c r="B1273" s="24" t="s">
        <v>1085</v>
      </c>
      <c r="D1273" s="22"/>
      <c r="E1273" s="22"/>
      <c r="H1273" s="2" t="s">
        <v>91</v>
      </c>
      <c r="I1273" s="243" t="s">
        <v>1006</v>
      </c>
      <c r="J1273" s="3">
        <v>95</v>
      </c>
      <c r="K1273" s="3">
        <v>0.70200000000000062</v>
      </c>
      <c r="L1273" s="3">
        <v>96.002400000000094</v>
      </c>
      <c r="M1273" s="3">
        <v>0.80080000000000073</v>
      </c>
      <c r="P1273" s="4">
        <f t="shared" ref="P1273:P1275" si="417">AN1273</f>
        <v>0</v>
      </c>
      <c r="R1273" s="3">
        <v>9.0012000000000079</v>
      </c>
      <c r="AE1273" s="23"/>
      <c r="AN1273" s="23"/>
    </row>
    <row r="1274" spans="1:50" ht="15" customHeight="1" x14ac:dyDescent="0.2">
      <c r="A1274" s="24" t="s">
        <v>551</v>
      </c>
      <c r="B1274" s="24" t="s">
        <v>1085</v>
      </c>
      <c r="D1274" s="22"/>
      <c r="E1274" s="22"/>
      <c r="H1274" s="2" t="s">
        <v>91</v>
      </c>
      <c r="I1274" s="243" t="s">
        <v>1006</v>
      </c>
      <c r="J1274" s="3">
        <v>94</v>
      </c>
      <c r="K1274" s="3">
        <v>0.79980000000000073</v>
      </c>
      <c r="L1274" s="3">
        <v>59.997400000000056</v>
      </c>
      <c r="M1274" s="3">
        <v>0.50220000000000042</v>
      </c>
      <c r="P1274" s="4">
        <f t="shared" si="417"/>
        <v>0</v>
      </c>
      <c r="R1274" s="3">
        <v>16.002200000000016</v>
      </c>
      <c r="AE1274" s="23"/>
      <c r="AN1274" s="23"/>
    </row>
    <row r="1275" spans="1:50" ht="15" customHeight="1" x14ac:dyDescent="0.2">
      <c r="A1275" s="31" t="s">
        <v>551</v>
      </c>
      <c r="B1275" s="24" t="s">
        <v>1085</v>
      </c>
      <c r="D1275" s="22"/>
      <c r="E1275" s="22"/>
      <c r="H1275" s="2" t="s">
        <v>91</v>
      </c>
      <c r="I1275" s="243" t="s">
        <v>1023</v>
      </c>
      <c r="J1275" s="3">
        <v>95</v>
      </c>
      <c r="K1275" s="3">
        <v>0.7</v>
      </c>
      <c r="L1275" s="3">
        <v>96</v>
      </c>
      <c r="M1275" s="3">
        <v>0.8</v>
      </c>
      <c r="P1275" s="4">
        <f t="shared" si="417"/>
        <v>0</v>
      </c>
      <c r="R1275" s="3">
        <v>9</v>
      </c>
      <c r="AN1275" s="23"/>
    </row>
    <row r="1276" spans="1:50" s="71" customFormat="1" ht="15" customHeight="1" x14ac:dyDescent="0.2">
      <c r="A1276" s="77" t="s">
        <v>551</v>
      </c>
      <c r="B1276" s="70" t="s">
        <v>1086</v>
      </c>
      <c r="C1276" s="71" t="s">
        <v>552</v>
      </c>
      <c r="D1276" s="71" t="s">
        <v>31</v>
      </c>
      <c r="E1276" s="71" t="s">
        <v>46</v>
      </c>
      <c r="F1276" s="71" t="s">
        <v>782</v>
      </c>
      <c r="H1276" s="71" t="s">
        <v>91</v>
      </c>
      <c r="I1276" s="87"/>
      <c r="J1276" s="72">
        <f t="shared" ref="J1276" si="418">AVERAGE(J1270:J1275)</f>
        <v>93.666666666666671</v>
      </c>
      <c r="K1276" s="72">
        <f>AVERAGE(K1270:K1275)</f>
        <v>1.141966666666667</v>
      </c>
      <c r="L1276" s="72">
        <f>AVERAGE(L1270:L1275)</f>
        <v>89.599960000000038</v>
      </c>
      <c r="M1276" s="72">
        <f>AVERAGE(M1270:M1275)</f>
        <v>0.67120000000000013</v>
      </c>
      <c r="N1276" s="72">
        <f>AVERAGE(N1270:N1275)</f>
        <v>16</v>
      </c>
      <c r="O1276" s="72"/>
      <c r="P1276" s="72">
        <f>AVERAGE(P1270:P1275)</f>
        <v>0</v>
      </c>
      <c r="Q1276" s="72">
        <f>AVERAGE(Q1270:Q1275)</f>
        <v>2.5000000000000001E-3</v>
      </c>
      <c r="R1276" s="72">
        <f>AVERAGE(R1270:R1275)</f>
        <v>11.000850000000007</v>
      </c>
      <c r="S1276" s="72">
        <f>AVERAGE(S1270:S1275)</f>
        <v>0.25</v>
      </c>
      <c r="T1276" s="72"/>
      <c r="U1276" s="72"/>
      <c r="V1276" s="72"/>
      <c r="W1276" s="72"/>
      <c r="X1276" s="72"/>
      <c r="Y1276" s="72"/>
      <c r="Z1276" s="72"/>
      <c r="AA1276" s="72"/>
      <c r="AB1276" s="72"/>
      <c r="AC1276" s="73"/>
      <c r="AD1276" s="73"/>
      <c r="AE1276" s="73"/>
      <c r="AF1276" s="73"/>
      <c r="AG1276" s="73"/>
      <c r="AH1276" s="73"/>
      <c r="AI1276" s="73"/>
      <c r="AJ1276" s="73"/>
      <c r="AK1276" s="73"/>
      <c r="AL1276" s="73"/>
      <c r="AM1276" s="73"/>
      <c r="AN1276" s="73"/>
      <c r="AO1276" s="73"/>
      <c r="AP1276" s="73"/>
      <c r="AQ1276" s="73"/>
      <c r="AR1276" s="73"/>
      <c r="AS1276" s="73"/>
      <c r="AT1276" s="73"/>
      <c r="AU1276" s="73"/>
      <c r="AV1276" s="73"/>
      <c r="AW1276" s="73"/>
      <c r="AX1276" s="73"/>
    </row>
    <row r="1277" spans="1:50" s="22" customFormat="1" ht="15" customHeight="1" x14ac:dyDescent="0.2">
      <c r="A1277" s="21" t="s">
        <v>551</v>
      </c>
      <c r="B1277" s="21" t="s">
        <v>465</v>
      </c>
      <c r="C1277" s="22" t="s">
        <v>0</v>
      </c>
      <c r="H1277" s="22" t="s">
        <v>91</v>
      </c>
      <c r="I1277" s="65" t="s">
        <v>1006</v>
      </c>
      <c r="J1277" s="4">
        <v>95</v>
      </c>
      <c r="K1277" s="4">
        <v>0.69870000000000076</v>
      </c>
      <c r="L1277" s="4">
        <v>51.000000000000043</v>
      </c>
      <c r="M1277" s="4">
        <v>0.49980000000000047</v>
      </c>
      <c r="N1277" s="4"/>
      <c r="O1277" s="4"/>
      <c r="P1277" s="4" t="s">
        <v>0</v>
      </c>
      <c r="Q1277" s="4"/>
      <c r="R1277" s="4">
        <v>10.001100000000008</v>
      </c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23"/>
      <c r="AD1277" s="23"/>
      <c r="AE1277" s="23"/>
      <c r="AF1277" s="23"/>
      <c r="AG1277" s="23"/>
      <c r="AH1277" s="23"/>
      <c r="AI1277" s="23"/>
      <c r="AJ1277" s="23"/>
      <c r="AK1277" s="23"/>
      <c r="AL1277" s="23"/>
      <c r="AM1277" s="23"/>
      <c r="AN1277" s="23"/>
      <c r="AO1277" s="23"/>
      <c r="AP1277" s="23"/>
      <c r="AQ1277" s="23"/>
      <c r="AR1277" s="23"/>
      <c r="AS1277" s="23"/>
      <c r="AT1277" s="23"/>
      <c r="AU1277" s="23"/>
      <c r="AV1277" s="23"/>
      <c r="AW1277" s="23"/>
      <c r="AX1277" s="23"/>
    </row>
    <row r="1278" spans="1:50" s="71" customFormat="1" ht="15" customHeight="1" x14ac:dyDescent="0.2">
      <c r="A1278" s="70" t="s">
        <v>551</v>
      </c>
      <c r="B1278" s="70" t="s">
        <v>465</v>
      </c>
      <c r="C1278" s="71" t="s">
        <v>552</v>
      </c>
      <c r="D1278" s="71" t="s">
        <v>31</v>
      </c>
      <c r="E1278" s="71" t="s">
        <v>46</v>
      </c>
      <c r="F1278" s="71" t="s">
        <v>782</v>
      </c>
      <c r="H1278" s="71" t="s">
        <v>91</v>
      </c>
      <c r="I1278" s="87"/>
      <c r="J1278" s="72">
        <f>J1277</f>
        <v>95</v>
      </c>
      <c r="K1278" s="72">
        <f>K1277</f>
        <v>0.69870000000000076</v>
      </c>
      <c r="L1278" s="72">
        <f>L1277</f>
        <v>51.000000000000043</v>
      </c>
      <c r="M1278" s="72">
        <f>M1277</f>
        <v>0.49980000000000047</v>
      </c>
      <c r="N1278" s="72"/>
      <c r="O1278" s="72"/>
      <c r="P1278" s="72"/>
      <c r="Q1278" s="72"/>
      <c r="R1278" s="72">
        <f>R1277</f>
        <v>10.001100000000008</v>
      </c>
      <c r="S1278" s="72"/>
      <c r="T1278" s="72"/>
      <c r="U1278" s="72"/>
      <c r="V1278" s="72"/>
      <c r="W1278" s="72"/>
      <c r="X1278" s="72"/>
      <c r="Y1278" s="72"/>
      <c r="Z1278" s="72"/>
      <c r="AA1278" s="72"/>
      <c r="AB1278" s="72"/>
      <c r="AC1278" s="73"/>
      <c r="AD1278" s="73"/>
      <c r="AE1278" s="73"/>
      <c r="AF1278" s="73"/>
      <c r="AG1278" s="73"/>
      <c r="AH1278" s="73"/>
      <c r="AI1278" s="73"/>
      <c r="AJ1278" s="73"/>
      <c r="AK1278" s="73"/>
      <c r="AL1278" s="73"/>
      <c r="AM1278" s="73"/>
      <c r="AN1278" s="73"/>
      <c r="AO1278" s="73"/>
      <c r="AP1278" s="73"/>
      <c r="AQ1278" s="73"/>
      <c r="AR1278" s="73"/>
      <c r="AS1278" s="73"/>
      <c r="AT1278" s="73"/>
      <c r="AU1278" s="73"/>
      <c r="AV1278" s="73"/>
      <c r="AW1278" s="73"/>
      <c r="AX1278" s="73"/>
    </row>
    <row r="1279" spans="1:50" ht="15" customHeight="1" x14ac:dyDescent="0.2">
      <c r="A1279" s="24" t="s">
        <v>553</v>
      </c>
      <c r="B1279" s="24" t="s">
        <v>554</v>
      </c>
      <c r="D1279" s="22"/>
      <c r="E1279" s="22"/>
      <c r="H1279" s="2" t="s">
        <v>33</v>
      </c>
      <c r="I1279" s="243" t="s">
        <v>1009</v>
      </c>
      <c r="K1279" s="3">
        <v>0.8</v>
      </c>
      <c r="L1279" s="3">
        <v>47</v>
      </c>
      <c r="M1279" s="3">
        <v>0.18</v>
      </c>
      <c r="O1279" s="3">
        <v>0.33</v>
      </c>
      <c r="P1279" s="4">
        <f t="shared" ref="P1279" si="419">AN1279</f>
        <v>0</v>
      </c>
      <c r="Q1279" s="3">
        <v>16</v>
      </c>
      <c r="R1279" s="3">
        <v>18</v>
      </c>
      <c r="S1279" s="3">
        <v>0.8</v>
      </c>
      <c r="AN1279" s="23"/>
    </row>
    <row r="1280" spans="1:50" ht="15" customHeight="1" x14ac:dyDescent="0.2">
      <c r="A1280" s="24" t="s">
        <v>553</v>
      </c>
      <c r="B1280" s="24" t="s">
        <v>554</v>
      </c>
      <c r="D1280" s="22"/>
      <c r="E1280" s="22"/>
      <c r="H1280" s="2" t="s">
        <v>33</v>
      </c>
      <c r="I1280" s="243" t="s">
        <v>1016</v>
      </c>
      <c r="J1280" s="3">
        <v>89.2</v>
      </c>
      <c r="K1280" s="3">
        <v>1.95</v>
      </c>
      <c r="L1280" s="3">
        <v>58</v>
      </c>
      <c r="M1280" s="3">
        <v>2.1</v>
      </c>
      <c r="N1280" s="3">
        <v>33</v>
      </c>
      <c r="O1280" s="3">
        <v>0.57999999999999996</v>
      </c>
      <c r="P1280" s="4" t="s">
        <v>0</v>
      </c>
      <c r="R1280" s="3">
        <v>117</v>
      </c>
    </row>
    <row r="1281" spans="1:50" ht="15" customHeight="1" x14ac:dyDescent="0.2">
      <c r="A1281" s="24" t="s">
        <v>553</v>
      </c>
      <c r="B1281" s="24" t="s">
        <v>554</v>
      </c>
      <c r="D1281" s="22"/>
      <c r="E1281" s="22"/>
      <c r="H1281" s="2" t="s">
        <v>33</v>
      </c>
      <c r="I1281" s="243" t="s">
        <v>1009</v>
      </c>
      <c r="K1281" s="3">
        <v>0.8</v>
      </c>
      <c r="L1281" s="3">
        <v>47</v>
      </c>
      <c r="M1281" s="3">
        <v>0.18</v>
      </c>
      <c r="O1281" s="3">
        <v>0.33</v>
      </c>
      <c r="P1281" s="4">
        <f t="shared" ref="P1281:P1282" si="420">AN1281</f>
        <v>0</v>
      </c>
      <c r="Q1281" s="3">
        <v>16</v>
      </c>
      <c r="R1281" s="3">
        <v>18</v>
      </c>
      <c r="AN1281" s="23"/>
    </row>
    <row r="1282" spans="1:50" ht="15" customHeight="1" x14ac:dyDescent="0.2">
      <c r="A1282" s="24" t="s">
        <v>553</v>
      </c>
      <c r="B1282" s="24" t="s">
        <v>554</v>
      </c>
      <c r="D1282" s="22"/>
      <c r="E1282" s="22"/>
      <c r="H1282" s="2" t="s">
        <v>33</v>
      </c>
      <c r="I1282" s="243" t="s">
        <v>1010</v>
      </c>
      <c r="J1282" s="3">
        <v>92.8</v>
      </c>
      <c r="K1282" s="3">
        <v>0.82</v>
      </c>
      <c r="L1282" s="3">
        <v>63</v>
      </c>
      <c r="M1282" s="3">
        <v>2.8</v>
      </c>
      <c r="N1282" s="3">
        <v>103</v>
      </c>
      <c r="P1282" s="4">
        <f t="shared" si="420"/>
        <v>0</v>
      </c>
      <c r="R1282" s="3">
        <v>62</v>
      </c>
      <c r="AI1282" s="23"/>
      <c r="AN1282" s="23"/>
    </row>
    <row r="1283" spans="1:50" s="71" customFormat="1" ht="15" customHeight="1" x14ac:dyDescent="0.2">
      <c r="A1283" s="70" t="s">
        <v>553</v>
      </c>
      <c r="B1283" s="70" t="s">
        <v>554</v>
      </c>
      <c r="C1283" s="71" t="s">
        <v>555</v>
      </c>
      <c r="D1283" s="71" t="s">
        <v>31</v>
      </c>
      <c r="E1283" s="71" t="s">
        <v>46</v>
      </c>
      <c r="F1283" s="71" t="s">
        <v>782</v>
      </c>
      <c r="H1283" s="71" t="s">
        <v>33</v>
      </c>
      <c r="I1283" s="87"/>
      <c r="J1283" s="72">
        <f t="shared" ref="J1283" si="421">AVERAGE(J1279:J1282)</f>
        <v>91</v>
      </c>
      <c r="K1283" s="72">
        <f t="shared" ref="K1283:S1283" si="422">AVERAGE(K1279:K1282)</f>
        <v>1.0925</v>
      </c>
      <c r="L1283" s="72">
        <f t="shared" si="422"/>
        <v>53.75</v>
      </c>
      <c r="M1283" s="72">
        <f t="shared" si="422"/>
        <v>1.3149999999999999</v>
      </c>
      <c r="N1283" s="72">
        <f t="shared" si="422"/>
        <v>68</v>
      </c>
      <c r="O1283" s="72">
        <f t="shared" si="422"/>
        <v>0.41333333333333333</v>
      </c>
      <c r="P1283" s="72">
        <f t="shared" si="422"/>
        <v>0</v>
      </c>
      <c r="Q1283" s="72">
        <f t="shared" si="422"/>
        <v>16</v>
      </c>
      <c r="R1283" s="72">
        <f t="shared" si="422"/>
        <v>53.75</v>
      </c>
      <c r="S1283" s="72">
        <f t="shared" si="422"/>
        <v>0.8</v>
      </c>
      <c r="T1283" s="72"/>
      <c r="U1283" s="72"/>
      <c r="V1283" s="72"/>
      <c r="W1283" s="72"/>
      <c r="X1283" s="72"/>
      <c r="Y1283" s="72"/>
      <c r="Z1283" s="72"/>
      <c r="AA1283" s="72"/>
      <c r="AB1283" s="72"/>
      <c r="AC1283" s="73"/>
      <c r="AD1283" s="73"/>
      <c r="AE1283" s="73"/>
      <c r="AF1283" s="73"/>
      <c r="AG1283" s="73"/>
      <c r="AH1283" s="73"/>
      <c r="AI1283" s="73"/>
      <c r="AJ1283" s="73"/>
      <c r="AK1283" s="73"/>
      <c r="AL1283" s="73"/>
      <c r="AM1283" s="73"/>
      <c r="AN1283" s="73"/>
      <c r="AO1283" s="73"/>
      <c r="AP1283" s="73"/>
      <c r="AQ1283" s="73"/>
      <c r="AR1283" s="73"/>
      <c r="AS1283" s="73"/>
      <c r="AT1283" s="73"/>
      <c r="AU1283" s="73"/>
      <c r="AV1283" s="73"/>
      <c r="AW1283" s="73"/>
      <c r="AX1283" s="73"/>
    </row>
    <row r="1284" spans="1:50" ht="51" x14ac:dyDescent="0.2">
      <c r="A1284" s="24" t="s">
        <v>553</v>
      </c>
      <c r="B1284" s="24" t="s">
        <v>556</v>
      </c>
      <c r="D1284" s="22"/>
      <c r="E1284" s="22"/>
      <c r="H1284" s="2" t="s">
        <v>33</v>
      </c>
      <c r="I1284" s="243" t="s">
        <v>1032</v>
      </c>
      <c r="J1284" s="3">
        <v>88</v>
      </c>
      <c r="K1284" s="3">
        <v>1.1000000000000001</v>
      </c>
      <c r="L1284" s="3">
        <v>57</v>
      </c>
      <c r="M1284" s="3">
        <v>2.2999999999999998</v>
      </c>
      <c r="N1284" s="3">
        <v>31</v>
      </c>
      <c r="O1284" s="3">
        <v>1.2</v>
      </c>
      <c r="P1284" s="4" t="s">
        <v>0</v>
      </c>
      <c r="R1284" s="3">
        <v>33.5</v>
      </c>
    </row>
    <row r="1285" spans="1:50" s="22" customFormat="1" ht="15" customHeight="1" x14ac:dyDescent="0.2">
      <c r="A1285" s="25" t="s">
        <v>553</v>
      </c>
      <c r="B1285" s="25" t="s">
        <v>556</v>
      </c>
      <c r="C1285" s="22" t="s">
        <v>0</v>
      </c>
      <c r="H1285" s="22" t="s">
        <v>33</v>
      </c>
      <c r="I1285" s="65" t="s">
        <v>1023</v>
      </c>
      <c r="J1285" s="4">
        <v>88</v>
      </c>
      <c r="K1285" s="4">
        <v>1.1000000000000001</v>
      </c>
      <c r="L1285" s="4"/>
      <c r="M1285" s="4"/>
      <c r="N1285" s="4"/>
      <c r="O1285" s="4"/>
      <c r="P1285" s="4">
        <f t="shared" ref="P1285" si="423">AN1285</f>
        <v>0</v>
      </c>
      <c r="Q1285" s="4"/>
      <c r="R1285" s="4">
        <v>33.5</v>
      </c>
      <c r="S1285" s="4"/>
      <c r="T1285" s="4"/>
      <c r="U1285" s="4"/>
      <c r="V1285" s="4"/>
      <c r="W1285" s="4"/>
      <c r="X1285" s="4"/>
      <c r="Y1285" s="4"/>
      <c r="Z1285" s="4"/>
      <c r="AA1285" s="4"/>
      <c r="AB1285" s="4"/>
      <c r="AC1285" s="23"/>
      <c r="AD1285" s="23"/>
      <c r="AE1285" s="23"/>
      <c r="AF1285" s="23"/>
      <c r="AG1285" s="23"/>
      <c r="AH1285" s="23"/>
      <c r="AI1285" s="23"/>
      <c r="AJ1285" s="23"/>
      <c r="AK1285" s="5"/>
      <c r="AL1285" s="23"/>
      <c r="AM1285" s="23"/>
      <c r="AN1285" s="23"/>
      <c r="AO1285" s="23"/>
      <c r="AP1285" s="23"/>
      <c r="AQ1285" s="23"/>
      <c r="AR1285" s="23"/>
      <c r="AS1285" s="23"/>
      <c r="AT1285" s="23"/>
      <c r="AU1285" s="23"/>
      <c r="AV1285" s="23"/>
      <c r="AW1285" s="23"/>
      <c r="AX1285" s="23"/>
    </row>
    <row r="1286" spans="1:50" s="71" customFormat="1" ht="15" customHeight="1" x14ac:dyDescent="0.2">
      <c r="A1286" s="77" t="s">
        <v>553</v>
      </c>
      <c r="B1286" s="77" t="s">
        <v>556</v>
      </c>
      <c r="C1286" s="71" t="s">
        <v>557</v>
      </c>
      <c r="D1286" s="71" t="s">
        <v>31</v>
      </c>
      <c r="E1286" s="71" t="s">
        <v>46</v>
      </c>
      <c r="F1286" s="71" t="s">
        <v>782</v>
      </c>
      <c r="H1286" s="71" t="s">
        <v>33</v>
      </c>
      <c r="I1286" s="87"/>
      <c r="J1286" s="72">
        <f t="shared" ref="J1286:P1286" si="424">AVERAGE(J1284:J1285)</f>
        <v>88</v>
      </c>
      <c r="K1286" s="72">
        <f t="shared" si="424"/>
        <v>1.1000000000000001</v>
      </c>
      <c r="L1286" s="72">
        <f t="shared" si="424"/>
        <v>57</v>
      </c>
      <c r="M1286" s="72">
        <f t="shared" si="424"/>
        <v>2.2999999999999998</v>
      </c>
      <c r="N1286" s="72">
        <f t="shared" si="424"/>
        <v>31</v>
      </c>
      <c r="O1286" s="72">
        <f t="shared" si="424"/>
        <v>1.2</v>
      </c>
      <c r="P1286" s="72">
        <f t="shared" si="424"/>
        <v>0</v>
      </c>
      <c r="Q1286" s="72"/>
      <c r="R1286" s="72">
        <f>AVERAGE(R1284:R1285)</f>
        <v>33.5</v>
      </c>
      <c r="S1286" s="72"/>
      <c r="T1286" s="72"/>
      <c r="U1286" s="72"/>
      <c r="V1286" s="72"/>
      <c r="W1286" s="72"/>
      <c r="X1286" s="72"/>
      <c r="Y1286" s="72"/>
      <c r="Z1286" s="72"/>
      <c r="AA1286" s="72"/>
      <c r="AB1286" s="72"/>
      <c r="AC1286" s="73"/>
      <c r="AD1286" s="73"/>
      <c r="AE1286" s="73"/>
      <c r="AF1286" s="73"/>
      <c r="AG1286" s="73"/>
      <c r="AH1286" s="73"/>
      <c r="AI1286" s="73"/>
      <c r="AJ1286" s="73"/>
      <c r="AK1286" s="73"/>
      <c r="AL1286" s="73"/>
      <c r="AM1286" s="73"/>
      <c r="AN1286" s="73"/>
      <c r="AO1286" s="73"/>
      <c r="AP1286" s="73"/>
      <c r="AQ1286" s="73"/>
      <c r="AR1286" s="73"/>
      <c r="AS1286" s="73"/>
      <c r="AT1286" s="73"/>
      <c r="AU1286" s="73"/>
      <c r="AV1286" s="73"/>
      <c r="AW1286" s="73"/>
      <c r="AX1286" s="73"/>
    </row>
    <row r="1287" spans="1:50" s="41" customFormat="1" ht="15" customHeight="1" x14ac:dyDescent="0.2">
      <c r="A1287" s="61" t="s">
        <v>553</v>
      </c>
      <c r="B1287" s="61" t="s">
        <v>558</v>
      </c>
      <c r="C1287" s="62" t="s">
        <v>0</v>
      </c>
      <c r="D1287" s="22"/>
      <c r="E1287" s="22"/>
      <c r="F1287" s="63"/>
      <c r="G1287" s="63"/>
      <c r="H1287" s="63" t="s">
        <v>33</v>
      </c>
      <c r="I1287" s="251" t="s">
        <v>1007</v>
      </c>
      <c r="J1287" s="64">
        <v>89.7</v>
      </c>
      <c r="K1287" s="64"/>
      <c r="L1287" s="64">
        <v>2</v>
      </c>
      <c r="M1287" s="64">
        <v>0.8</v>
      </c>
      <c r="N1287" s="64"/>
      <c r="O1287" s="64"/>
      <c r="P1287" s="4">
        <f t="shared" ref="P1287" si="425">AN1287</f>
        <v>0</v>
      </c>
      <c r="Q1287" s="64"/>
      <c r="R1287" s="64">
        <v>68</v>
      </c>
      <c r="S1287" s="64"/>
      <c r="T1287" s="64"/>
      <c r="U1287" s="64"/>
      <c r="V1287" s="64"/>
      <c r="W1287" s="64"/>
      <c r="X1287" s="64"/>
      <c r="Y1287" s="64"/>
      <c r="Z1287" s="64"/>
      <c r="AA1287" s="64"/>
      <c r="AB1287" s="64"/>
      <c r="AC1287" s="44"/>
      <c r="AD1287" s="44"/>
      <c r="AE1287" s="44"/>
      <c r="AF1287" s="44"/>
      <c r="AG1287" s="44"/>
      <c r="AH1287" s="44"/>
      <c r="AI1287" s="23"/>
      <c r="AJ1287" s="44"/>
      <c r="AK1287" s="44"/>
      <c r="AL1287" s="44"/>
      <c r="AM1287" s="44"/>
      <c r="AN1287" s="23"/>
      <c r="AO1287" s="44"/>
      <c r="AP1287" s="44"/>
      <c r="AQ1287" s="44"/>
      <c r="AR1287" s="44"/>
      <c r="AS1287" s="44"/>
      <c r="AT1287" s="44"/>
      <c r="AU1287" s="44"/>
      <c r="AV1287" s="44"/>
      <c r="AW1287" s="44"/>
      <c r="AX1287" s="44"/>
    </row>
    <row r="1288" spans="1:50" ht="15" customHeight="1" x14ac:dyDescent="0.2">
      <c r="A1288" s="31" t="s">
        <v>559</v>
      </c>
      <c r="B1288" s="31" t="s">
        <v>558</v>
      </c>
      <c r="D1288" s="22"/>
      <c r="E1288" s="22"/>
      <c r="H1288" s="2" t="s">
        <v>33</v>
      </c>
      <c r="I1288" s="243" t="s">
        <v>1023</v>
      </c>
      <c r="J1288" s="3">
        <v>90</v>
      </c>
      <c r="K1288" s="3">
        <v>1.1000000000000001</v>
      </c>
      <c r="L1288" s="3">
        <v>2</v>
      </c>
      <c r="M1288" s="3">
        <v>0.8</v>
      </c>
      <c r="P1288" s="4" t="s">
        <v>0</v>
      </c>
    </row>
    <row r="1289" spans="1:50" s="71" customFormat="1" ht="15" customHeight="1" x14ac:dyDescent="0.2">
      <c r="A1289" s="77" t="s">
        <v>559</v>
      </c>
      <c r="B1289" s="77" t="s">
        <v>558</v>
      </c>
      <c r="C1289" s="84" t="s">
        <v>560</v>
      </c>
      <c r="D1289" s="71" t="s">
        <v>31</v>
      </c>
      <c r="E1289" s="71" t="s">
        <v>46</v>
      </c>
      <c r="F1289" s="71" t="s">
        <v>782</v>
      </c>
      <c r="H1289" s="71" t="s">
        <v>561</v>
      </c>
      <c r="I1289" s="87"/>
      <c r="J1289" s="72">
        <f t="shared" ref="J1289" si="426">AVERAGE(J1287:J1288)</f>
        <v>89.85</v>
      </c>
      <c r="K1289" s="72">
        <f>AVERAGE(K1287:K1288)</f>
        <v>1.1000000000000001</v>
      </c>
      <c r="L1289" s="72">
        <f>AVERAGE(L1287:L1288)</f>
        <v>2</v>
      </c>
      <c r="M1289" s="72">
        <f>AVERAGE(M1287:M1288)</f>
        <v>0.8</v>
      </c>
      <c r="N1289" s="72"/>
      <c r="O1289" s="72"/>
      <c r="P1289" s="72">
        <f>AVERAGE(P1287:P1288)</f>
        <v>0</v>
      </c>
      <c r="Q1289" s="72"/>
      <c r="R1289" s="72">
        <f>AVERAGE(R1287:R1288)</f>
        <v>68</v>
      </c>
      <c r="S1289" s="72"/>
      <c r="T1289" s="72"/>
      <c r="U1289" s="72"/>
      <c r="V1289" s="72"/>
      <c r="W1289" s="72"/>
      <c r="X1289" s="72"/>
      <c r="Y1289" s="72"/>
      <c r="Z1289" s="72"/>
      <c r="AA1289" s="72"/>
      <c r="AB1289" s="72"/>
      <c r="AC1289" s="73"/>
      <c r="AD1289" s="73"/>
      <c r="AE1289" s="73"/>
      <c r="AF1289" s="73"/>
      <c r="AG1289" s="73"/>
      <c r="AH1289" s="73"/>
      <c r="AI1289" s="73"/>
      <c r="AJ1289" s="73"/>
      <c r="AK1289" s="73"/>
      <c r="AL1289" s="73"/>
      <c r="AM1289" s="73"/>
      <c r="AN1289" s="73"/>
      <c r="AO1289" s="73"/>
      <c r="AP1289" s="73"/>
      <c r="AQ1289" s="73"/>
      <c r="AR1289" s="73"/>
      <c r="AS1289" s="73"/>
      <c r="AT1289" s="73"/>
      <c r="AU1289" s="73"/>
      <c r="AV1289" s="73"/>
      <c r="AW1289" s="73"/>
      <c r="AX1289" s="73"/>
    </row>
    <row r="1290" spans="1:50" s="22" customFormat="1" ht="15" customHeight="1" x14ac:dyDescent="0.2">
      <c r="A1290" s="25" t="s">
        <v>553</v>
      </c>
      <c r="B1290" s="25" t="s">
        <v>562</v>
      </c>
      <c r="C1290" s="22" t="s">
        <v>0</v>
      </c>
      <c r="H1290" s="22" t="s">
        <v>33</v>
      </c>
      <c r="I1290" s="65" t="s">
        <v>1023</v>
      </c>
      <c r="J1290" s="4"/>
      <c r="K1290" s="4"/>
      <c r="L1290" s="4"/>
      <c r="M1290" s="4"/>
      <c r="N1290" s="4"/>
      <c r="O1290" s="4"/>
      <c r="P1290" s="4" t="s">
        <v>0</v>
      </c>
      <c r="Q1290" s="4"/>
      <c r="R1290" s="4">
        <v>25.4</v>
      </c>
      <c r="S1290" s="4"/>
      <c r="T1290" s="4"/>
      <c r="U1290" s="4"/>
      <c r="V1290" s="4"/>
      <c r="W1290" s="4"/>
      <c r="X1290" s="4"/>
      <c r="Y1290" s="4"/>
      <c r="Z1290" s="4"/>
      <c r="AA1290" s="4"/>
      <c r="AB1290" s="4"/>
      <c r="AC1290" s="23"/>
      <c r="AD1290" s="23"/>
      <c r="AE1290" s="23"/>
      <c r="AF1290" s="23"/>
      <c r="AG1290" s="23"/>
      <c r="AH1290" s="23"/>
      <c r="AI1290" s="23"/>
      <c r="AJ1290" s="23"/>
      <c r="AK1290" s="23"/>
      <c r="AL1290" s="23"/>
      <c r="AM1290" s="23"/>
      <c r="AN1290" s="23"/>
      <c r="AO1290" s="23"/>
      <c r="AP1290" s="23"/>
      <c r="AQ1290" s="23"/>
      <c r="AR1290" s="23"/>
      <c r="AS1290" s="23"/>
      <c r="AT1290" s="23"/>
      <c r="AU1290" s="23"/>
      <c r="AV1290" s="23"/>
      <c r="AW1290" s="23"/>
      <c r="AX1290" s="23"/>
    </row>
    <row r="1291" spans="1:50" s="71" customFormat="1" ht="15" customHeight="1" x14ac:dyDescent="0.2">
      <c r="A1291" s="77" t="s">
        <v>553</v>
      </c>
      <c r="B1291" s="77" t="s">
        <v>562</v>
      </c>
      <c r="C1291" s="71" t="s">
        <v>563</v>
      </c>
      <c r="D1291" s="71" t="s">
        <v>31</v>
      </c>
      <c r="E1291" s="71" t="s">
        <v>46</v>
      </c>
      <c r="F1291" s="71" t="s">
        <v>782</v>
      </c>
      <c r="H1291" s="71" t="s">
        <v>33</v>
      </c>
      <c r="I1291" s="87"/>
      <c r="J1291" s="72"/>
      <c r="K1291" s="72"/>
      <c r="L1291" s="72"/>
      <c r="M1291" s="72"/>
      <c r="N1291" s="72"/>
      <c r="O1291" s="72"/>
      <c r="P1291" s="72"/>
      <c r="Q1291" s="72"/>
      <c r="R1291" s="72">
        <f>R1290</f>
        <v>25.4</v>
      </c>
      <c r="S1291" s="72"/>
      <c r="T1291" s="72"/>
      <c r="U1291" s="72"/>
      <c r="V1291" s="72"/>
      <c r="W1291" s="72"/>
      <c r="X1291" s="72"/>
      <c r="Y1291" s="72"/>
      <c r="Z1291" s="72"/>
      <c r="AA1291" s="72"/>
      <c r="AB1291" s="72"/>
      <c r="AC1291" s="73"/>
      <c r="AD1291" s="73"/>
      <c r="AE1291" s="73"/>
      <c r="AF1291" s="73"/>
      <c r="AG1291" s="73"/>
      <c r="AH1291" s="73"/>
      <c r="AI1291" s="73"/>
      <c r="AJ1291" s="73"/>
      <c r="AK1291" s="73"/>
      <c r="AL1291" s="73"/>
      <c r="AM1291" s="73"/>
      <c r="AN1291" s="73"/>
      <c r="AO1291" s="73"/>
      <c r="AP1291" s="73"/>
      <c r="AQ1291" s="73"/>
      <c r="AR1291" s="73"/>
      <c r="AS1291" s="73"/>
      <c r="AT1291" s="73"/>
      <c r="AU1291" s="73"/>
      <c r="AV1291" s="73"/>
      <c r="AW1291" s="73"/>
      <c r="AX1291" s="73"/>
    </row>
    <row r="1292" spans="1:50" ht="15" customHeight="1" x14ac:dyDescent="0.2">
      <c r="A1292" s="24" t="s">
        <v>564</v>
      </c>
      <c r="B1292" s="24" t="s">
        <v>565</v>
      </c>
      <c r="D1292" s="22"/>
      <c r="E1292" s="22"/>
      <c r="H1292" s="2" t="s">
        <v>33</v>
      </c>
      <c r="I1292" s="243" t="s">
        <v>1004</v>
      </c>
      <c r="M1292" s="3">
        <v>0.4</v>
      </c>
      <c r="P1292" s="4" t="s">
        <v>0</v>
      </c>
    </row>
    <row r="1293" spans="1:50" ht="15" customHeight="1" x14ac:dyDescent="0.2">
      <c r="A1293" s="24" t="s">
        <v>564</v>
      </c>
      <c r="B1293" s="24" t="s">
        <v>565</v>
      </c>
      <c r="D1293" s="22"/>
      <c r="E1293" s="22"/>
      <c r="H1293" s="2" t="s">
        <v>33</v>
      </c>
      <c r="I1293" s="243" t="s">
        <v>1004</v>
      </c>
      <c r="J1293" s="3">
        <v>87.9</v>
      </c>
      <c r="L1293" s="3">
        <v>272</v>
      </c>
      <c r="P1293" s="4" t="s">
        <v>0</v>
      </c>
    </row>
    <row r="1294" spans="1:50" s="71" customFormat="1" ht="15" customHeight="1" x14ac:dyDescent="0.2">
      <c r="A1294" s="70" t="s">
        <v>564</v>
      </c>
      <c r="B1294" s="70" t="s">
        <v>565</v>
      </c>
      <c r="C1294" s="71" t="s">
        <v>566</v>
      </c>
      <c r="D1294" s="71" t="s">
        <v>31</v>
      </c>
      <c r="E1294" s="71" t="s">
        <v>46</v>
      </c>
      <c r="F1294" s="71" t="s">
        <v>782</v>
      </c>
      <c r="H1294" s="71" t="s">
        <v>33</v>
      </c>
      <c r="I1294" s="87"/>
      <c r="J1294" s="72">
        <f>AVERAGE(J1292:J1293)</f>
        <v>87.9</v>
      </c>
      <c r="K1294" s="72"/>
      <c r="L1294" s="72">
        <f>AVERAGE(L1292:L1293)</f>
        <v>272</v>
      </c>
      <c r="M1294" s="72">
        <f>AVERAGE(M1292:M1293)</f>
        <v>0.4</v>
      </c>
      <c r="N1294" s="72"/>
      <c r="O1294" s="72"/>
      <c r="P1294" s="72"/>
      <c r="Q1294" s="72"/>
      <c r="R1294" s="72"/>
      <c r="S1294" s="72"/>
      <c r="T1294" s="72"/>
      <c r="U1294" s="72"/>
      <c r="V1294" s="72"/>
      <c r="W1294" s="72"/>
      <c r="X1294" s="72"/>
      <c r="Y1294" s="72"/>
      <c r="Z1294" s="72"/>
      <c r="AA1294" s="72"/>
      <c r="AB1294" s="72"/>
      <c r="AC1294" s="73"/>
      <c r="AD1294" s="73"/>
      <c r="AE1294" s="73"/>
      <c r="AF1294" s="73"/>
      <c r="AG1294" s="73"/>
      <c r="AH1294" s="73"/>
      <c r="AI1294" s="73"/>
      <c r="AJ1294" s="73"/>
      <c r="AK1294" s="73"/>
      <c r="AL1294" s="73"/>
      <c r="AM1294" s="73"/>
      <c r="AN1294" s="73"/>
      <c r="AO1294" s="73"/>
      <c r="AP1294" s="73"/>
      <c r="AQ1294" s="73"/>
      <c r="AR1294" s="73"/>
      <c r="AS1294" s="73"/>
      <c r="AT1294" s="73"/>
      <c r="AU1294" s="73"/>
      <c r="AV1294" s="73"/>
      <c r="AW1294" s="73"/>
      <c r="AX1294" s="73"/>
    </row>
    <row r="1295" spans="1:50" ht="51" x14ac:dyDescent="0.2">
      <c r="A1295" s="24" t="s">
        <v>567</v>
      </c>
      <c r="B1295" s="24" t="s">
        <v>568</v>
      </c>
      <c r="D1295" s="22"/>
      <c r="E1295" s="22"/>
      <c r="H1295" s="2" t="s">
        <v>166</v>
      </c>
      <c r="I1295" s="243" t="s">
        <v>1011</v>
      </c>
      <c r="J1295" s="3">
        <v>89</v>
      </c>
      <c r="K1295" s="3">
        <v>3.6</v>
      </c>
      <c r="L1295" s="3">
        <v>4</v>
      </c>
      <c r="M1295" s="3">
        <v>1.1000000000000001</v>
      </c>
      <c r="N1295" s="3">
        <v>48</v>
      </c>
      <c r="O1295" s="3">
        <v>1.1000000000000001</v>
      </c>
      <c r="P1295" s="4" t="s">
        <v>0</v>
      </c>
      <c r="R1295" s="3">
        <v>14</v>
      </c>
      <c r="S1295" s="3">
        <v>1.8</v>
      </c>
    </row>
    <row r="1296" spans="1:50" ht="15" customHeight="1" x14ac:dyDescent="0.2">
      <c r="A1296" s="24" t="s">
        <v>569</v>
      </c>
      <c r="B1296" s="24" t="s">
        <v>568</v>
      </c>
      <c r="D1296" s="22"/>
      <c r="E1296" s="22"/>
      <c r="H1296" s="2" t="s">
        <v>166</v>
      </c>
      <c r="I1296" s="243" t="s">
        <v>1019</v>
      </c>
      <c r="J1296" s="3">
        <v>89</v>
      </c>
      <c r="K1296" s="3">
        <v>0.7</v>
      </c>
      <c r="M1296" s="3">
        <v>21</v>
      </c>
      <c r="P1296" s="4" t="s">
        <v>0</v>
      </c>
      <c r="R1296" s="3">
        <v>21</v>
      </c>
    </row>
    <row r="1297" spans="1:50" ht="15" customHeight="1" x14ac:dyDescent="0.2">
      <c r="A1297" s="24" t="s">
        <v>569</v>
      </c>
      <c r="B1297" s="24" t="s">
        <v>568</v>
      </c>
      <c r="D1297" s="22"/>
      <c r="E1297" s="22"/>
      <c r="H1297" s="2" t="s">
        <v>166</v>
      </c>
      <c r="I1297" s="243" t="s">
        <v>1004</v>
      </c>
      <c r="J1297" s="3">
        <v>89</v>
      </c>
      <c r="K1297" s="3">
        <v>0.7</v>
      </c>
      <c r="L1297" s="3">
        <v>10</v>
      </c>
      <c r="M1297" s="3">
        <v>21</v>
      </c>
      <c r="P1297" s="4" t="s">
        <v>0</v>
      </c>
      <c r="R1297" s="3">
        <v>21</v>
      </c>
    </row>
    <row r="1298" spans="1:50" ht="15" customHeight="1" x14ac:dyDescent="0.2">
      <c r="A1298" s="24" t="s">
        <v>569</v>
      </c>
      <c r="B1298" s="24" t="s">
        <v>568</v>
      </c>
      <c r="D1298" s="22"/>
      <c r="E1298" s="22"/>
      <c r="H1298" s="2" t="s">
        <v>166</v>
      </c>
      <c r="I1298" s="243" t="s">
        <v>1004</v>
      </c>
      <c r="M1298" s="3">
        <v>3.1</v>
      </c>
      <c r="N1298" s="36"/>
      <c r="P1298" s="4" t="s">
        <v>0</v>
      </c>
      <c r="X1298" s="36"/>
    </row>
    <row r="1299" spans="1:50" ht="15" customHeight="1" x14ac:dyDescent="0.2">
      <c r="A1299" s="24" t="s">
        <v>569</v>
      </c>
      <c r="B1299" s="24" t="s">
        <v>568</v>
      </c>
      <c r="D1299" s="22"/>
      <c r="E1299" s="22"/>
      <c r="H1299" s="2" t="s">
        <v>166</v>
      </c>
      <c r="I1299" s="243" t="s">
        <v>1019</v>
      </c>
      <c r="M1299" s="3">
        <v>0.4</v>
      </c>
      <c r="P1299" s="4" t="s">
        <v>0</v>
      </c>
    </row>
    <row r="1300" spans="1:50" s="71" customFormat="1" ht="15" customHeight="1" x14ac:dyDescent="0.2">
      <c r="A1300" s="70" t="s">
        <v>569</v>
      </c>
      <c r="B1300" s="70" t="s">
        <v>568</v>
      </c>
      <c r="C1300" s="71" t="s">
        <v>570</v>
      </c>
      <c r="D1300" s="71" t="s">
        <v>31</v>
      </c>
      <c r="E1300" s="71" t="s">
        <v>46</v>
      </c>
      <c r="F1300" s="71" t="s">
        <v>885</v>
      </c>
      <c r="H1300" s="71" t="s">
        <v>166</v>
      </c>
      <c r="I1300" s="87"/>
      <c r="J1300" s="72">
        <f t="shared" ref="J1300" si="427">AVERAGE(J1295:J1299)</f>
        <v>89</v>
      </c>
      <c r="K1300" s="72">
        <f>AVERAGE(K1295:K1299)</f>
        <v>1.6666666666666667</v>
      </c>
      <c r="L1300" s="72">
        <f>AVERAGE(L1295:L1299)</f>
        <v>7</v>
      </c>
      <c r="M1300" s="72">
        <f>AVERAGE(M1295:M1299)</f>
        <v>9.32</v>
      </c>
      <c r="N1300" s="72">
        <f>AVERAGE(N1295:N1299)</f>
        <v>48</v>
      </c>
      <c r="O1300" s="72">
        <f>AVERAGE(O1295:O1299)</f>
        <v>1.1000000000000001</v>
      </c>
      <c r="P1300" s="72"/>
      <c r="Q1300" s="72"/>
      <c r="R1300" s="72">
        <f>AVERAGE(R1295:R1299)</f>
        <v>18.666666666666668</v>
      </c>
      <c r="S1300" s="72">
        <f>AVERAGE(S1295:S1299)</f>
        <v>1.8</v>
      </c>
      <c r="T1300" s="72"/>
      <c r="U1300" s="72"/>
      <c r="V1300" s="72"/>
      <c r="W1300" s="72"/>
      <c r="X1300" s="72"/>
      <c r="Y1300" s="72"/>
      <c r="Z1300" s="72"/>
      <c r="AA1300" s="72"/>
      <c r="AB1300" s="72"/>
      <c r="AC1300" s="73"/>
      <c r="AD1300" s="73"/>
      <c r="AE1300" s="73"/>
      <c r="AF1300" s="73"/>
      <c r="AG1300" s="73"/>
      <c r="AH1300" s="73"/>
      <c r="AI1300" s="73"/>
      <c r="AJ1300" s="73"/>
      <c r="AK1300" s="73"/>
      <c r="AL1300" s="73"/>
      <c r="AM1300" s="73"/>
      <c r="AN1300" s="73"/>
      <c r="AO1300" s="73"/>
      <c r="AP1300" s="73"/>
      <c r="AQ1300" s="73"/>
      <c r="AR1300" s="73"/>
      <c r="AS1300" s="73"/>
      <c r="AT1300" s="73"/>
      <c r="AU1300" s="73"/>
      <c r="AV1300" s="73"/>
      <c r="AW1300" s="73"/>
      <c r="AX1300" s="73"/>
    </row>
    <row r="1301" spans="1:50" s="22" customFormat="1" ht="15" customHeight="1" x14ac:dyDescent="0.2">
      <c r="A1301" s="25" t="s">
        <v>571</v>
      </c>
      <c r="B1301" s="25" t="s">
        <v>572</v>
      </c>
      <c r="C1301" s="22" t="s">
        <v>0</v>
      </c>
      <c r="F1301" s="28"/>
      <c r="G1301" s="28"/>
      <c r="H1301" s="22" t="s">
        <v>33</v>
      </c>
      <c r="I1301" s="65" t="s">
        <v>1023</v>
      </c>
      <c r="J1301" s="4"/>
      <c r="K1301" s="4"/>
      <c r="L1301" s="4">
        <v>6.5</v>
      </c>
      <c r="M1301" s="4"/>
      <c r="N1301" s="4"/>
      <c r="O1301" s="4"/>
      <c r="P1301" s="4" t="s">
        <v>0</v>
      </c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  <c r="AC1301" s="23"/>
      <c r="AD1301" s="23"/>
      <c r="AE1301" s="23"/>
      <c r="AF1301" s="23"/>
      <c r="AG1301" s="23"/>
      <c r="AH1301" s="23"/>
      <c r="AI1301" s="23"/>
      <c r="AJ1301" s="23"/>
      <c r="AK1301" s="23"/>
      <c r="AL1301" s="23"/>
      <c r="AM1301" s="23"/>
      <c r="AN1301" s="23"/>
      <c r="AO1301" s="23"/>
      <c r="AP1301" s="23"/>
      <c r="AQ1301" s="23"/>
      <c r="AR1301" s="23"/>
      <c r="AS1301" s="23"/>
      <c r="AT1301" s="23"/>
      <c r="AU1301" s="23"/>
      <c r="AV1301" s="23"/>
      <c r="AW1301" s="23"/>
      <c r="AX1301" s="23"/>
    </row>
    <row r="1302" spans="1:50" s="71" customFormat="1" ht="15" customHeight="1" x14ac:dyDescent="0.2">
      <c r="A1302" s="77" t="s">
        <v>571</v>
      </c>
      <c r="B1302" s="77" t="s">
        <v>572</v>
      </c>
      <c r="C1302" s="71" t="s">
        <v>573</v>
      </c>
      <c r="D1302" s="71" t="s">
        <v>31</v>
      </c>
      <c r="E1302" s="79" t="s">
        <v>46</v>
      </c>
      <c r="F1302" s="71" t="s">
        <v>782</v>
      </c>
      <c r="G1302" s="78" t="s">
        <v>71</v>
      </c>
      <c r="H1302" s="71" t="s">
        <v>33</v>
      </c>
      <c r="I1302" s="87"/>
      <c r="J1302" s="72"/>
      <c r="K1302" s="72"/>
      <c r="L1302" s="72">
        <f>L1301</f>
        <v>6.5</v>
      </c>
      <c r="M1302" s="72"/>
      <c r="N1302" s="72"/>
      <c r="O1302" s="72"/>
      <c r="P1302" s="72"/>
      <c r="Q1302" s="72"/>
      <c r="R1302" s="72"/>
      <c r="S1302" s="72"/>
      <c r="T1302" s="72"/>
      <c r="U1302" s="72"/>
      <c r="V1302" s="72"/>
      <c r="W1302" s="72"/>
      <c r="X1302" s="72"/>
      <c r="Y1302" s="72"/>
      <c r="Z1302" s="72"/>
      <c r="AA1302" s="72"/>
      <c r="AB1302" s="72"/>
      <c r="AC1302" s="73"/>
      <c r="AD1302" s="73"/>
      <c r="AE1302" s="73"/>
      <c r="AF1302" s="73"/>
      <c r="AG1302" s="73"/>
      <c r="AH1302" s="73"/>
      <c r="AI1302" s="73"/>
      <c r="AJ1302" s="73"/>
      <c r="AK1302" s="73"/>
      <c r="AL1302" s="73"/>
      <c r="AM1302" s="73"/>
      <c r="AN1302" s="73"/>
      <c r="AO1302" s="73"/>
      <c r="AP1302" s="73"/>
      <c r="AQ1302" s="73"/>
      <c r="AR1302" s="73"/>
      <c r="AS1302" s="73"/>
      <c r="AT1302" s="73"/>
      <c r="AU1302" s="73"/>
      <c r="AV1302" s="73"/>
      <c r="AW1302" s="73"/>
      <c r="AX1302" s="73"/>
    </row>
    <row r="1303" spans="1:50" s="22" customFormat="1" ht="15" customHeight="1" x14ac:dyDescent="0.2">
      <c r="A1303" s="65" t="s">
        <v>574</v>
      </c>
      <c r="B1303" s="65" t="s">
        <v>998</v>
      </c>
      <c r="C1303" s="27" t="s">
        <v>0</v>
      </c>
      <c r="F1303" s="27"/>
      <c r="G1303" s="27"/>
      <c r="H1303" s="27" t="s">
        <v>33</v>
      </c>
      <c r="I1303" s="65" t="s">
        <v>1007</v>
      </c>
      <c r="J1303" s="66">
        <v>68.7</v>
      </c>
      <c r="K1303" s="4"/>
      <c r="L1303" s="4">
        <v>130</v>
      </c>
      <c r="M1303" s="4">
        <v>2.6</v>
      </c>
      <c r="N1303" s="4"/>
      <c r="O1303" s="4"/>
      <c r="P1303" s="4">
        <f t="shared" ref="P1303" si="428">AN1303</f>
        <v>0</v>
      </c>
      <c r="Q1303" s="4"/>
      <c r="R1303" s="4">
        <v>190</v>
      </c>
      <c r="S1303" s="4"/>
      <c r="T1303" s="4"/>
      <c r="U1303" s="4"/>
      <c r="V1303" s="4"/>
      <c r="W1303" s="4"/>
      <c r="X1303" s="4"/>
      <c r="Y1303" s="4"/>
      <c r="Z1303" s="4"/>
      <c r="AA1303" s="4"/>
      <c r="AB1303" s="4"/>
      <c r="AC1303" s="23"/>
      <c r="AD1303" s="23"/>
      <c r="AE1303" s="23"/>
      <c r="AF1303" s="23"/>
      <c r="AG1303" s="23"/>
      <c r="AH1303" s="23"/>
      <c r="AI1303" s="23"/>
      <c r="AJ1303" s="23"/>
      <c r="AK1303" s="23"/>
      <c r="AL1303" s="23"/>
      <c r="AM1303" s="23"/>
      <c r="AN1303" s="23"/>
      <c r="AO1303" s="23"/>
      <c r="AP1303" s="23"/>
      <c r="AQ1303" s="23"/>
      <c r="AR1303" s="23"/>
      <c r="AS1303" s="23"/>
      <c r="AT1303" s="23"/>
      <c r="AU1303" s="23"/>
      <c r="AV1303" s="23"/>
      <c r="AW1303" s="23"/>
      <c r="AX1303" s="23"/>
    </row>
    <row r="1304" spans="1:50" s="71" customFormat="1" ht="15" customHeight="1" x14ac:dyDescent="0.2">
      <c r="A1304" s="87" t="s">
        <v>574</v>
      </c>
      <c r="B1304" s="87" t="s">
        <v>1041</v>
      </c>
      <c r="C1304" s="84" t="s">
        <v>575</v>
      </c>
      <c r="D1304" s="71" t="s">
        <v>31</v>
      </c>
      <c r="E1304" s="84" t="s">
        <v>32</v>
      </c>
      <c r="F1304" s="84" t="s">
        <v>783</v>
      </c>
      <c r="G1304" s="84"/>
      <c r="H1304" s="84" t="s">
        <v>33</v>
      </c>
      <c r="I1304" s="87"/>
      <c r="J1304" s="72">
        <f>J1303</f>
        <v>68.7</v>
      </c>
      <c r="K1304" s="72"/>
      <c r="L1304" s="72">
        <f>L1303</f>
        <v>130</v>
      </c>
      <c r="M1304" s="72">
        <f>M1303</f>
        <v>2.6</v>
      </c>
      <c r="N1304" s="72"/>
      <c r="O1304" s="72"/>
      <c r="P1304" s="72">
        <f>P1303</f>
        <v>0</v>
      </c>
      <c r="Q1304" s="72"/>
      <c r="R1304" s="72">
        <f>R1303</f>
        <v>190</v>
      </c>
      <c r="S1304" s="72"/>
      <c r="T1304" s="72"/>
      <c r="U1304" s="72"/>
      <c r="V1304" s="72"/>
      <c r="W1304" s="72"/>
      <c r="X1304" s="72"/>
      <c r="Y1304" s="72"/>
      <c r="Z1304" s="72"/>
      <c r="AA1304" s="72"/>
      <c r="AB1304" s="72"/>
      <c r="AC1304" s="73"/>
      <c r="AD1304" s="73"/>
      <c r="AE1304" s="73"/>
      <c r="AF1304" s="73"/>
      <c r="AG1304" s="73"/>
      <c r="AH1304" s="73"/>
      <c r="AI1304" s="73"/>
      <c r="AJ1304" s="73"/>
      <c r="AK1304" s="73"/>
      <c r="AL1304" s="73"/>
      <c r="AM1304" s="73"/>
      <c r="AN1304" s="73"/>
      <c r="AO1304" s="73"/>
      <c r="AP1304" s="73"/>
      <c r="AQ1304" s="73"/>
      <c r="AR1304" s="73"/>
      <c r="AS1304" s="73"/>
      <c r="AT1304" s="73"/>
      <c r="AU1304" s="73"/>
      <c r="AV1304" s="73"/>
      <c r="AW1304" s="73"/>
      <c r="AX1304" s="73"/>
    </row>
    <row r="1305" spans="1:50" ht="51" x14ac:dyDescent="0.2">
      <c r="A1305" s="24" t="s">
        <v>744</v>
      </c>
      <c r="B1305" s="24" t="s">
        <v>745</v>
      </c>
      <c r="C1305" s="2" t="s">
        <v>0</v>
      </c>
      <c r="D1305" s="22"/>
      <c r="E1305" s="22"/>
      <c r="H1305" s="2" t="s">
        <v>131</v>
      </c>
      <c r="I1305" s="243" t="s">
        <v>1032</v>
      </c>
      <c r="J1305" s="3">
        <v>69</v>
      </c>
      <c r="L1305" s="3">
        <v>188</v>
      </c>
      <c r="M1305" s="3">
        <v>2.9</v>
      </c>
      <c r="N1305" s="3">
        <v>8</v>
      </c>
      <c r="O1305" s="3">
        <v>4.0999999999999996</v>
      </c>
      <c r="P1305" s="4" t="s">
        <v>0</v>
      </c>
    </row>
    <row r="1306" spans="1:50" s="71" customFormat="1" x14ac:dyDescent="0.2">
      <c r="A1306" s="70" t="s">
        <v>744</v>
      </c>
      <c r="B1306" s="70" t="s">
        <v>745</v>
      </c>
      <c r="C1306" s="71" t="s">
        <v>880</v>
      </c>
      <c r="D1306" s="71" t="s">
        <v>31</v>
      </c>
      <c r="E1306" s="71" t="s">
        <v>32</v>
      </c>
      <c r="F1306" s="71" t="s">
        <v>783</v>
      </c>
      <c r="H1306" s="71" t="s">
        <v>131</v>
      </c>
      <c r="I1306" s="87"/>
      <c r="J1306" s="72">
        <f>J1305</f>
        <v>69</v>
      </c>
      <c r="K1306" s="72"/>
      <c r="L1306" s="72">
        <f>L1305</f>
        <v>188</v>
      </c>
      <c r="M1306" s="72">
        <f>M1305</f>
        <v>2.9</v>
      </c>
      <c r="N1306" s="72">
        <f>N1305</f>
        <v>8</v>
      </c>
      <c r="O1306" s="72">
        <f>O1305</f>
        <v>4.0999999999999996</v>
      </c>
      <c r="P1306" s="72"/>
      <c r="Q1306" s="72"/>
      <c r="R1306" s="72"/>
      <c r="S1306" s="72"/>
      <c r="T1306" s="72"/>
      <c r="U1306" s="72"/>
      <c r="V1306" s="72"/>
      <c r="W1306" s="72"/>
      <c r="X1306" s="72"/>
      <c r="Y1306" s="72"/>
      <c r="Z1306" s="72"/>
      <c r="AA1306" s="72"/>
      <c r="AB1306" s="72"/>
      <c r="AC1306" s="73"/>
      <c r="AD1306" s="73"/>
      <c r="AE1306" s="73"/>
      <c r="AF1306" s="73"/>
      <c r="AG1306" s="73"/>
      <c r="AH1306" s="73"/>
      <c r="AI1306" s="73"/>
      <c r="AJ1306" s="73"/>
      <c r="AK1306" s="73"/>
      <c r="AL1306" s="73"/>
      <c r="AM1306" s="73"/>
      <c r="AN1306" s="73"/>
      <c r="AO1306" s="73"/>
      <c r="AP1306" s="73"/>
      <c r="AQ1306" s="73"/>
      <c r="AR1306" s="73"/>
      <c r="AS1306" s="73"/>
      <c r="AT1306" s="73"/>
      <c r="AU1306" s="73"/>
      <c r="AV1306" s="73"/>
      <c r="AW1306" s="73"/>
      <c r="AX1306" s="73"/>
    </row>
    <row r="1307" spans="1:50" ht="51" x14ac:dyDescent="0.2">
      <c r="A1307" s="24" t="s">
        <v>744</v>
      </c>
      <c r="B1307" s="24" t="s">
        <v>746</v>
      </c>
      <c r="C1307" s="2" t="s">
        <v>0</v>
      </c>
      <c r="D1307" s="22"/>
      <c r="E1307" s="22"/>
      <c r="H1307" s="2" t="s">
        <v>131</v>
      </c>
      <c r="I1307" s="243" t="s">
        <v>1032</v>
      </c>
      <c r="J1307" s="3">
        <v>67</v>
      </c>
      <c r="L1307" s="3">
        <v>267</v>
      </c>
      <c r="M1307" s="3">
        <v>5.7</v>
      </c>
      <c r="N1307" s="3">
        <v>167</v>
      </c>
      <c r="O1307" s="3">
        <v>3.5</v>
      </c>
      <c r="P1307" s="4" t="s">
        <v>0</v>
      </c>
    </row>
    <row r="1308" spans="1:50" s="71" customFormat="1" ht="15" customHeight="1" x14ac:dyDescent="0.2">
      <c r="A1308" s="70" t="s">
        <v>744</v>
      </c>
      <c r="B1308" s="70" t="s">
        <v>746</v>
      </c>
      <c r="C1308" s="71" t="s">
        <v>881</v>
      </c>
      <c r="D1308" s="71" t="s">
        <v>31</v>
      </c>
      <c r="E1308" s="71" t="s">
        <v>32</v>
      </c>
      <c r="F1308" s="71" t="s">
        <v>783</v>
      </c>
      <c r="H1308" s="71" t="s">
        <v>131</v>
      </c>
      <c r="I1308" s="87"/>
      <c r="J1308" s="72">
        <f>J1307</f>
        <v>67</v>
      </c>
      <c r="K1308" s="72"/>
      <c r="L1308" s="72">
        <f>L1307</f>
        <v>267</v>
      </c>
      <c r="M1308" s="72">
        <f>M1307</f>
        <v>5.7</v>
      </c>
      <c r="N1308" s="72">
        <f>N1307</f>
        <v>167</v>
      </c>
      <c r="O1308" s="72">
        <f>O1307</f>
        <v>3.5</v>
      </c>
      <c r="P1308" s="72"/>
      <c r="Q1308" s="72"/>
      <c r="R1308" s="72"/>
      <c r="S1308" s="72"/>
      <c r="T1308" s="72"/>
      <c r="U1308" s="72"/>
      <c r="V1308" s="72"/>
      <c r="W1308" s="72"/>
      <c r="X1308" s="72"/>
      <c r="Y1308" s="72"/>
      <c r="Z1308" s="72"/>
      <c r="AA1308" s="72"/>
      <c r="AB1308" s="72"/>
      <c r="AC1308" s="73"/>
      <c r="AD1308" s="73"/>
      <c r="AE1308" s="73"/>
      <c r="AF1308" s="73"/>
      <c r="AG1308" s="73"/>
      <c r="AH1308" s="73"/>
      <c r="AI1308" s="73"/>
      <c r="AJ1308" s="73"/>
      <c r="AK1308" s="73"/>
      <c r="AL1308" s="73"/>
      <c r="AM1308" s="73"/>
      <c r="AN1308" s="73"/>
      <c r="AO1308" s="73"/>
      <c r="AP1308" s="73"/>
      <c r="AQ1308" s="73"/>
      <c r="AR1308" s="73"/>
      <c r="AS1308" s="73"/>
      <c r="AT1308" s="73"/>
      <c r="AU1308" s="73"/>
      <c r="AV1308" s="73"/>
      <c r="AW1308" s="73"/>
      <c r="AX1308" s="73"/>
    </row>
    <row r="1309" spans="1:50" ht="15" customHeight="1" x14ac:dyDescent="0.2">
      <c r="A1309" s="24" t="s">
        <v>576</v>
      </c>
      <c r="B1309" s="24" t="s">
        <v>577</v>
      </c>
      <c r="D1309" s="22"/>
      <c r="E1309" s="22"/>
      <c r="H1309" s="2" t="s">
        <v>33</v>
      </c>
      <c r="I1309" s="243" t="s">
        <v>1009</v>
      </c>
      <c r="K1309" s="3">
        <v>1.33</v>
      </c>
      <c r="L1309" s="3">
        <v>40</v>
      </c>
      <c r="M1309" s="3">
        <v>3.86</v>
      </c>
      <c r="P1309" s="4">
        <f t="shared" ref="P1309:P1313" si="429">AN1309</f>
        <v>0</v>
      </c>
      <c r="Q1309" s="3">
        <v>108</v>
      </c>
      <c r="R1309" s="3">
        <v>99</v>
      </c>
      <c r="S1309" s="3">
        <v>4.53</v>
      </c>
      <c r="AN1309" s="23"/>
    </row>
    <row r="1310" spans="1:50" ht="15" customHeight="1" x14ac:dyDescent="0.2">
      <c r="A1310" s="24" t="s">
        <v>576</v>
      </c>
      <c r="B1310" s="24" t="s">
        <v>577</v>
      </c>
      <c r="D1310" s="22"/>
      <c r="E1310" s="22"/>
      <c r="H1310" s="2" t="s">
        <v>33</v>
      </c>
      <c r="I1310" s="243" t="s">
        <v>1009</v>
      </c>
      <c r="K1310" s="3">
        <v>1.58</v>
      </c>
      <c r="L1310" s="3">
        <v>150</v>
      </c>
      <c r="M1310" s="3">
        <v>5.93</v>
      </c>
      <c r="P1310" s="4">
        <f t="shared" si="429"/>
        <v>0</v>
      </c>
      <c r="Q1310" s="3">
        <v>112</v>
      </c>
      <c r="R1310" s="3">
        <v>105</v>
      </c>
      <c r="S1310" s="3">
        <v>6.65</v>
      </c>
      <c r="AN1310" s="23"/>
    </row>
    <row r="1311" spans="1:50" ht="15" customHeight="1" x14ac:dyDescent="0.2">
      <c r="A1311" s="24" t="s">
        <v>576</v>
      </c>
      <c r="B1311" s="24" t="s">
        <v>577</v>
      </c>
      <c r="D1311" s="22"/>
      <c r="E1311" s="22"/>
      <c r="H1311" s="2" t="s">
        <v>33</v>
      </c>
      <c r="I1311" s="243" t="s">
        <v>1009</v>
      </c>
      <c r="K1311" s="3">
        <v>1.92</v>
      </c>
      <c r="L1311" s="3">
        <v>358</v>
      </c>
      <c r="M1311" s="3">
        <v>3.11</v>
      </c>
      <c r="P1311" s="4">
        <f t="shared" si="429"/>
        <v>0</v>
      </c>
      <c r="R1311" s="3">
        <v>172</v>
      </c>
      <c r="S1311" s="3">
        <v>7.57</v>
      </c>
      <c r="AN1311" s="23"/>
    </row>
    <row r="1312" spans="1:50" ht="15" customHeight="1" x14ac:dyDescent="0.2">
      <c r="A1312" s="24" t="s">
        <v>576</v>
      </c>
      <c r="B1312" s="24" t="s">
        <v>577</v>
      </c>
      <c r="D1312" s="22"/>
      <c r="E1312" s="22"/>
      <c r="H1312" s="2" t="s">
        <v>33</v>
      </c>
      <c r="I1312" s="243" t="s">
        <v>1010</v>
      </c>
      <c r="J1312" s="3">
        <v>79.8</v>
      </c>
      <c r="K1312" s="3">
        <v>1.9</v>
      </c>
      <c r="L1312" s="3">
        <v>234</v>
      </c>
      <c r="M1312" s="3">
        <v>3.1</v>
      </c>
      <c r="P1312" s="4">
        <f t="shared" si="429"/>
        <v>0</v>
      </c>
      <c r="R1312" s="3">
        <v>136</v>
      </c>
      <c r="AI1312" s="23"/>
      <c r="AN1312" s="23"/>
    </row>
    <row r="1313" spans="1:50" ht="15" customHeight="1" x14ac:dyDescent="0.2">
      <c r="A1313" s="24" t="s">
        <v>576</v>
      </c>
      <c r="B1313" s="24" t="s">
        <v>577</v>
      </c>
      <c r="D1313" s="22"/>
      <c r="E1313" s="22"/>
      <c r="H1313" s="2" t="s">
        <v>33</v>
      </c>
      <c r="I1313" s="243" t="s">
        <v>1004</v>
      </c>
      <c r="J1313" s="3">
        <v>79.8</v>
      </c>
      <c r="K1313" s="3">
        <v>1.9</v>
      </c>
      <c r="L1313" s="3">
        <v>234</v>
      </c>
      <c r="M1313" s="3">
        <v>0.3</v>
      </c>
      <c r="P1313" s="4">
        <f t="shared" si="429"/>
        <v>0</v>
      </c>
      <c r="R1313" s="3">
        <v>136</v>
      </c>
      <c r="AI1313" s="23"/>
      <c r="AN1313" s="23"/>
    </row>
    <row r="1314" spans="1:50" ht="15" customHeight="1" x14ac:dyDescent="0.2">
      <c r="A1314" s="24" t="s">
        <v>576</v>
      </c>
      <c r="B1314" s="24" t="s">
        <v>577</v>
      </c>
      <c r="D1314" s="22"/>
      <c r="E1314" s="22"/>
      <c r="H1314" s="2" t="s">
        <v>33</v>
      </c>
      <c r="I1314" s="243" t="s">
        <v>1006</v>
      </c>
      <c r="J1314" s="3">
        <v>81</v>
      </c>
      <c r="K1314" s="3" t="s">
        <v>55</v>
      </c>
      <c r="L1314" s="3">
        <v>50.995999999999981</v>
      </c>
      <c r="M1314" s="3">
        <v>2.6979999999999991</v>
      </c>
      <c r="P1314" s="4" t="s">
        <v>0</v>
      </c>
      <c r="R1314" s="3">
        <v>82.991999999999976</v>
      </c>
    </row>
    <row r="1315" spans="1:50" ht="15" customHeight="1" x14ac:dyDescent="0.2">
      <c r="A1315" s="24" t="s">
        <v>578</v>
      </c>
      <c r="B1315" s="24" t="s">
        <v>577</v>
      </c>
      <c r="D1315" s="22"/>
      <c r="E1315" s="22"/>
      <c r="H1315" s="2" t="s">
        <v>33</v>
      </c>
      <c r="I1315" s="243" t="s">
        <v>1019</v>
      </c>
      <c r="L1315" s="3">
        <v>64</v>
      </c>
      <c r="M1315" s="3">
        <v>3.1</v>
      </c>
      <c r="P1315" s="4">
        <f t="shared" ref="P1315" si="430">AN1315</f>
        <v>0</v>
      </c>
      <c r="R1315" s="3">
        <v>136</v>
      </c>
      <c r="AI1315" s="23"/>
      <c r="AN1315" s="23"/>
    </row>
    <row r="1316" spans="1:50" s="71" customFormat="1" ht="15" customHeight="1" x14ac:dyDescent="0.2">
      <c r="A1316" s="70" t="s">
        <v>578</v>
      </c>
      <c r="B1316" s="70" t="s">
        <v>577</v>
      </c>
      <c r="C1316" s="71" t="s">
        <v>579</v>
      </c>
      <c r="D1316" s="71" t="s">
        <v>31</v>
      </c>
      <c r="E1316" s="71" t="s">
        <v>32</v>
      </c>
      <c r="F1316" s="71" t="s">
        <v>783</v>
      </c>
      <c r="H1316" s="71" t="s">
        <v>33</v>
      </c>
      <c r="I1316" s="87"/>
      <c r="J1316" s="72">
        <f t="shared" ref="J1316" si="431">AVERAGE(J1309:J1315)</f>
        <v>80.2</v>
      </c>
      <c r="K1316" s="72">
        <f>AVERAGE(K1309:K1315)</f>
        <v>1.7260000000000002</v>
      </c>
      <c r="L1316" s="72">
        <f>AVERAGE(L1309:L1315)</f>
        <v>161.57085714285716</v>
      </c>
      <c r="M1316" s="72">
        <f>AVERAGE(M1309:M1315)</f>
        <v>3.1568571428571426</v>
      </c>
      <c r="N1316" s="72"/>
      <c r="O1316" s="72"/>
      <c r="P1316" s="72">
        <f>AVERAGE(P1309:P1315)</f>
        <v>0</v>
      </c>
      <c r="Q1316" s="72">
        <f>AVERAGE(Q1309:Q1315)</f>
        <v>110</v>
      </c>
      <c r="R1316" s="72">
        <f>AVERAGE(R1309:R1315)</f>
        <v>123.85599999999999</v>
      </c>
      <c r="S1316" s="72">
        <f>AVERAGE(S1309:S1315)</f>
        <v>6.25</v>
      </c>
      <c r="T1316" s="72"/>
      <c r="U1316" s="72"/>
      <c r="V1316" s="72"/>
      <c r="W1316" s="72"/>
      <c r="X1316" s="72"/>
      <c r="Y1316" s="72"/>
      <c r="Z1316" s="72"/>
      <c r="AA1316" s="72"/>
      <c r="AB1316" s="72"/>
      <c r="AC1316" s="73"/>
      <c r="AD1316" s="73"/>
      <c r="AE1316" s="73"/>
      <c r="AF1316" s="73"/>
      <c r="AG1316" s="73"/>
      <c r="AH1316" s="73"/>
      <c r="AI1316" s="73"/>
      <c r="AJ1316" s="73"/>
      <c r="AK1316" s="73"/>
      <c r="AL1316" s="73"/>
      <c r="AM1316" s="73"/>
      <c r="AN1316" s="73"/>
      <c r="AO1316" s="73"/>
      <c r="AP1316" s="73"/>
      <c r="AQ1316" s="73"/>
      <c r="AR1316" s="73"/>
      <c r="AS1316" s="73"/>
      <c r="AT1316" s="73"/>
      <c r="AU1316" s="73"/>
      <c r="AV1316" s="73"/>
      <c r="AW1316" s="73"/>
      <c r="AX1316" s="73"/>
    </row>
    <row r="1317" spans="1:50" ht="51" x14ac:dyDescent="0.2">
      <c r="A1317" s="24" t="s">
        <v>580</v>
      </c>
      <c r="B1317" s="24" t="s">
        <v>568</v>
      </c>
      <c r="D1317" s="22"/>
      <c r="E1317" s="22"/>
      <c r="H1317" s="2" t="s">
        <v>28</v>
      </c>
      <c r="I1317" s="243" t="s">
        <v>1028</v>
      </c>
      <c r="J1317" s="3">
        <v>90.8</v>
      </c>
      <c r="K1317" s="3">
        <v>1.7</v>
      </c>
      <c r="L1317" s="3">
        <v>12</v>
      </c>
      <c r="M1317" s="3">
        <v>0.6</v>
      </c>
      <c r="O1317" s="3">
        <v>0.74</v>
      </c>
      <c r="P1317" s="4" t="s">
        <v>0</v>
      </c>
      <c r="Q1317" s="3">
        <v>93</v>
      </c>
      <c r="R1317" s="3">
        <v>20</v>
      </c>
    </row>
    <row r="1318" spans="1:50" ht="85" x14ac:dyDescent="0.2">
      <c r="A1318" s="24" t="s">
        <v>580</v>
      </c>
      <c r="B1318" s="24" t="s">
        <v>568</v>
      </c>
      <c r="D1318" s="22"/>
      <c r="E1318" s="22"/>
      <c r="H1318" s="2" t="s">
        <v>28</v>
      </c>
      <c r="I1318" s="243" t="s">
        <v>1026</v>
      </c>
      <c r="J1318" s="3">
        <v>87.1</v>
      </c>
      <c r="K1318" s="3">
        <v>1.9</v>
      </c>
      <c r="L1318" s="3">
        <v>16</v>
      </c>
      <c r="M1318" s="3">
        <v>1.7</v>
      </c>
      <c r="P1318" s="4">
        <f>3/1000</f>
        <v>3.0000000000000001E-3</v>
      </c>
      <c r="R1318" s="3">
        <v>12</v>
      </c>
    </row>
    <row r="1319" spans="1:50" ht="85" x14ac:dyDescent="0.2">
      <c r="A1319" s="24" t="s">
        <v>580</v>
      </c>
      <c r="B1319" s="24" t="s">
        <v>568</v>
      </c>
      <c r="D1319" s="22"/>
      <c r="E1319" s="22"/>
      <c r="H1319" s="2" t="s">
        <v>28</v>
      </c>
      <c r="I1319" s="243" t="s">
        <v>1026</v>
      </c>
      <c r="J1319" s="3">
        <v>90.05</v>
      </c>
      <c r="K1319" s="3">
        <v>1.9</v>
      </c>
      <c r="L1319" s="3">
        <v>27</v>
      </c>
      <c r="M1319" s="3">
        <v>1</v>
      </c>
      <c r="N1319" s="3">
        <v>14</v>
      </c>
      <c r="O1319" s="3">
        <v>1.62</v>
      </c>
      <c r="P1319" s="4">
        <v>3.0000000000000001E-3</v>
      </c>
      <c r="R1319" s="3">
        <v>8</v>
      </c>
    </row>
    <row r="1320" spans="1:50" ht="15" customHeight="1" x14ac:dyDescent="0.2">
      <c r="A1320" s="24" t="s">
        <v>580</v>
      </c>
      <c r="B1320" s="24" t="s">
        <v>568</v>
      </c>
      <c r="D1320" s="22"/>
      <c r="E1320" s="22"/>
      <c r="H1320" s="2" t="s">
        <v>28</v>
      </c>
      <c r="I1320" s="243" t="s">
        <v>1005</v>
      </c>
      <c r="J1320" s="3">
        <v>94</v>
      </c>
      <c r="K1320" s="3">
        <v>1.7</v>
      </c>
      <c r="L1320" s="3">
        <v>17</v>
      </c>
      <c r="M1320" s="3">
        <v>2.5</v>
      </c>
      <c r="P1320" s="4">
        <f t="shared" ref="P1320:P1321" si="432">AN1320</f>
        <v>0</v>
      </c>
      <c r="Q1320" s="3">
        <v>93</v>
      </c>
      <c r="R1320" s="3">
        <v>7.7</v>
      </c>
      <c r="AI1320" s="23"/>
      <c r="AN1320" s="23"/>
    </row>
    <row r="1321" spans="1:50" ht="15" customHeight="1" x14ac:dyDescent="0.2">
      <c r="A1321" s="55" t="s">
        <v>580</v>
      </c>
      <c r="B1321" s="55" t="s">
        <v>568</v>
      </c>
      <c r="C1321" s="56" t="s">
        <v>0</v>
      </c>
      <c r="D1321" s="22"/>
      <c r="E1321" s="22"/>
      <c r="H1321" s="2" t="s">
        <v>28</v>
      </c>
      <c r="I1321" s="249" t="s">
        <v>1007</v>
      </c>
      <c r="J1321" s="58">
        <v>92.24</v>
      </c>
      <c r="K1321" s="58">
        <v>1.7</v>
      </c>
      <c r="L1321" s="58">
        <v>17</v>
      </c>
      <c r="M1321" s="58">
        <v>0.34</v>
      </c>
      <c r="N1321" s="58">
        <v>12</v>
      </c>
      <c r="O1321" s="58">
        <v>0.74</v>
      </c>
      <c r="P1321" s="4">
        <f t="shared" si="432"/>
        <v>0</v>
      </c>
      <c r="Q1321" s="58">
        <v>93</v>
      </c>
      <c r="R1321" s="58">
        <v>7.7</v>
      </c>
      <c r="S1321" s="58">
        <v>0.12</v>
      </c>
      <c r="T1321" s="58"/>
      <c r="U1321" s="58"/>
      <c r="V1321" s="58"/>
      <c r="W1321" s="58"/>
      <c r="X1321" s="58"/>
      <c r="Y1321" s="58"/>
      <c r="Z1321" s="58"/>
      <c r="AA1321" s="58"/>
      <c r="AB1321" s="58"/>
      <c r="AI1321" s="23"/>
      <c r="AN1321" s="23"/>
    </row>
    <row r="1322" spans="1:50" ht="15" customHeight="1" x14ac:dyDescent="0.2">
      <c r="A1322" s="55" t="s">
        <v>580</v>
      </c>
      <c r="B1322" s="55" t="s">
        <v>568</v>
      </c>
      <c r="C1322" s="56" t="s">
        <v>0</v>
      </c>
      <c r="D1322" s="22"/>
      <c r="E1322" s="22"/>
      <c r="H1322" s="2" t="s">
        <v>28</v>
      </c>
      <c r="I1322" s="249" t="s">
        <v>1016</v>
      </c>
      <c r="J1322" s="58">
        <v>93.2</v>
      </c>
      <c r="K1322" s="58"/>
      <c r="L1322" s="58">
        <v>14</v>
      </c>
      <c r="M1322" s="58">
        <v>0.4</v>
      </c>
      <c r="N1322" s="58"/>
      <c r="O1322" s="58"/>
      <c r="P1322" s="4" t="s">
        <v>0</v>
      </c>
      <c r="Q1322" s="58"/>
      <c r="R1322" s="58">
        <v>17</v>
      </c>
      <c r="S1322" s="58"/>
      <c r="T1322" s="58"/>
      <c r="U1322" s="58"/>
      <c r="V1322" s="58"/>
      <c r="W1322" s="58"/>
      <c r="X1322" s="58"/>
      <c r="Y1322" s="58"/>
      <c r="Z1322" s="58"/>
      <c r="AA1322" s="58"/>
      <c r="AB1322" s="58"/>
    </row>
    <row r="1323" spans="1:50" ht="15" customHeight="1" x14ac:dyDescent="0.2">
      <c r="A1323" s="24" t="s">
        <v>580</v>
      </c>
      <c r="B1323" s="24" t="s">
        <v>568</v>
      </c>
      <c r="D1323" s="22"/>
      <c r="E1323" s="22"/>
      <c r="H1323" s="2" t="s">
        <v>28</v>
      </c>
      <c r="I1323" s="243" t="s">
        <v>1019</v>
      </c>
      <c r="L1323" s="3">
        <v>25</v>
      </c>
      <c r="M1323" s="3">
        <v>1</v>
      </c>
      <c r="P1323" s="4">
        <f t="shared" ref="P1323:P1326" si="433">AN1323</f>
        <v>0</v>
      </c>
      <c r="R1323" s="3">
        <v>18</v>
      </c>
      <c r="AI1323" s="23"/>
      <c r="AN1323" s="23"/>
    </row>
    <row r="1324" spans="1:50" ht="15" customHeight="1" x14ac:dyDescent="0.2">
      <c r="A1324" s="24" t="s">
        <v>580</v>
      </c>
      <c r="B1324" s="24" t="s">
        <v>568</v>
      </c>
      <c r="D1324" s="22"/>
      <c r="E1324" s="22"/>
      <c r="H1324" s="2" t="s">
        <v>28</v>
      </c>
      <c r="I1324" s="243" t="s">
        <v>1006</v>
      </c>
      <c r="J1324" s="3">
        <v>94</v>
      </c>
      <c r="K1324" s="3">
        <v>1.2000000000000011</v>
      </c>
      <c r="L1324" s="3">
        <v>18.000000000000014</v>
      </c>
      <c r="M1324" s="3">
        <v>0.9000000000000008</v>
      </c>
      <c r="P1324" s="4">
        <f t="shared" si="433"/>
        <v>0</v>
      </c>
      <c r="R1324" s="3">
        <v>10.002000000000008</v>
      </c>
      <c r="AE1324" s="23"/>
      <c r="AN1324" s="23"/>
    </row>
    <row r="1325" spans="1:50" ht="15" customHeight="1" x14ac:dyDescent="0.2">
      <c r="A1325" s="24" t="s">
        <v>580</v>
      </c>
      <c r="B1325" s="24" t="s">
        <v>568</v>
      </c>
      <c r="D1325" s="22"/>
      <c r="E1325" s="22"/>
      <c r="H1325" s="2" t="s">
        <v>28</v>
      </c>
      <c r="I1325" s="243" t="s">
        <v>1006</v>
      </c>
      <c r="J1325" s="3">
        <v>91</v>
      </c>
      <c r="K1325" s="3">
        <v>0.59799999999999986</v>
      </c>
      <c r="L1325" s="3">
        <v>11.996799999999997</v>
      </c>
      <c r="M1325" s="3">
        <v>0.59799999999999986</v>
      </c>
      <c r="P1325" s="4">
        <f t="shared" si="433"/>
        <v>0</v>
      </c>
      <c r="R1325" s="3">
        <v>20.000799999999995</v>
      </c>
      <c r="AE1325" s="23"/>
      <c r="AN1325" s="23"/>
    </row>
    <row r="1326" spans="1:50" ht="15" customHeight="1" x14ac:dyDescent="0.2">
      <c r="A1326" s="24" t="s">
        <v>580</v>
      </c>
      <c r="B1326" s="24" t="s">
        <v>568</v>
      </c>
      <c r="D1326" s="22"/>
      <c r="E1326" s="22"/>
      <c r="H1326" s="2" t="s">
        <v>28</v>
      </c>
      <c r="I1326" s="243" t="s">
        <v>1006</v>
      </c>
      <c r="J1326" s="3">
        <v>92</v>
      </c>
      <c r="K1326" s="3">
        <v>0.69699999999999973</v>
      </c>
      <c r="L1326" s="3">
        <v>12.996999999999995</v>
      </c>
      <c r="M1326" s="3">
        <v>0.50019999999999976</v>
      </c>
      <c r="P1326" s="4">
        <f t="shared" si="433"/>
        <v>0</v>
      </c>
      <c r="R1326" s="3">
        <v>18.999399999999991</v>
      </c>
      <c r="AE1326" s="23"/>
      <c r="AN1326" s="23"/>
    </row>
    <row r="1327" spans="1:50" ht="15" customHeight="1" x14ac:dyDescent="0.2">
      <c r="A1327" s="24" t="s">
        <v>580</v>
      </c>
      <c r="B1327" s="24" t="s">
        <v>568</v>
      </c>
      <c r="D1327" s="22"/>
      <c r="E1327" s="22"/>
      <c r="H1327" s="2" t="s">
        <v>28</v>
      </c>
      <c r="I1327" s="243" t="s">
        <v>1006</v>
      </c>
      <c r="J1327" s="3">
        <v>94</v>
      </c>
      <c r="K1327" s="3">
        <v>0.59850000000000048</v>
      </c>
      <c r="L1327" s="3">
        <v>16.997400000000013</v>
      </c>
      <c r="M1327" s="3">
        <v>0.39900000000000035</v>
      </c>
      <c r="P1327" s="4" t="s">
        <v>0</v>
      </c>
      <c r="R1327" s="3">
        <v>13.999200000000013</v>
      </c>
    </row>
    <row r="1328" spans="1:50" ht="15" customHeight="1" x14ac:dyDescent="0.2">
      <c r="A1328" s="24" t="s">
        <v>580</v>
      </c>
      <c r="B1328" s="24" t="s">
        <v>568</v>
      </c>
      <c r="D1328" s="22"/>
      <c r="E1328" s="22"/>
      <c r="H1328" s="2" t="s">
        <v>28</v>
      </c>
      <c r="I1328" s="243" t="s">
        <v>1009</v>
      </c>
      <c r="K1328" s="3">
        <v>0.38</v>
      </c>
      <c r="L1328" s="3">
        <v>16</v>
      </c>
      <c r="M1328" s="3">
        <v>0.31</v>
      </c>
      <c r="P1328" s="4" t="s">
        <v>0</v>
      </c>
      <c r="R1328" s="3">
        <v>5</v>
      </c>
      <c r="S1328" s="3">
        <v>0.01</v>
      </c>
    </row>
    <row r="1329" spans="1:50" ht="15" customHeight="1" x14ac:dyDescent="0.2">
      <c r="A1329" s="34" t="s">
        <v>581</v>
      </c>
      <c r="B1329" s="34" t="s">
        <v>568</v>
      </c>
      <c r="D1329" s="22"/>
      <c r="E1329" s="22"/>
      <c r="H1329" s="2" t="s">
        <v>28</v>
      </c>
      <c r="I1329" s="243" t="s">
        <v>1010</v>
      </c>
      <c r="J1329" s="3">
        <v>91.7</v>
      </c>
      <c r="K1329" s="3">
        <v>0.7</v>
      </c>
      <c r="L1329" s="3">
        <v>19</v>
      </c>
      <c r="M1329" s="36">
        <v>0.5</v>
      </c>
      <c r="N1329" s="3">
        <v>14</v>
      </c>
      <c r="P1329" s="4">
        <f t="shared" ref="P1329" si="434">AN1329</f>
        <v>0</v>
      </c>
      <c r="R1329" s="3">
        <v>20</v>
      </c>
      <c r="W1329" s="36"/>
      <c r="AI1329" s="23"/>
      <c r="AN1329" s="23"/>
    </row>
    <row r="1330" spans="1:50" s="71" customFormat="1" ht="15" customHeight="1" x14ac:dyDescent="0.2">
      <c r="A1330" s="82" t="s">
        <v>581</v>
      </c>
      <c r="B1330" s="82" t="s">
        <v>568</v>
      </c>
      <c r="C1330" s="71" t="s">
        <v>582</v>
      </c>
      <c r="D1330" s="71" t="s">
        <v>31</v>
      </c>
      <c r="E1330" s="71" t="s">
        <v>42</v>
      </c>
      <c r="F1330" s="71" t="s">
        <v>784</v>
      </c>
      <c r="H1330" s="71" t="s">
        <v>28</v>
      </c>
      <c r="I1330" s="87"/>
      <c r="J1330" s="72">
        <f t="shared" ref="J1330" si="435">AVERAGE(J1317:J1329)</f>
        <v>91.826363636363638</v>
      </c>
      <c r="K1330" s="72">
        <f t="shared" ref="K1330:S1330" si="436">AVERAGE(K1317:K1329)</f>
        <v>1.1885000000000001</v>
      </c>
      <c r="L1330" s="72">
        <f t="shared" si="436"/>
        <v>17.15316923076923</v>
      </c>
      <c r="M1330" s="72">
        <f t="shared" si="436"/>
        <v>0.82670769230769237</v>
      </c>
      <c r="N1330" s="72">
        <f t="shared" si="436"/>
        <v>13.333333333333334</v>
      </c>
      <c r="O1330" s="72">
        <f t="shared" si="436"/>
        <v>1.0333333333333334</v>
      </c>
      <c r="P1330" s="72">
        <f t="shared" si="436"/>
        <v>6.6666666666666664E-4</v>
      </c>
      <c r="Q1330" s="72">
        <f t="shared" si="436"/>
        <v>93</v>
      </c>
      <c r="R1330" s="72">
        <f t="shared" si="436"/>
        <v>13.723184615384614</v>
      </c>
      <c r="S1330" s="72">
        <f t="shared" si="436"/>
        <v>6.5000000000000002E-2</v>
      </c>
      <c r="T1330" s="72"/>
      <c r="U1330" s="72"/>
      <c r="V1330" s="72"/>
      <c r="W1330" s="72"/>
      <c r="X1330" s="72"/>
      <c r="Y1330" s="72"/>
      <c r="Z1330" s="72"/>
      <c r="AA1330" s="72"/>
      <c r="AB1330" s="72"/>
      <c r="AC1330" s="73"/>
      <c r="AD1330" s="73"/>
      <c r="AE1330" s="73"/>
      <c r="AF1330" s="73"/>
      <c r="AG1330" s="73"/>
      <c r="AH1330" s="73"/>
      <c r="AI1330" s="73"/>
      <c r="AJ1330" s="73"/>
      <c r="AK1330" s="73"/>
      <c r="AL1330" s="73"/>
      <c r="AM1330" s="73"/>
      <c r="AN1330" s="73"/>
      <c r="AO1330" s="73"/>
      <c r="AP1330" s="73"/>
      <c r="AQ1330" s="73"/>
      <c r="AR1330" s="73"/>
      <c r="AS1330" s="73"/>
      <c r="AT1330" s="73"/>
      <c r="AU1330" s="73"/>
      <c r="AV1330" s="73"/>
      <c r="AW1330" s="73"/>
      <c r="AX1330" s="73"/>
    </row>
    <row r="1331" spans="1:50" ht="51" x14ac:dyDescent="0.2">
      <c r="A1331" s="24" t="s">
        <v>580</v>
      </c>
      <c r="B1331" s="24" t="s">
        <v>568</v>
      </c>
      <c r="D1331" s="22"/>
      <c r="E1331" s="22"/>
      <c r="H1331" s="2" t="s">
        <v>33</v>
      </c>
      <c r="I1331" s="243" t="s">
        <v>1028</v>
      </c>
      <c r="J1331" s="3">
        <v>89.7</v>
      </c>
      <c r="L1331" s="3">
        <v>58</v>
      </c>
      <c r="M1331" s="3">
        <v>2.5</v>
      </c>
      <c r="P1331" s="4" t="s">
        <v>0</v>
      </c>
      <c r="R1331" s="3">
        <v>16</v>
      </c>
    </row>
    <row r="1332" spans="1:50" ht="15" customHeight="1" x14ac:dyDescent="0.2">
      <c r="A1332" s="24" t="s">
        <v>580</v>
      </c>
      <c r="B1332" s="24" t="s">
        <v>568</v>
      </c>
      <c r="D1332" s="22"/>
      <c r="E1332" s="22"/>
      <c r="H1332" s="2" t="s">
        <v>33</v>
      </c>
      <c r="I1332" s="243" t="s">
        <v>1006</v>
      </c>
      <c r="J1332" s="3">
        <v>88</v>
      </c>
      <c r="K1332" s="3">
        <v>4.6980000000000004</v>
      </c>
      <c r="L1332" s="3" t="s">
        <v>55</v>
      </c>
      <c r="M1332" s="3" t="s">
        <v>55</v>
      </c>
      <c r="P1332" s="4">
        <f t="shared" ref="P1332:P1336" si="437">AN1332</f>
        <v>0</v>
      </c>
      <c r="R1332" s="3" t="s">
        <v>55</v>
      </c>
      <c r="AE1332" s="23"/>
      <c r="AN1332" s="23"/>
    </row>
    <row r="1333" spans="1:50" ht="15" customHeight="1" x14ac:dyDescent="0.2">
      <c r="A1333" s="24" t="s">
        <v>580</v>
      </c>
      <c r="B1333" s="24" t="s">
        <v>568</v>
      </c>
      <c r="D1333" s="22"/>
      <c r="E1333" s="22"/>
      <c r="H1333" s="2" t="s">
        <v>33</v>
      </c>
      <c r="I1333" s="243" t="s">
        <v>1006</v>
      </c>
      <c r="J1333" s="3">
        <v>90</v>
      </c>
      <c r="K1333" s="3">
        <v>1.2050999999999998</v>
      </c>
      <c r="L1333" s="3">
        <v>57.999299999999991</v>
      </c>
      <c r="M1333" s="3">
        <v>2.5028999999999995</v>
      </c>
      <c r="P1333" s="4">
        <f t="shared" si="437"/>
        <v>0</v>
      </c>
      <c r="R1333" s="3">
        <v>15.995899999999999</v>
      </c>
      <c r="AE1333" s="23"/>
      <c r="AN1333" s="23"/>
    </row>
    <row r="1334" spans="1:50" ht="15" customHeight="1" x14ac:dyDescent="0.2">
      <c r="A1334" s="24" t="s">
        <v>580</v>
      </c>
      <c r="B1334" s="24" t="s">
        <v>568</v>
      </c>
      <c r="D1334" s="22"/>
      <c r="E1334" s="22"/>
      <c r="H1334" s="2" t="s">
        <v>33</v>
      </c>
      <c r="I1334" s="243" t="s">
        <v>1006</v>
      </c>
      <c r="J1334" s="3">
        <v>91</v>
      </c>
      <c r="K1334" s="3">
        <v>0.80079999999999962</v>
      </c>
      <c r="L1334" s="3">
        <v>61.995999999999974</v>
      </c>
      <c r="M1334" s="3">
        <v>1.3991999999999996</v>
      </c>
      <c r="P1334" s="4">
        <f t="shared" si="437"/>
        <v>0</v>
      </c>
      <c r="R1334" s="3">
        <v>23.997599999999991</v>
      </c>
      <c r="AE1334" s="23"/>
      <c r="AN1334" s="23"/>
    </row>
    <row r="1335" spans="1:50" ht="15" customHeight="1" x14ac:dyDescent="0.2">
      <c r="A1335" s="24" t="s">
        <v>580</v>
      </c>
      <c r="B1335" s="24" t="s">
        <v>568</v>
      </c>
      <c r="D1335" s="22"/>
      <c r="E1335" s="22"/>
      <c r="H1335" s="2" t="s">
        <v>33</v>
      </c>
      <c r="I1335" s="243" t="s">
        <v>1009</v>
      </c>
      <c r="K1335" s="3">
        <v>0.81</v>
      </c>
      <c r="L1335" s="3">
        <v>37</v>
      </c>
      <c r="M1335" s="3">
        <v>1.06</v>
      </c>
      <c r="O1335" s="3">
        <v>0.32</v>
      </c>
      <c r="P1335" s="4">
        <f t="shared" si="437"/>
        <v>0</v>
      </c>
      <c r="R1335" s="3">
        <v>5</v>
      </c>
      <c r="AN1335" s="23"/>
    </row>
    <row r="1336" spans="1:50" ht="15" customHeight="1" x14ac:dyDescent="0.2">
      <c r="A1336" s="24" t="s">
        <v>580</v>
      </c>
      <c r="B1336" s="24" t="s">
        <v>568</v>
      </c>
      <c r="D1336" s="22"/>
      <c r="E1336" s="22"/>
      <c r="H1336" s="2" t="s">
        <v>33</v>
      </c>
      <c r="I1336" s="243" t="s">
        <v>1005</v>
      </c>
      <c r="J1336" s="3">
        <v>90</v>
      </c>
      <c r="K1336" s="3">
        <v>1.2</v>
      </c>
      <c r="L1336" s="3">
        <v>58</v>
      </c>
      <c r="M1336" s="3">
        <v>0.8</v>
      </c>
      <c r="P1336" s="4">
        <f t="shared" si="437"/>
        <v>0</v>
      </c>
      <c r="R1336" s="3">
        <v>16</v>
      </c>
      <c r="AE1336" s="23"/>
      <c r="AN1336" s="23"/>
    </row>
    <row r="1337" spans="1:50" ht="15" customHeight="1" x14ac:dyDescent="0.2">
      <c r="A1337" s="24" t="s">
        <v>581</v>
      </c>
      <c r="B1337" s="24" t="s">
        <v>568</v>
      </c>
      <c r="D1337" s="22"/>
      <c r="E1337" s="22"/>
      <c r="H1337" s="2" t="s">
        <v>33</v>
      </c>
      <c r="I1337" s="243" t="s">
        <v>1010</v>
      </c>
      <c r="J1337" s="3">
        <v>89.1</v>
      </c>
      <c r="K1337" s="3">
        <v>3</v>
      </c>
      <c r="L1337" s="3">
        <v>58</v>
      </c>
      <c r="P1337" s="4" t="s">
        <v>0</v>
      </c>
      <c r="R1337" s="3">
        <v>16</v>
      </c>
    </row>
    <row r="1338" spans="1:50" s="71" customFormat="1" ht="15" customHeight="1" x14ac:dyDescent="0.2">
      <c r="A1338" s="70" t="s">
        <v>581</v>
      </c>
      <c r="B1338" s="70" t="s">
        <v>568</v>
      </c>
      <c r="C1338" s="71" t="s">
        <v>582</v>
      </c>
      <c r="D1338" s="71" t="s">
        <v>31</v>
      </c>
      <c r="E1338" s="71" t="s">
        <v>42</v>
      </c>
      <c r="F1338" s="71" t="s">
        <v>784</v>
      </c>
      <c r="H1338" s="71" t="s">
        <v>33</v>
      </c>
      <c r="I1338" s="87"/>
      <c r="J1338" s="72">
        <f t="shared" ref="J1338" si="438">AVERAGE(J1332:J1337)</f>
        <v>89.62</v>
      </c>
      <c r="K1338" s="72">
        <f>AVERAGE(K1331:K1337)</f>
        <v>1.9523166666666665</v>
      </c>
      <c r="L1338" s="72">
        <f>AVERAGE(L1331:L1337)</f>
        <v>55.165883333333319</v>
      </c>
      <c r="M1338" s="72">
        <f>AVERAGE(M1331:M1337)</f>
        <v>1.65242</v>
      </c>
      <c r="N1338" s="72"/>
      <c r="O1338" s="72">
        <f>AVERAGE(O1331:O1337)</f>
        <v>0.32</v>
      </c>
      <c r="P1338" s="72">
        <f>AVERAGE(P1331:P1337)</f>
        <v>0</v>
      </c>
      <c r="Q1338" s="72"/>
      <c r="R1338" s="72">
        <f>AVERAGE(R1331:R1337)</f>
        <v>15.498916666666664</v>
      </c>
      <c r="S1338" s="72"/>
      <c r="T1338" s="72"/>
      <c r="U1338" s="72"/>
      <c r="V1338" s="72"/>
      <c r="W1338" s="72"/>
      <c r="X1338" s="72"/>
      <c r="Y1338" s="72"/>
      <c r="Z1338" s="72"/>
      <c r="AA1338" s="72"/>
      <c r="AB1338" s="72"/>
      <c r="AC1338" s="73"/>
      <c r="AD1338" s="73"/>
      <c r="AE1338" s="73"/>
      <c r="AF1338" s="73"/>
      <c r="AG1338" s="73"/>
      <c r="AH1338" s="73"/>
      <c r="AI1338" s="73"/>
      <c r="AJ1338" s="73"/>
      <c r="AK1338" s="73"/>
      <c r="AL1338" s="73"/>
      <c r="AM1338" s="73"/>
      <c r="AN1338" s="73"/>
      <c r="AO1338" s="73"/>
      <c r="AP1338" s="73"/>
      <c r="AQ1338" s="73"/>
      <c r="AR1338" s="73"/>
      <c r="AS1338" s="73"/>
      <c r="AT1338" s="73"/>
      <c r="AU1338" s="73"/>
      <c r="AV1338" s="73"/>
      <c r="AW1338" s="73"/>
      <c r="AX1338" s="73"/>
    </row>
    <row r="1339" spans="1:50" s="22" customFormat="1" ht="15" customHeight="1" x14ac:dyDescent="0.2">
      <c r="A1339" s="25" t="s">
        <v>583</v>
      </c>
      <c r="B1339" s="25" t="s">
        <v>584</v>
      </c>
      <c r="C1339" s="22" t="s">
        <v>0</v>
      </c>
      <c r="H1339" s="22" t="s">
        <v>33</v>
      </c>
      <c r="I1339" s="65" t="s">
        <v>1023</v>
      </c>
      <c r="J1339" s="4">
        <v>89</v>
      </c>
      <c r="K1339" s="4">
        <v>0.7</v>
      </c>
      <c r="L1339" s="4">
        <v>132</v>
      </c>
      <c r="M1339" s="4">
        <v>0.6</v>
      </c>
      <c r="N1339" s="4"/>
      <c r="O1339" s="4"/>
      <c r="P1339" s="4">
        <f t="shared" ref="P1339" si="439">AN1339</f>
        <v>0</v>
      </c>
      <c r="Q1339" s="4"/>
      <c r="R1339" s="4">
        <v>64</v>
      </c>
      <c r="S1339" s="4"/>
      <c r="T1339" s="4"/>
      <c r="U1339" s="4"/>
      <c r="V1339" s="4"/>
      <c r="W1339" s="4"/>
      <c r="X1339" s="4"/>
      <c r="Y1339" s="4"/>
      <c r="Z1339" s="4"/>
      <c r="AA1339" s="4"/>
      <c r="AB1339" s="4"/>
      <c r="AC1339" s="23"/>
      <c r="AD1339" s="23"/>
      <c r="AE1339" s="23"/>
      <c r="AF1339" s="23"/>
      <c r="AG1339" s="23"/>
      <c r="AH1339" s="23"/>
      <c r="AI1339" s="23"/>
      <c r="AJ1339" s="23"/>
      <c r="AK1339" s="5"/>
      <c r="AL1339" s="23"/>
      <c r="AM1339" s="23"/>
      <c r="AN1339" s="23"/>
      <c r="AO1339" s="23"/>
      <c r="AP1339" s="23"/>
      <c r="AQ1339" s="23"/>
      <c r="AR1339" s="23"/>
      <c r="AS1339" s="23"/>
      <c r="AT1339" s="23"/>
      <c r="AU1339" s="23"/>
      <c r="AV1339" s="23"/>
      <c r="AW1339" s="23"/>
      <c r="AX1339" s="23"/>
    </row>
    <row r="1340" spans="1:50" s="71" customFormat="1" ht="15" customHeight="1" x14ac:dyDescent="0.2">
      <c r="A1340" s="77" t="s">
        <v>583</v>
      </c>
      <c r="B1340" s="77" t="s">
        <v>584</v>
      </c>
      <c r="C1340" s="71" t="s">
        <v>585</v>
      </c>
      <c r="D1340" s="71" t="s">
        <v>31</v>
      </c>
      <c r="E1340" s="71" t="s">
        <v>46</v>
      </c>
      <c r="F1340" s="78" t="s">
        <v>782</v>
      </c>
      <c r="H1340" s="71" t="s">
        <v>33</v>
      </c>
      <c r="I1340" s="87"/>
      <c r="J1340" s="72">
        <f t="shared" ref="J1340" si="440">J1339</f>
        <v>89</v>
      </c>
      <c r="K1340" s="72">
        <f>K1339</f>
        <v>0.7</v>
      </c>
      <c r="L1340" s="72">
        <f>L1339</f>
        <v>132</v>
      </c>
      <c r="M1340" s="72">
        <f>M1339</f>
        <v>0.6</v>
      </c>
      <c r="N1340" s="72"/>
      <c r="O1340" s="72"/>
      <c r="P1340" s="72">
        <f>P1339</f>
        <v>0</v>
      </c>
      <c r="Q1340" s="72"/>
      <c r="R1340" s="72">
        <f>R1339</f>
        <v>64</v>
      </c>
      <c r="S1340" s="72"/>
      <c r="T1340" s="72"/>
      <c r="U1340" s="72"/>
      <c r="V1340" s="72"/>
      <c r="W1340" s="72"/>
      <c r="X1340" s="72"/>
      <c r="Y1340" s="72"/>
      <c r="Z1340" s="72"/>
      <c r="AA1340" s="72"/>
      <c r="AB1340" s="72"/>
      <c r="AC1340" s="73"/>
      <c r="AD1340" s="73"/>
      <c r="AE1340" s="73"/>
      <c r="AF1340" s="73"/>
      <c r="AG1340" s="73"/>
      <c r="AH1340" s="73"/>
      <c r="AI1340" s="73"/>
      <c r="AJ1340" s="73"/>
      <c r="AK1340" s="73"/>
      <c r="AL1340" s="73"/>
      <c r="AM1340" s="73"/>
      <c r="AN1340" s="73"/>
      <c r="AO1340" s="73"/>
      <c r="AP1340" s="73"/>
      <c r="AQ1340" s="73"/>
      <c r="AR1340" s="73"/>
      <c r="AS1340" s="73"/>
      <c r="AT1340" s="73"/>
      <c r="AU1340" s="73"/>
      <c r="AV1340" s="73"/>
      <c r="AW1340" s="73"/>
      <c r="AX1340" s="73"/>
    </row>
    <row r="1341" spans="1:50" ht="51" x14ac:dyDescent="0.2">
      <c r="A1341" s="24" t="s">
        <v>586</v>
      </c>
      <c r="B1341" s="24" t="s">
        <v>587</v>
      </c>
      <c r="D1341" s="22"/>
      <c r="E1341" s="22"/>
      <c r="H1341" s="2" t="s">
        <v>33</v>
      </c>
      <c r="I1341" s="243" t="s">
        <v>1014</v>
      </c>
      <c r="J1341" s="3">
        <v>76.900000000000006</v>
      </c>
      <c r="K1341" s="3">
        <v>2.6</v>
      </c>
      <c r="L1341" s="3">
        <v>110</v>
      </c>
      <c r="M1341" s="3">
        <v>6.4</v>
      </c>
      <c r="P1341" s="4" t="s">
        <v>0</v>
      </c>
      <c r="R1341" s="3">
        <v>128</v>
      </c>
    </row>
    <row r="1342" spans="1:50" s="22" customFormat="1" ht="15" customHeight="1" x14ac:dyDescent="0.2">
      <c r="A1342" s="21" t="s">
        <v>586</v>
      </c>
      <c r="B1342" s="21" t="s">
        <v>587</v>
      </c>
      <c r="C1342" s="22" t="s">
        <v>0</v>
      </c>
      <c r="H1342" s="22" t="s">
        <v>33</v>
      </c>
      <c r="I1342" s="65" t="s">
        <v>1005</v>
      </c>
      <c r="J1342" s="4">
        <v>79.7</v>
      </c>
      <c r="K1342" s="4">
        <v>2.2999999999999998</v>
      </c>
      <c r="L1342" s="4">
        <v>589</v>
      </c>
      <c r="M1342" s="4">
        <v>5.9</v>
      </c>
      <c r="N1342" s="4">
        <v>40</v>
      </c>
      <c r="O1342" s="4"/>
      <c r="P1342" s="4">
        <f t="shared" ref="P1342" si="441">AN1342</f>
        <v>0</v>
      </c>
      <c r="Q1342" s="4"/>
      <c r="R1342" s="4">
        <v>113</v>
      </c>
      <c r="S1342" s="4"/>
      <c r="T1342" s="4"/>
      <c r="U1342" s="4"/>
      <c r="V1342" s="4"/>
      <c r="W1342" s="4"/>
      <c r="X1342" s="4"/>
      <c r="Y1342" s="4"/>
      <c r="Z1342" s="4"/>
      <c r="AA1342" s="4"/>
      <c r="AB1342" s="4"/>
      <c r="AC1342" s="23"/>
      <c r="AD1342" s="23"/>
      <c r="AE1342" s="23"/>
      <c r="AF1342" s="23"/>
      <c r="AG1342" s="5"/>
      <c r="AH1342" s="23"/>
      <c r="AI1342" s="23"/>
      <c r="AJ1342" s="23"/>
      <c r="AK1342" s="23"/>
      <c r="AL1342" s="23"/>
      <c r="AM1342" s="23"/>
      <c r="AN1342" s="23"/>
      <c r="AO1342" s="23"/>
      <c r="AP1342" s="23"/>
      <c r="AQ1342" s="23"/>
      <c r="AR1342" s="23"/>
      <c r="AS1342" s="23"/>
      <c r="AT1342" s="23"/>
      <c r="AU1342" s="23"/>
      <c r="AV1342" s="23"/>
      <c r="AW1342" s="23"/>
      <c r="AX1342" s="23"/>
    </row>
    <row r="1343" spans="1:50" s="71" customFormat="1" ht="15" customHeight="1" x14ac:dyDescent="0.2">
      <c r="A1343" s="70" t="s">
        <v>586</v>
      </c>
      <c r="B1343" s="70" t="s">
        <v>587</v>
      </c>
      <c r="C1343" s="71" t="s">
        <v>588</v>
      </c>
      <c r="D1343" s="71" t="s">
        <v>31</v>
      </c>
      <c r="E1343" s="71" t="s">
        <v>32</v>
      </c>
      <c r="F1343" s="71" t="s">
        <v>783</v>
      </c>
      <c r="H1343" s="71" t="s">
        <v>33</v>
      </c>
      <c r="I1343" s="87"/>
      <c r="J1343" s="72">
        <f t="shared" ref="J1343" si="442">AVERAGE(J1341:J1342)</f>
        <v>78.300000000000011</v>
      </c>
      <c r="K1343" s="72">
        <f>AVERAGE(K1341:K1342)</f>
        <v>2.4500000000000002</v>
      </c>
      <c r="L1343" s="72">
        <f>AVERAGE(L1341:L1342)</f>
        <v>349.5</v>
      </c>
      <c r="M1343" s="72">
        <f>AVERAGE(M1341:M1342)</f>
        <v>6.15</v>
      </c>
      <c r="N1343" s="72">
        <f>AVERAGE(N1341:N1342)</f>
        <v>40</v>
      </c>
      <c r="O1343" s="72"/>
      <c r="P1343" s="72">
        <f>AVERAGE(P1341:P1342)</f>
        <v>0</v>
      </c>
      <c r="Q1343" s="72" t="s">
        <v>0</v>
      </c>
      <c r="R1343" s="72">
        <f>AVERAGE(R1341:R1342)</f>
        <v>120.5</v>
      </c>
      <c r="S1343" s="72"/>
      <c r="T1343" s="72"/>
      <c r="U1343" s="72"/>
      <c r="V1343" s="72"/>
      <c r="W1343" s="72"/>
      <c r="X1343" s="72"/>
      <c r="Y1343" s="72"/>
      <c r="Z1343" s="72"/>
      <c r="AA1343" s="72"/>
      <c r="AB1343" s="72"/>
      <c r="AC1343" s="73"/>
      <c r="AD1343" s="73"/>
      <c r="AE1343" s="73"/>
      <c r="AF1343" s="73"/>
      <c r="AG1343" s="73"/>
      <c r="AH1343" s="73"/>
      <c r="AI1343" s="73"/>
      <c r="AJ1343" s="73"/>
      <c r="AK1343" s="73"/>
      <c r="AL1343" s="73"/>
      <c r="AM1343" s="73"/>
      <c r="AN1343" s="73"/>
      <c r="AO1343" s="73"/>
      <c r="AP1343" s="73"/>
      <c r="AQ1343" s="73"/>
      <c r="AR1343" s="73"/>
      <c r="AS1343" s="73"/>
      <c r="AT1343" s="73"/>
      <c r="AU1343" s="73"/>
      <c r="AV1343" s="73"/>
      <c r="AW1343" s="73"/>
      <c r="AX1343" s="73"/>
    </row>
    <row r="1344" spans="1:50" ht="17" x14ac:dyDescent="0.2">
      <c r="A1344" s="24" t="s">
        <v>586</v>
      </c>
      <c r="B1344" s="24" t="s">
        <v>589</v>
      </c>
      <c r="D1344" s="22"/>
      <c r="E1344" s="22"/>
      <c r="H1344" s="2" t="s">
        <v>33</v>
      </c>
      <c r="I1344" s="243" t="s">
        <v>1013</v>
      </c>
      <c r="J1344" s="3">
        <v>70.2</v>
      </c>
      <c r="K1344" s="3">
        <v>5.8</v>
      </c>
      <c r="L1344" s="3">
        <v>125</v>
      </c>
      <c r="M1344" s="3">
        <v>2.4</v>
      </c>
      <c r="P1344" s="4" t="s">
        <v>0</v>
      </c>
      <c r="R1344" s="3">
        <v>56</v>
      </c>
    </row>
    <row r="1345" spans="1:50" ht="17" x14ac:dyDescent="0.2">
      <c r="A1345" s="24" t="s">
        <v>586</v>
      </c>
      <c r="B1345" s="24" t="s">
        <v>589</v>
      </c>
      <c r="D1345" s="22"/>
      <c r="E1345" s="22"/>
      <c r="H1345" s="2" t="s">
        <v>33</v>
      </c>
      <c r="I1345" s="243" t="s">
        <v>1013</v>
      </c>
      <c r="J1345" s="3">
        <v>83.9</v>
      </c>
      <c r="L1345" s="3">
        <v>51</v>
      </c>
      <c r="M1345" s="3">
        <v>0.5</v>
      </c>
      <c r="P1345" s="4" t="s">
        <v>0</v>
      </c>
      <c r="R1345" s="3">
        <v>2</v>
      </c>
    </row>
    <row r="1346" spans="1:50" ht="15" customHeight="1" x14ac:dyDescent="0.2">
      <c r="A1346" s="24" t="s">
        <v>590</v>
      </c>
      <c r="B1346" s="24" t="s">
        <v>589</v>
      </c>
      <c r="D1346" s="22"/>
      <c r="E1346" s="22"/>
      <c r="H1346" s="2" t="s">
        <v>33</v>
      </c>
      <c r="I1346" s="243" t="s">
        <v>1009</v>
      </c>
      <c r="K1346" s="3">
        <v>2.02</v>
      </c>
      <c r="L1346" s="3">
        <v>56</v>
      </c>
      <c r="M1346" s="3">
        <v>1.58</v>
      </c>
      <c r="P1346" s="4">
        <f t="shared" ref="P1346:P1347" si="443">AN1346</f>
        <v>0</v>
      </c>
      <c r="R1346" s="3">
        <v>108</v>
      </c>
      <c r="AN1346" s="23"/>
    </row>
    <row r="1347" spans="1:50" ht="17" x14ac:dyDescent="0.2">
      <c r="A1347" s="31" t="s">
        <v>586</v>
      </c>
      <c r="B1347" s="31" t="s">
        <v>589</v>
      </c>
      <c r="C1347" s="1"/>
      <c r="D1347" s="22"/>
      <c r="E1347" s="22"/>
      <c r="F1347" s="1"/>
      <c r="G1347" s="1"/>
      <c r="H1347" s="1" t="s">
        <v>33</v>
      </c>
      <c r="I1347" s="243" t="s">
        <v>1006</v>
      </c>
      <c r="J1347" s="3">
        <v>66</v>
      </c>
      <c r="K1347" s="3">
        <v>3.7151999999999998</v>
      </c>
      <c r="L1347" s="3">
        <v>100.00079999999998</v>
      </c>
      <c r="M1347" s="3">
        <v>5.2976000000000001</v>
      </c>
      <c r="P1347" s="4">
        <f t="shared" si="443"/>
        <v>0</v>
      </c>
      <c r="R1347" s="3">
        <v>56.0032</v>
      </c>
      <c r="AE1347" s="23"/>
      <c r="AN1347" s="23"/>
    </row>
    <row r="1348" spans="1:50" s="71" customFormat="1" x14ac:dyDescent="0.2">
      <c r="A1348" s="77" t="s">
        <v>586</v>
      </c>
      <c r="B1348" s="77" t="s">
        <v>589</v>
      </c>
      <c r="C1348" s="78" t="s">
        <v>882</v>
      </c>
      <c r="D1348" s="71" t="s">
        <v>31</v>
      </c>
      <c r="E1348" s="78" t="s">
        <v>32</v>
      </c>
      <c r="F1348" s="78" t="s">
        <v>781</v>
      </c>
      <c r="G1348" s="78"/>
      <c r="H1348" s="78" t="s">
        <v>33</v>
      </c>
      <c r="I1348" s="87"/>
      <c r="J1348" s="72">
        <f t="shared" ref="J1348" si="444">AVERAGE(J1344:J1347)</f>
        <v>73.366666666666674</v>
      </c>
      <c r="K1348" s="72">
        <f>AVERAGE(K1344:K1347)</f>
        <v>3.8450666666666664</v>
      </c>
      <c r="L1348" s="72">
        <f>AVERAGE(L1344:L1347)</f>
        <v>83.000199999999992</v>
      </c>
      <c r="M1348" s="72">
        <f>AVERAGE(M1344:M1347)</f>
        <v>2.4443999999999999</v>
      </c>
      <c r="N1348" s="72"/>
      <c r="O1348" s="72"/>
      <c r="P1348" s="72">
        <f>AVERAGE(P1344:P1347)</f>
        <v>0</v>
      </c>
      <c r="Q1348" s="72"/>
      <c r="R1348" s="72">
        <f>AVERAGE(R1344:R1347)</f>
        <v>55.500799999999998</v>
      </c>
      <c r="S1348" s="72"/>
      <c r="T1348" s="72"/>
      <c r="U1348" s="72"/>
      <c r="V1348" s="72"/>
      <c r="W1348" s="72"/>
      <c r="X1348" s="72"/>
      <c r="Y1348" s="72"/>
      <c r="Z1348" s="72"/>
      <c r="AA1348" s="72"/>
      <c r="AB1348" s="72"/>
      <c r="AC1348" s="73"/>
      <c r="AD1348" s="73"/>
      <c r="AE1348" s="73"/>
      <c r="AF1348" s="73"/>
      <c r="AG1348" s="73"/>
      <c r="AH1348" s="73"/>
      <c r="AI1348" s="73"/>
      <c r="AJ1348" s="73"/>
      <c r="AK1348" s="73"/>
      <c r="AL1348" s="73"/>
      <c r="AM1348" s="73"/>
      <c r="AN1348" s="73"/>
      <c r="AO1348" s="73"/>
      <c r="AP1348" s="73"/>
      <c r="AQ1348" s="73"/>
      <c r="AR1348" s="73"/>
      <c r="AS1348" s="73"/>
      <c r="AT1348" s="73"/>
      <c r="AU1348" s="73"/>
      <c r="AV1348" s="73"/>
      <c r="AW1348" s="73"/>
      <c r="AX1348" s="73"/>
    </row>
    <row r="1349" spans="1:50" s="22" customFormat="1" ht="15" customHeight="1" x14ac:dyDescent="0.2">
      <c r="A1349" s="21" t="s">
        <v>586</v>
      </c>
      <c r="B1349" s="21" t="s">
        <v>1081</v>
      </c>
      <c r="C1349" s="22" t="s">
        <v>0</v>
      </c>
      <c r="H1349" s="22" t="s">
        <v>33</v>
      </c>
      <c r="I1349" s="65" t="s">
        <v>1009</v>
      </c>
      <c r="J1349" s="4"/>
      <c r="K1349" s="4">
        <v>1.51</v>
      </c>
      <c r="L1349" s="4">
        <v>202</v>
      </c>
      <c r="M1349" s="4">
        <v>2.29</v>
      </c>
      <c r="N1349" s="4"/>
      <c r="O1349" s="4">
        <v>0.88</v>
      </c>
      <c r="P1349" s="4">
        <f t="shared" ref="P1349" si="445">AN1349</f>
        <v>0</v>
      </c>
      <c r="Q1349" s="4">
        <v>135</v>
      </c>
      <c r="R1349" s="4">
        <v>176</v>
      </c>
      <c r="S1349" s="4">
        <v>4.7699999999999996</v>
      </c>
      <c r="T1349" s="4"/>
      <c r="U1349" s="4"/>
      <c r="V1349" s="4"/>
      <c r="W1349" s="4"/>
      <c r="X1349" s="4"/>
      <c r="Y1349" s="4"/>
      <c r="Z1349" s="4"/>
      <c r="AA1349" s="4"/>
      <c r="AB1349" s="4"/>
      <c r="AC1349" s="23"/>
      <c r="AD1349" s="23"/>
      <c r="AE1349" s="23"/>
      <c r="AF1349" s="23"/>
      <c r="AG1349" s="5"/>
      <c r="AH1349" s="23"/>
      <c r="AI1349" s="23"/>
      <c r="AJ1349" s="23"/>
      <c r="AK1349" s="23"/>
      <c r="AL1349" s="23"/>
      <c r="AM1349" s="23"/>
      <c r="AN1349" s="23"/>
      <c r="AO1349" s="23"/>
      <c r="AP1349" s="23"/>
      <c r="AQ1349" s="23"/>
      <c r="AR1349" s="23"/>
      <c r="AS1349" s="23"/>
      <c r="AT1349" s="23"/>
      <c r="AU1349" s="23"/>
      <c r="AV1349" s="23"/>
      <c r="AW1349" s="23"/>
      <c r="AX1349" s="23"/>
    </row>
    <row r="1350" spans="1:50" s="71" customFormat="1" ht="15" customHeight="1" x14ac:dyDescent="0.2">
      <c r="A1350" s="70" t="s">
        <v>586</v>
      </c>
      <c r="B1350" s="70" t="s">
        <v>1081</v>
      </c>
      <c r="C1350" s="71" t="s">
        <v>591</v>
      </c>
      <c r="D1350" s="71" t="s">
        <v>31</v>
      </c>
      <c r="E1350" s="71" t="s">
        <v>32</v>
      </c>
      <c r="F1350" s="71" t="s">
        <v>783</v>
      </c>
      <c r="H1350" s="71" t="s">
        <v>33</v>
      </c>
      <c r="I1350" s="87"/>
      <c r="J1350" s="72"/>
      <c r="K1350" s="72">
        <f>K1349</f>
        <v>1.51</v>
      </c>
      <c r="L1350" s="72">
        <f>L1349</f>
        <v>202</v>
      </c>
      <c r="M1350" s="72">
        <f>M1349</f>
        <v>2.29</v>
      </c>
      <c r="N1350" s="72"/>
      <c r="O1350" s="72">
        <f t="shared" ref="O1350:S1350" si="446">O1349</f>
        <v>0.88</v>
      </c>
      <c r="P1350" s="72">
        <f t="shared" si="446"/>
        <v>0</v>
      </c>
      <c r="Q1350" s="72">
        <f t="shared" si="446"/>
        <v>135</v>
      </c>
      <c r="R1350" s="72">
        <f t="shared" si="446"/>
        <v>176</v>
      </c>
      <c r="S1350" s="72">
        <f t="shared" si="446"/>
        <v>4.7699999999999996</v>
      </c>
      <c r="T1350" s="72"/>
      <c r="U1350" s="72"/>
      <c r="V1350" s="72"/>
      <c r="W1350" s="72"/>
      <c r="X1350" s="72"/>
      <c r="Y1350" s="72"/>
      <c r="Z1350" s="72"/>
      <c r="AA1350" s="72"/>
      <c r="AB1350" s="72"/>
      <c r="AC1350" s="73"/>
      <c r="AD1350" s="73"/>
      <c r="AE1350" s="73"/>
      <c r="AF1350" s="73"/>
      <c r="AG1350" s="73"/>
      <c r="AH1350" s="73"/>
      <c r="AI1350" s="73"/>
      <c r="AJ1350" s="73"/>
      <c r="AK1350" s="73"/>
      <c r="AL1350" s="73"/>
      <c r="AM1350" s="73"/>
      <c r="AN1350" s="73"/>
      <c r="AO1350" s="73"/>
      <c r="AP1350" s="73"/>
      <c r="AQ1350" s="73"/>
      <c r="AR1350" s="73"/>
      <c r="AS1350" s="73"/>
      <c r="AT1350" s="73"/>
      <c r="AU1350" s="73"/>
      <c r="AV1350" s="73"/>
      <c r="AW1350" s="73"/>
      <c r="AX1350" s="73"/>
    </row>
    <row r="1351" spans="1:50" ht="15" customHeight="1" x14ac:dyDescent="0.2">
      <c r="A1351" s="24" t="s">
        <v>592</v>
      </c>
      <c r="B1351" s="24" t="s">
        <v>593</v>
      </c>
      <c r="D1351" s="22"/>
      <c r="E1351" s="22"/>
      <c r="H1351" s="2" t="s">
        <v>286</v>
      </c>
      <c r="I1351" s="243" t="s">
        <v>1009</v>
      </c>
      <c r="K1351" s="3">
        <v>0.95</v>
      </c>
      <c r="L1351" s="3">
        <v>15</v>
      </c>
      <c r="M1351" s="3">
        <v>1.1100000000000001</v>
      </c>
      <c r="O1351" s="3">
        <v>0.38</v>
      </c>
      <c r="P1351" s="4">
        <f t="shared" ref="P1351:P1354" si="447">AN1351</f>
        <v>0</v>
      </c>
      <c r="Q1351" s="3">
        <v>32</v>
      </c>
      <c r="R1351" s="3">
        <v>60</v>
      </c>
      <c r="S1351" s="3">
        <v>0.68</v>
      </c>
      <c r="AN1351" s="23"/>
    </row>
    <row r="1352" spans="1:50" ht="15" customHeight="1" x14ac:dyDescent="0.2">
      <c r="A1352" s="24" t="s">
        <v>592</v>
      </c>
      <c r="B1352" s="24" t="s">
        <v>593</v>
      </c>
      <c r="D1352" s="22"/>
      <c r="E1352" s="22"/>
      <c r="H1352" s="2" t="s">
        <v>286</v>
      </c>
      <c r="I1352" s="243" t="s">
        <v>1009</v>
      </c>
      <c r="K1352" s="3">
        <v>1.08</v>
      </c>
      <c r="L1352" s="3">
        <v>11</v>
      </c>
      <c r="M1352" s="3">
        <v>1.08</v>
      </c>
      <c r="O1352" s="3">
        <v>0.28000000000000003</v>
      </c>
      <c r="P1352" s="4">
        <f t="shared" si="447"/>
        <v>0</v>
      </c>
      <c r="Q1352" s="3">
        <v>38</v>
      </c>
      <c r="R1352" s="3">
        <v>56</v>
      </c>
      <c r="S1352" s="3">
        <v>0.75</v>
      </c>
      <c r="AN1352" s="23"/>
    </row>
    <row r="1353" spans="1:50" ht="15" customHeight="1" x14ac:dyDescent="0.2">
      <c r="A1353" s="55" t="s">
        <v>592</v>
      </c>
      <c r="B1353" s="55" t="s">
        <v>593</v>
      </c>
      <c r="C1353" s="56" t="s">
        <v>0</v>
      </c>
      <c r="D1353" s="22"/>
      <c r="E1353" s="22"/>
      <c r="H1353" s="2" t="s">
        <v>286</v>
      </c>
      <c r="I1353" s="249" t="s">
        <v>1007</v>
      </c>
      <c r="J1353" s="58">
        <v>91.58</v>
      </c>
      <c r="K1353" s="58"/>
      <c r="L1353" s="58">
        <v>19</v>
      </c>
      <c r="M1353" s="58">
        <v>0.84</v>
      </c>
      <c r="N1353" s="58">
        <v>12</v>
      </c>
      <c r="O1353" s="58"/>
      <c r="P1353" s="4">
        <f t="shared" si="447"/>
        <v>0</v>
      </c>
      <c r="Q1353" s="58">
        <v>102</v>
      </c>
      <c r="R1353" s="58">
        <v>73</v>
      </c>
      <c r="S1353" s="58"/>
      <c r="T1353" s="58"/>
      <c r="U1353" s="58"/>
      <c r="V1353" s="58"/>
      <c r="W1353" s="58"/>
      <c r="X1353" s="58"/>
      <c r="Y1353" s="58"/>
      <c r="Z1353" s="58"/>
      <c r="AA1353" s="58"/>
      <c r="AB1353" s="58"/>
      <c r="AI1353" s="23"/>
      <c r="AN1353" s="23"/>
    </row>
    <row r="1354" spans="1:50" ht="15" customHeight="1" x14ac:dyDescent="0.2">
      <c r="A1354" s="24" t="s">
        <v>592</v>
      </c>
      <c r="B1354" s="24" t="s">
        <v>593</v>
      </c>
      <c r="D1354" s="22"/>
      <c r="E1354" s="22"/>
      <c r="H1354" s="2" t="s">
        <v>286</v>
      </c>
      <c r="I1354" s="243" t="s">
        <v>1009</v>
      </c>
      <c r="K1354" s="3">
        <v>1.4</v>
      </c>
      <c r="L1354" s="3">
        <v>28</v>
      </c>
      <c r="M1354" s="3">
        <v>0.82</v>
      </c>
      <c r="P1354" s="4">
        <f t="shared" si="447"/>
        <v>0</v>
      </c>
      <c r="R1354" s="3">
        <v>45</v>
      </c>
      <c r="S1354" s="3">
        <v>0.26</v>
      </c>
      <c r="AN1354" s="23"/>
    </row>
    <row r="1355" spans="1:50" ht="15" customHeight="1" x14ac:dyDescent="0.2">
      <c r="A1355" s="24" t="s">
        <v>592</v>
      </c>
      <c r="B1355" s="24" t="s">
        <v>593</v>
      </c>
      <c r="D1355" s="22"/>
      <c r="E1355" s="22"/>
      <c r="H1355" s="2" t="s">
        <v>286</v>
      </c>
      <c r="I1355" s="243" t="s">
        <v>1033</v>
      </c>
      <c r="J1355" s="3">
        <v>89</v>
      </c>
      <c r="M1355" s="3">
        <v>0.6</v>
      </c>
      <c r="P1355" s="4" t="s">
        <v>0</v>
      </c>
      <c r="R1355" s="3">
        <v>59</v>
      </c>
    </row>
    <row r="1356" spans="1:50" ht="15" customHeight="1" x14ac:dyDescent="0.2">
      <c r="A1356" s="24" t="s">
        <v>592</v>
      </c>
      <c r="B1356" s="24" t="s">
        <v>593</v>
      </c>
      <c r="D1356" s="22"/>
      <c r="E1356" s="22"/>
      <c r="H1356" s="2" t="s">
        <v>286</v>
      </c>
      <c r="I1356" s="243" t="s">
        <v>1009</v>
      </c>
      <c r="K1356" s="3">
        <v>0.65</v>
      </c>
      <c r="L1356" s="3">
        <v>11</v>
      </c>
      <c r="M1356" s="3">
        <v>0.41</v>
      </c>
      <c r="P1356" s="4">
        <f t="shared" ref="P1356" si="448">AN1356</f>
        <v>0</v>
      </c>
      <c r="R1356" s="3">
        <v>40</v>
      </c>
      <c r="S1356" s="3">
        <v>0.21</v>
      </c>
      <c r="AN1356" s="23"/>
    </row>
    <row r="1357" spans="1:50" s="71" customFormat="1" ht="15" customHeight="1" x14ac:dyDescent="0.2">
      <c r="A1357" s="70" t="s">
        <v>592</v>
      </c>
      <c r="B1357" s="70" t="s">
        <v>593</v>
      </c>
      <c r="C1357" s="71" t="s">
        <v>594</v>
      </c>
      <c r="D1357" s="71" t="s">
        <v>31</v>
      </c>
      <c r="E1357" s="71" t="s">
        <v>32</v>
      </c>
      <c r="F1357" s="71" t="s">
        <v>781</v>
      </c>
      <c r="H1357" s="71" t="s">
        <v>286</v>
      </c>
      <c r="I1357" s="87"/>
      <c r="J1357" s="72">
        <f t="shared" ref="J1357" si="449">AVERAGE(J1351:J1356)</f>
        <v>90.289999999999992</v>
      </c>
      <c r="K1357" s="72">
        <f t="shared" ref="K1357:S1357" si="450">AVERAGE(K1351:K1356)</f>
        <v>1.02</v>
      </c>
      <c r="L1357" s="72">
        <f t="shared" si="450"/>
        <v>16.8</v>
      </c>
      <c r="M1357" s="72">
        <f t="shared" si="450"/>
        <v>0.81</v>
      </c>
      <c r="N1357" s="72">
        <f t="shared" si="450"/>
        <v>12</v>
      </c>
      <c r="O1357" s="72">
        <f t="shared" si="450"/>
        <v>0.33</v>
      </c>
      <c r="P1357" s="72">
        <f t="shared" si="450"/>
        <v>0</v>
      </c>
      <c r="Q1357" s="72">
        <f t="shared" si="450"/>
        <v>57.333333333333336</v>
      </c>
      <c r="R1357" s="72">
        <f t="shared" si="450"/>
        <v>55.5</v>
      </c>
      <c r="S1357" s="72">
        <f t="shared" si="450"/>
        <v>0.47500000000000003</v>
      </c>
      <c r="T1357" s="72"/>
      <c r="U1357" s="72"/>
      <c r="V1357" s="72"/>
      <c r="W1357" s="72"/>
      <c r="X1357" s="72"/>
      <c r="Y1357" s="72"/>
      <c r="Z1357" s="72"/>
      <c r="AA1357" s="72"/>
      <c r="AB1357" s="72"/>
      <c r="AC1357" s="73"/>
      <c r="AD1357" s="73"/>
      <c r="AE1357" s="73"/>
      <c r="AF1357" s="73"/>
      <c r="AG1357" s="73"/>
      <c r="AH1357" s="73"/>
      <c r="AI1357" s="73"/>
      <c r="AJ1357" s="73"/>
      <c r="AK1357" s="73"/>
      <c r="AL1357" s="73"/>
      <c r="AM1357" s="73"/>
      <c r="AN1357" s="73"/>
      <c r="AO1357" s="73"/>
      <c r="AP1357" s="73"/>
      <c r="AQ1357" s="73"/>
      <c r="AR1357" s="73"/>
      <c r="AS1357" s="73"/>
      <c r="AT1357" s="73"/>
      <c r="AU1357" s="73"/>
      <c r="AV1357" s="73"/>
      <c r="AW1357" s="73"/>
      <c r="AX1357" s="73"/>
    </row>
    <row r="1358" spans="1:50" ht="17" x14ac:dyDescent="0.2">
      <c r="A1358" s="24" t="s">
        <v>592</v>
      </c>
      <c r="B1358" s="24" t="s">
        <v>593</v>
      </c>
      <c r="D1358" s="22"/>
      <c r="E1358" s="22"/>
      <c r="H1358" s="2" t="s">
        <v>33</v>
      </c>
      <c r="I1358" s="243" t="s">
        <v>1013</v>
      </c>
      <c r="J1358" s="3">
        <v>78</v>
      </c>
      <c r="K1358" s="3">
        <v>7</v>
      </c>
      <c r="L1358" s="3">
        <v>254</v>
      </c>
      <c r="M1358" s="3">
        <v>2.4</v>
      </c>
      <c r="O1358" s="3" t="s">
        <v>0</v>
      </c>
      <c r="P1358" s="4" t="s">
        <v>0</v>
      </c>
      <c r="R1358" s="3">
        <v>94</v>
      </c>
    </row>
    <row r="1359" spans="1:50" ht="51" x14ac:dyDescent="0.2">
      <c r="A1359" s="24" t="s">
        <v>592</v>
      </c>
      <c r="B1359" s="24" t="s">
        <v>593</v>
      </c>
      <c r="D1359" s="22"/>
      <c r="E1359" s="22"/>
      <c r="H1359" s="2" t="s">
        <v>33</v>
      </c>
      <c r="I1359" s="243" t="s">
        <v>1024</v>
      </c>
      <c r="J1359" s="3">
        <v>74.400000000000006</v>
      </c>
      <c r="K1359" s="3">
        <v>8.6</v>
      </c>
      <c r="L1359" s="3">
        <v>901</v>
      </c>
      <c r="M1359" s="3">
        <v>4.3600000000000003</v>
      </c>
      <c r="N1359" s="3">
        <v>96.94</v>
      </c>
      <c r="O1359" s="3">
        <v>0.53</v>
      </c>
      <c r="P1359" s="4" t="s">
        <v>0</v>
      </c>
      <c r="Q1359" s="3">
        <v>120</v>
      </c>
      <c r="R1359" s="3">
        <v>121</v>
      </c>
      <c r="S1359" s="3">
        <v>1.77</v>
      </c>
    </row>
    <row r="1360" spans="1:50" s="22" customFormat="1" ht="15" customHeight="1" x14ac:dyDescent="0.2">
      <c r="A1360" s="21" t="s">
        <v>592</v>
      </c>
      <c r="B1360" s="21" t="s">
        <v>593</v>
      </c>
      <c r="C1360" s="22" t="s">
        <v>0</v>
      </c>
      <c r="H1360" s="22" t="s">
        <v>33</v>
      </c>
      <c r="I1360" s="65" t="s">
        <v>1033</v>
      </c>
      <c r="J1360" s="4">
        <v>82.3</v>
      </c>
      <c r="K1360" s="4"/>
      <c r="L1360" s="4"/>
      <c r="M1360" s="4">
        <v>4</v>
      </c>
      <c r="N1360" s="4"/>
      <c r="O1360" s="4"/>
      <c r="P1360" s="4" t="s">
        <v>0</v>
      </c>
      <c r="Q1360" s="4"/>
      <c r="R1360" s="4">
        <v>60</v>
      </c>
      <c r="S1360" s="4"/>
      <c r="T1360" s="4"/>
      <c r="U1360" s="4"/>
      <c r="V1360" s="4"/>
      <c r="W1360" s="4"/>
      <c r="X1360" s="4"/>
      <c r="Y1360" s="4"/>
      <c r="Z1360" s="4"/>
      <c r="AA1360" s="4"/>
      <c r="AB1360" s="4"/>
      <c r="AC1360" s="23"/>
      <c r="AD1360" s="23"/>
      <c r="AE1360" s="23"/>
      <c r="AF1360" s="23"/>
      <c r="AG1360" s="23"/>
      <c r="AH1360" s="23"/>
      <c r="AI1360" s="23"/>
      <c r="AJ1360" s="23"/>
      <c r="AK1360" s="23"/>
      <c r="AL1360" s="23"/>
      <c r="AM1360" s="23"/>
      <c r="AN1360" s="23"/>
      <c r="AO1360" s="23"/>
      <c r="AP1360" s="23"/>
      <c r="AQ1360" s="23"/>
      <c r="AR1360" s="23"/>
      <c r="AS1360" s="23"/>
      <c r="AT1360" s="23"/>
      <c r="AU1360" s="23"/>
      <c r="AV1360" s="23"/>
      <c r="AW1360" s="23"/>
      <c r="AX1360" s="23"/>
    </row>
    <row r="1361" spans="1:50" s="71" customFormat="1" ht="15" customHeight="1" x14ac:dyDescent="0.2">
      <c r="A1361" s="70" t="s">
        <v>592</v>
      </c>
      <c r="B1361" s="70" t="s">
        <v>593</v>
      </c>
      <c r="C1361" s="71" t="s">
        <v>594</v>
      </c>
      <c r="D1361" s="71" t="s">
        <v>31</v>
      </c>
      <c r="E1361" s="71" t="s">
        <v>32</v>
      </c>
      <c r="F1361" s="71" t="s">
        <v>781</v>
      </c>
      <c r="H1361" s="71" t="s">
        <v>33</v>
      </c>
      <c r="I1361" s="87"/>
      <c r="J1361" s="72">
        <f t="shared" ref="J1361" si="451">AVERAGE(J1358:J1360)</f>
        <v>78.233333333333334</v>
      </c>
      <c r="K1361" s="72">
        <f>AVERAGE(K1358:K1360)</f>
        <v>7.8</v>
      </c>
      <c r="L1361" s="72">
        <f>AVERAGE(L1358:L1360)</f>
        <v>577.5</v>
      </c>
      <c r="M1361" s="72">
        <f>AVERAGE(M1358:M1360)</f>
        <v>3.5866666666666664</v>
      </c>
      <c r="N1361" s="72">
        <f>AVERAGE(N1358:N1360)</f>
        <v>96.94</v>
      </c>
      <c r="O1361" s="72">
        <f>AVERAGE(O1358:O1360)</f>
        <v>0.53</v>
      </c>
      <c r="P1361" s="72"/>
      <c r="Q1361" s="72">
        <f>AVERAGE(Q1358:Q1360)</f>
        <v>120</v>
      </c>
      <c r="R1361" s="72">
        <f>AVERAGE(R1358:R1360)</f>
        <v>91.666666666666671</v>
      </c>
      <c r="S1361" s="72">
        <f>AVERAGE(S1358:S1360)</f>
        <v>1.77</v>
      </c>
      <c r="T1361" s="72"/>
      <c r="U1361" s="72"/>
      <c r="V1361" s="72"/>
      <c r="W1361" s="72"/>
      <c r="X1361" s="72"/>
      <c r="Y1361" s="72"/>
      <c r="Z1361" s="72"/>
      <c r="AA1361" s="72"/>
      <c r="AB1361" s="72"/>
      <c r="AC1361" s="73"/>
      <c r="AD1361" s="73"/>
      <c r="AE1361" s="73"/>
      <c r="AF1361" s="73"/>
      <c r="AG1361" s="73"/>
      <c r="AH1361" s="73"/>
      <c r="AI1361" s="73"/>
      <c r="AJ1361" s="73"/>
      <c r="AK1361" s="73"/>
      <c r="AL1361" s="73"/>
      <c r="AM1361" s="73"/>
      <c r="AN1361" s="73"/>
      <c r="AO1361" s="73"/>
      <c r="AP1361" s="73"/>
      <c r="AQ1361" s="73"/>
      <c r="AR1361" s="73"/>
      <c r="AS1361" s="73"/>
      <c r="AT1361" s="73"/>
      <c r="AU1361" s="73"/>
      <c r="AV1361" s="73"/>
      <c r="AW1361" s="73"/>
      <c r="AX1361" s="73"/>
    </row>
    <row r="1362" spans="1:50" s="22" customFormat="1" ht="15" customHeight="1" x14ac:dyDescent="0.2">
      <c r="A1362" s="21" t="s">
        <v>595</v>
      </c>
      <c r="B1362" s="21" t="s">
        <v>596</v>
      </c>
      <c r="C1362" s="22" t="s">
        <v>0</v>
      </c>
      <c r="H1362" s="22" t="s">
        <v>33</v>
      </c>
      <c r="I1362" s="65" t="s">
        <v>1006</v>
      </c>
      <c r="J1362" s="4"/>
      <c r="K1362" s="4">
        <v>0.80299999999999994</v>
      </c>
      <c r="L1362" s="4">
        <v>68.001999999999995</v>
      </c>
      <c r="M1362" s="4">
        <v>6.302999999999999</v>
      </c>
      <c r="N1362" s="4"/>
      <c r="O1362" s="4"/>
      <c r="P1362" s="4">
        <f t="shared" ref="P1362" si="452">AN1362</f>
        <v>0</v>
      </c>
      <c r="Q1362" s="4"/>
      <c r="R1362" s="4">
        <v>27.004999999999995</v>
      </c>
      <c r="S1362" s="4"/>
      <c r="T1362" s="4"/>
      <c r="U1362" s="4"/>
      <c r="V1362" s="4"/>
      <c r="W1362" s="4"/>
      <c r="X1362" s="4"/>
      <c r="Y1362" s="4"/>
      <c r="Z1362" s="4"/>
      <c r="AA1362" s="4"/>
      <c r="AB1362" s="4"/>
      <c r="AC1362" s="23"/>
      <c r="AD1362" s="23"/>
      <c r="AE1362" s="23"/>
      <c r="AF1362" s="23"/>
      <c r="AG1362" s="23"/>
      <c r="AH1362" s="23"/>
      <c r="AI1362" s="23"/>
      <c r="AJ1362" s="23"/>
      <c r="AK1362" s="23"/>
      <c r="AL1362" s="23"/>
      <c r="AM1362" s="23"/>
      <c r="AN1362" s="23"/>
      <c r="AO1362" s="23"/>
      <c r="AP1362" s="23"/>
      <c r="AQ1362" s="23"/>
      <c r="AR1362" s="23"/>
      <c r="AS1362" s="23"/>
      <c r="AT1362" s="23"/>
      <c r="AU1362" s="23"/>
      <c r="AV1362" s="23"/>
      <c r="AW1362" s="23"/>
      <c r="AX1362" s="23"/>
    </row>
    <row r="1363" spans="1:50" s="71" customFormat="1" ht="15" customHeight="1" x14ac:dyDescent="0.2">
      <c r="A1363" s="70" t="s">
        <v>595</v>
      </c>
      <c r="B1363" s="70" t="s">
        <v>596</v>
      </c>
      <c r="C1363" s="71" t="s">
        <v>597</v>
      </c>
      <c r="D1363" s="71" t="s">
        <v>31</v>
      </c>
      <c r="E1363" s="71" t="s">
        <v>46</v>
      </c>
      <c r="F1363" s="78" t="s">
        <v>782</v>
      </c>
      <c r="H1363" s="71" t="s">
        <v>33</v>
      </c>
      <c r="I1363" s="87"/>
      <c r="J1363" s="72"/>
      <c r="K1363" s="72">
        <f>K1362</f>
        <v>0.80299999999999994</v>
      </c>
      <c r="L1363" s="72">
        <f>L1362</f>
        <v>68.001999999999995</v>
      </c>
      <c r="M1363" s="72">
        <f>M1362</f>
        <v>6.302999999999999</v>
      </c>
      <c r="N1363" s="72"/>
      <c r="O1363" s="72"/>
      <c r="P1363" s="72">
        <f>P1362</f>
        <v>0</v>
      </c>
      <c r="Q1363" s="72"/>
      <c r="R1363" s="72">
        <f>R1362</f>
        <v>27.004999999999995</v>
      </c>
      <c r="S1363" s="72"/>
      <c r="T1363" s="72"/>
      <c r="U1363" s="72"/>
      <c r="V1363" s="72"/>
      <c r="W1363" s="72"/>
      <c r="X1363" s="72"/>
      <c r="Y1363" s="72"/>
      <c r="Z1363" s="72"/>
      <c r="AA1363" s="72"/>
      <c r="AB1363" s="72"/>
      <c r="AC1363" s="73"/>
      <c r="AD1363" s="73"/>
      <c r="AE1363" s="73"/>
      <c r="AF1363" s="73"/>
      <c r="AG1363" s="73"/>
      <c r="AH1363" s="73"/>
      <c r="AI1363" s="73"/>
      <c r="AJ1363" s="73"/>
      <c r="AK1363" s="73"/>
      <c r="AL1363" s="73"/>
      <c r="AM1363" s="73"/>
      <c r="AN1363" s="73"/>
      <c r="AO1363" s="73"/>
      <c r="AP1363" s="73"/>
      <c r="AQ1363" s="73"/>
      <c r="AR1363" s="73"/>
      <c r="AS1363" s="73"/>
      <c r="AT1363" s="73"/>
      <c r="AU1363" s="73"/>
      <c r="AV1363" s="73"/>
      <c r="AW1363" s="73"/>
      <c r="AX1363" s="73"/>
    </row>
    <row r="1364" spans="1:50" s="22" customFormat="1" ht="15" customHeight="1" x14ac:dyDescent="0.2">
      <c r="A1364" s="21" t="s">
        <v>598</v>
      </c>
      <c r="B1364" s="21" t="s">
        <v>599</v>
      </c>
      <c r="C1364" s="22" t="s">
        <v>0</v>
      </c>
      <c r="H1364" s="22" t="s">
        <v>27</v>
      </c>
      <c r="I1364" s="65" t="s">
        <v>1006</v>
      </c>
      <c r="J1364" s="4">
        <v>87</v>
      </c>
      <c r="K1364" s="4">
        <v>0.79380000000000006</v>
      </c>
      <c r="L1364" s="4">
        <v>30.995999999999999</v>
      </c>
      <c r="M1364" s="4">
        <v>0.6048</v>
      </c>
      <c r="N1364" s="4"/>
      <c r="O1364" s="4"/>
      <c r="P1364" s="4">
        <f t="shared" ref="P1364" si="453">AN1364</f>
        <v>0</v>
      </c>
      <c r="Q1364" s="4"/>
      <c r="R1364" s="4">
        <v>16.001999999999999</v>
      </c>
      <c r="S1364" s="4"/>
      <c r="T1364" s="4"/>
      <c r="U1364" s="4"/>
      <c r="V1364" s="4"/>
      <c r="W1364" s="4"/>
      <c r="X1364" s="4"/>
      <c r="Y1364" s="4"/>
      <c r="Z1364" s="4"/>
      <c r="AA1364" s="4"/>
      <c r="AB1364" s="4"/>
      <c r="AC1364" s="23"/>
      <c r="AD1364" s="23"/>
      <c r="AE1364" s="23"/>
      <c r="AF1364" s="23"/>
      <c r="AG1364" s="23"/>
      <c r="AH1364" s="23"/>
      <c r="AI1364" s="23"/>
      <c r="AJ1364" s="23"/>
      <c r="AK1364" s="23"/>
      <c r="AL1364" s="23"/>
      <c r="AM1364" s="23"/>
      <c r="AN1364" s="23"/>
      <c r="AO1364" s="23"/>
      <c r="AP1364" s="23"/>
      <c r="AQ1364" s="23"/>
      <c r="AR1364" s="23"/>
      <c r="AS1364" s="23"/>
      <c r="AT1364" s="23"/>
      <c r="AU1364" s="23"/>
      <c r="AV1364" s="23"/>
      <c r="AW1364" s="23"/>
      <c r="AX1364" s="23"/>
    </row>
    <row r="1365" spans="1:50" s="71" customFormat="1" ht="15" customHeight="1" x14ac:dyDescent="0.2">
      <c r="A1365" s="70" t="s">
        <v>598</v>
      </c>
      <c r="B1365" s="70" t="s">
        <v>599</v>
      </c>
      <c r="C1365" s="71" t="s">
        <v>600</v>
      </c>
      <c r="D1365" s="71" t="s">
        <v>31</v>
      </c>
      <c r="E1365" s="71" t="s">
        <v>42</v>
      </c>
      <c r="F1365" s="71" t="s">
        <v>784</v>
      </c>
      <c r="H1365" s="71" t="s">
        <v>27</v>
      </c>
      <c r="I1365" s="87"/>
      <c r="J1365" s="72">
        <f>J1364</f>
        <v>87</v>
      </c>
      <c r="K1365" s="72">
        <f>K1364</f>
        <v>0.79380000000000006</v>
      </c>
      <c r="L1365" s="72">
        <f>L1364</f>
        <v>30.995999999999999</v>
      </c>
      <c r="M1365" s="72">
        <f>M1364</f>
        <v>0.6048</v>
      </c>
      <c r="N1365" s="72"/>
      <c r="O1365" s="72"/>
      <c r="P1365" s="72">
        <f>P1364</f>
        <v>0</v>
      </c>
      <c r="Q1365" s="72"/>
      <c r="R1365" s="72">
        <f>R1364</f>
        <v>16.001999999999999</v>
      </c>
      <c r="S1365" s="72"/>
      <c r="T1365" s="72"/>
      <c r="U1365" s="72"/>
      <c r="V1365" s="72"/>
      <c r="W1365" s="72"/>
      <c r="X1365" s="72"/>
      <c r="Y1365" s="72"/>
      <c r="Z1365" s="72"/>
      <c r="AA1365" s="72"/>
      <c r="AB1365" s="72"/>
      <c r="AC1365" s="73"/>
      <c r="AD1365" s="73"/>
      <c r="AE1365" s="73"/>
      <c r="AF1365" s="73"/>
      <c r="AG1365" s="73"/>
      <c r="AH1365" s="73"/>
      <c r="AI1365" s="73"/>
      <c r="AJ1365" s="73"/>
      <c r="AK1365" s="73"/>
      <c r="AL1365" s="73"/>
      <c r="AM1365" s="73"/>
      <c r="AN1365" s="73"/>
      <c r="AO1365" s="73"/>
      <c r="AP1365" s="73"/>
      <c r="AQ1365" s="73"/>
      <c r="AR1365" s="73"/>
      <c r="AS1365" s="73"/>
      <c r="AT1365" s="73"/>
      <c r="AU1365" s="73"/>
      <c r="AV1365" s="73"/>
      <c r="AW1365" s="73"/>
      <c r="AX1365" s="73"/>
    </row>
    <row r="1366" spans="1:50" ht="15" customHeight="1" x14ac:dyDescent="0.2">
      <c r="A1366" s="24" t="s">
        <v>706</v>
      </c>
      <c r="B1366" s="24" t="s">
        <v>146</v>
      </c>
      <c r="C1366" s="2" t="s">
        <v>0</v>
      </c>
      <c r="D1366" s="22"/>
      <c r="E1366" s="22"/>
      <c r="H1366" s="2" t="s">
        <v>33</v>
      </c>
      <c r="I1366" s="32" t="s">
        <v>1017</v>
      </c>
      <c r="J1366" s="3">
        <v>85.9</v>
      </c>
      <c r="K1366" s="3">
        <v>4.3600000000000003</v>
      </c>
      <c r="L1366" s="3">
        <v>160</v>
      </c>
      <c r="M1366" s="3">
        <v>1.93</v>
      </c>
      <c r="N1366" s="3">
        <v>50.4</v>
      </c>
      <c r="O1366" s="3">
        <f>408*0.001</f>
        <v>0.40800000000000003</v>
      </c>
      <c r="P1366" s="4">
        <v>0.81</v>
      </c>
      <c r="Q1366" s="3">
        <v>267</v>
      </c>
      <c r="R1366" s="3">
        <v>25.5</v>
      </c>
      <c r="S1366" s="3">
        <f>10.1+0.31+0.4+0.51</f>
        <v>11.32</v>
      </c>
    </row>
    <row r="1367" spans="1:50" s="71" customFormat="1" ht="15" customHeight="1" x14ac:dyDescent="0.2">
      <c r="A1367" s="70" t="s">
        <v>706</v>
      </c>
      <c r="B1367" s="70" t="s">
        <v>146</v>
      </c>
      <c r="C1367" s="71" t="s">
        <v>707</v>
      </c>
      <c r="D1367" s="71" t="s">
        <v>31</v>
      </c>
      <c r="E1367" s="71" t="s">
        <v>46</v>
      </c>
      <c r="F1367" s="78" t="s">
        <v>782</v>
      </c>
      <c r="H1367" s="71" t="s">
        <v>33</v>
      </c>
      <c r="I1367" s="87"/>
      <c r="J1367" s="72">
        <f t="shared" ref="J1367" si="454">J1366</f>
        <v>85.9</v>
      </c>
      <c r="K1367" s="72">
        <f t="shared" ref="K1367:S1367" si="455">K1366</f>
        <v>4.3600000000000003</v>
      </c>
      <c r="L1367" s="72">
        <f t="shared" si="455"/>
        <v>160</v>
      </c>
      <c r="M1367" s="72">
        <f t="shared" si="455"/>
        <v>1.93</v>
      </c>
      <c r="N1367" s="72">
        <f t="shared" si="455"/>
        <v>50.4</v>
      </c>
      <c r="O1367" s="72">
        <f t="shared" si="455"/>
        <v>0.40800000000000003</v>
      </c>
      <c r="P1367" s="72">
        <f t="shared" si="455"/>
        <v>0.81</v>
      </c>
      <c r="Q1367" s="72">
        <f t="shared" si="455"/>
        <v>267</v>
      </c>
      <c r="R1367" s="72">
        <f t="shared" si="455"/>
        <v>25.5</v>
      </c>
      <c r="S1367" s="72">
        <f t="shared" si="455"/>
        <v>11.32</v>
      </c>
      <c r="T1367" s="72"/>
      <c r="U1367" s="72"/>
      <c r="V1367" s="72"/>
      <c r="W1367" s="72"/>
      <c r="X1367" s="72"/>
      <c r="Y1367" s="72"/>
      <c r="Z1367" s="72"/>
      <c r="AA1367" s="72"/>
      <c r="AB1367" s="72"/>
      <c r="AC1367" s="73"/>
      <c r="AD1367" s="73"/>
      <c r="AE1367" s="73"/>
      <c r="AF1367" s="73"/>
      <c r="AG1367" s="73"/>
      <c r="AH1367" s="73"/>
      <c r="AI1367" s="73"/>
      <c r="AJ1367" s="73"/>
      <c r="AK1367" s="73"/>
      <c r="AL1367" s="73"/>
      <c r="AM1367" s="73"/>
      <c r="AN1367" s="73"/>
      <c r="AO1367" s="73"/>
      <c r="AP1367" s="73"/>
      <c r="AQ1367" s="73"/>
      <c r="AR1367" s="73"/>
      <c r="AS1367" s="73"/>
      <c r="AT1367" s="73"/>
      <c r="AU1367" s="73"/>
      <c r="AV1367" s="73"/>
      <c r="AW1367" s="73"/>
      <c r="AX1367" s="73"/>
    </row>
    <row r="1368" spans="1:50" ht="15" customHeight="1" x14ac:dyDescent="0.2">
      <c r="A1368" s="24" t="s">
        <v>601</v>
      </c>
      <c r="B1368" s="24" t="s">
        <v>602</v>
      </c>
      <c r="D1368" s="22"/>
      <c r="E1368" s="22"/>
      <c r="H1368" s="2" t="s">
        <v>28</v>
      </c>
      <c r="I1368" s="243" t="s">
        <v>1009</v>
      </c>
      <c r="K1368" s="3">
        <v>0.89</v>
      </c>
      <c r="L1368" s="3">
        <v>8</v>
      </c>
      <c r="M1368" s="3">
        <v>0.75</v>
      </c>
      <c r="O1368" s="3">
        <v>0.23</v>
      </c>
      <c r="P1368" s="4">
        <f t="shared" ref="P1368:P1375" si="456">AN1368</f>
        <v>0</v>
      </c>
      <c r="Q1368" s="3">
        <v>6</v>
      </c>
      <c r="R1368" s="3">
        <v>16</v>
      </c>
      <c r="S1368" s="3">
        <v>0.4</v>
      </c>
      <c r="AN1368" s="23"/>
    </row>
    <row r="1369" spans="1:50" ht="15" customHeight="1" x14ac:dyDescent="0.2">
      <c r="A1369" s="24" t="s">
        <v>601</v>
      </c>
      <c r="B1369" s="24" t="s">
        <v>602</v>
      </c>
      <c r="D1369" s="22"/>
      <c r="E1369" s="22"/>
      <c r="H1369" s="2" t="s">
        <v>28</v>
      </c>
      <c r="I1369" s="243" t="s">
        <v>1009</v>
      </c>
      <c r="K1369" s="3">
        <v>1.27</v>
      </c>
      <c r="L1369" s="3">
        <v>9</v>
      </c>
      <c r="M1369" s="3">
        <v>1.02</v>
      </c>
      <c r="P1369" s="4">
        <f t="shared" si="456"/>
        <v>0</v>
      </c>
      <c r="Q1369" s="3">
        <v>10</v>
      </c>
      <c r="R1369" s="3">
        <v>10</v>
      </c>
      <c r="S1369" s="3">
        <v>0.24</v>
      </c>
      <c r="AN1369" s="23"/>
    </row>
    <row r="1370" spans="1:50" ht="15" customHeight="1" x14ac:dyDescent="0.2">
      <c r="A1370" s="24" t="s">
        <v>601</v>
      </c>
      <c r="B1370" s="24" t="s">
        <v>602</v>
      </c>
      <c r="D1370" s="22"/>
      <c r="E1370" s="22"/>
      <c r="H1370" s="2" t="s">
        <v>28</v>
      </c>
      <c r="I1370" s="243" t="s">
        <v>1009</v>
      </c>
      <c r="K1370" s="3">
        <v>1.53</v>
      </c>
      <c r="L1370" s="3">
        <v>12</v>
      </c>
      <c r="M1370" s="3">
        <v>0.59</v>
      </c>
      <c r="O1370" s="3">
        <v>0.18</v>
      </c>
      <c r="P1370" s="4">
        <f t="shared" si="456"/>
        <v>0</v>
      </c>
      <c r="Q1370" s="3">
        <v>14</v>
      </c>
      <c r="R1370" s="3">
        <v>8</v>
      </c>
      <c r="S1370" s="3">
        <v>0.67</v>
      </c>
      <c r="AN1370" s="23"/>
    </row>
    <row r="1371" spans="1:50" ht="15" customHeight="1" x14ac:dyDescent="0.2">
      <c r="A1371" s="24" t="s">
        <v>601</v>
      </c>
      <c r="B1371" s="24" t="s">
        <v>602</v>
      </c>
      <c r="D1371" s="22"/>
      <c r="E1371" s="22"/>
      <c r="H1371" s="2" t="s">
        <v>28</v>
      </c>
      <c r="I1371" s="243" t="s">
        <v>1009</v>
      </c>
      <c r="K1371" s="3">
        <v>2.09</v>
      </c>
      <c r="L1371" s="3">
        <v>15</v>
      </c>
      <c r="M1371" s="3">
        <v>0.67</v>
      </c>
      <c r="O1371" s="3">
        <v>0.15</v>
      </c>
      <c r="P1371" s="4">
        <f t="shared" si="456"/>
        <v>0</v>
      </c>
      <c r="Q1371" s="3">
        <v>15</v>
      </c>
      <c r="R1371" s="3">
        <v>9</v>
      </c>
      <c r="S1371" s="3">
        <v>2.02</v>
      </c>
      <c r="AN1371" s="23"/>
    </row>
    <row r="1372" spans="1:50" ht="15" customHeight="1" x14ac:dyDescent="0.2">
      <c r="A1372" s="24" t="s">
        <v>601</v>
      </c>
      <c r="B1372" s="24" t="s">
        <v>602</v>
      </c>
      <c r="D1372" s="22"/>
      <c r="E1372" s="22"/>
      <c r="H1372" s="2" t="s">
        <v>28</v>
      </c>
      <c r="I1372" s="243" t="s">
        <v>1009</v>
      </c>
      <c r="K1372" s="3">
        <v>2.25</v>
      </c>
      <c r="L1372" s="3">
        <v>22</v>
      </c>
      <c r="M1372" s="3">
        <v>0.94</v>
      </c>
      <c r="O1372" s="3">
        <v>0.13</v>
      </c>
      <c r="P1372" s="4">
        <f t="shared" si="456"/>
        <v>0</v>
      </c>
      <c r="Q1372" s="3">
        <v>19</v>
      </c>
      <c r="R1372" s="3">
        <v>15</v>
      </c>
      <c r="S1372" s="3">
        <v>0.71</v>
      </c>
      <c r="AN1372" s="23"/>
    </row>
    <row r="1373" spans="1:50" ht="15" customHeight="1" x14ac:dyDescent="0.2">
      <c r="A1373" s="34" t="s">
        <v>601</v>
      </c>
      <c r="B1373" s="34" t="s">
        <v>602</v>
      </c>
      <c r="C1373" s="33"/>
      <c r="D1373" s="22"/>
      <c r="E1373" s="22"/>
      <c r="H1373" s="33" t="s">
        <v>28</v>
      </c>
      <c r="I1373" s="245" t="s">
        <v>1009</v>
      </c>
      <c r="J1373" s="36"/>
      <c r="K1373" s="36">
        <v>1.5</v>
      </c>
      <c r="L1373" s="36">
        <v>12</v>
      </c>
      <c r="M1373" s="3">
        <v>0.65</v>
      </c>
      <c r="O1373" s="3">
        <v>0.15</v>
      </c>
      <c r="P1373" s="4">
        <f t="shared" si="456"/>
        <v>0</v>
      </c>
      <c r="Q1373" s="3">
        <v>19</v>
      </c>
      <c r="R1373" s="36">
        <v>12</v>
      </c>
      <c r="S1373" s="3">
        <v>0.49</v>
      </c>
      <c r="T1373" s="36"/>
      <c r="U1373" s="36"/>
      <c r="V1373" s="36"/>
      <c r="Z1373" s="36"/>
      <c r="AA1373" s="36"/>
      <c r="AB1373" s="36"/>
      <c r="AN1373" s="23"/>
    </row>
    <row r="1374" spans="1:50" ht="15" customHeight="1" x14ac:dyDescent="0.2">
      <c r="A1374" s="24" t="s">
        <v>601</v>
      </c>
      <c r="B1374" s="24" t="s">
        <v>602</v>
      </c>
      <c r="D1374" s="22"/>
      <c r="E1374" s="22"/>
      <c r="H1374" s="2" t="s">
        <v>28</v>
      </c>
      <c r="I1374" s="243" t="s">
        <v>1009</v>
      </c>
      <c r="K1374" s="3">
        <v>1.78</v>
      </c>
      <c r="L1374" s="3">
        <v>10</v>
      </c>
      <c r="M1374" s="3">
        <v>1.1399999999999999</v>
      </c>
      <c r="O1374" s="3">
        <v>0.26</v>
      </c>
      <c r="P1374" s="4">
        <f t="shared" si="456"/>
        <v>0</v>
      </c>
      <c r="Q1374" s="3">
        <v>20</v>
      </c>
      <c r="R1374" s="3">
        <v>12</v>
      </c>
      <c r="S1374" s="3">
        <v>0.41</v>
      </c>
      <c r="AN1374" s="23"/>
    </row>
    <row r="1375" spans="1:50" ht="15" customHeight="1" x14ac:dyDescent="0.2">
      <c r="A1375" s="24" t="s">
        <v>601</v>
      </c>
      <c r="B1375" s="24" t="s">
        <v>602</v>
      </c>
      <c r="D1375" s="22"/>
      <c r="E1375" s="22"/>
      <c r="H1375" s="2" t="s">
        <v>28</v>
      </c>
      <c r="I1375" s="243" t="s">
        <v>1009</v>
      </c>
      <c r="K1375" s="3">
        <v>1.2</v>
      </c>
      <c r="L1375" s="3">
        <v>21</v>
      </c>
      <c r="M1375" s="3">
        <v>0.62</v>
      </c>
      <c r="O1375" s="3">
        <v>0.21</v>
      </c>
      <c r="P1375" s="4">
        <f t="shared" si="456"/>
        <v>0</v>
      </c>
      <c r="Q1375" s="3">
        <v>23</v>
      </c>
      <c r="R1375" s="3">
        <v>12</v>
      </c>
      <c r="S1375" s="3">
        <v>0.63</v>
      </c>
      <c r="AN1375" s="23"/>
    </row>
    <row r="1376" spans="1:50" ht="15" customHeight="1" x14ac:dyDescent="0.2">
      <c r="A1376" s="24" t="s">
        <v>601</v>
      </c>
      <c r="B1376" s="24" t="s">
        <v>602</v>
      </c>
      <c r="D1376" s="22"/>
      <c r="E1376" s="22"/>
      <c r="H1376" s="2" t="s">
        <v>28</v>
      </c>
      <c r="I1376" s="243" t="s">
        <v>1009</v>
      </c>
      <c r="K1376" s="3">
        <v>1.63</v>
      </c>
      <c r="L1376" s="3">
        <v>15</v>
      </c>
      <c r="M1376" s="3">
        <v>0.56000000000000005</v>
      </c>
      <c r="O1376" s="3">
        <v>0.2</v>
      </c>
      <c r="P1376" s="4" t="s">
        <v>0</v>
      </c>
      <c r="Q1376" s="3">
        <v>29</v>
      </c>
      <c r="R1376" s="3">
        <v>14</v>
      </c>
      <c r="S1376" s="3">
        <v>1.05</v>
      </c>
    </row>
    <row r="1377" spans="1:50" ht="15" customHeight="1" x14ac:dyDescent="0.2">
      <c r="A1377" s="24" t="s">
        <v>601</v>
      </c>
      <c r="B1377" s="24" t="s">
        <v>602</v>
      </c>
      <c r="D1377" s="22"/>
      <c r="E1377" s="22"/>
      <c r="H1377" s="2" t="s">
        <v>28</v>
      </c>
      <c r="I1377" s="243" t="s">
        <v>1009</v>
      </c>
      <c r="K1377" s="3">
        <v>1.65</v>
      </c>
      <c r="L1377" s="3">
        <v>27</v>
      </c>
      <c r="M1377" s="3">
        <v>0.56999999999999995</v>
      </c>
      <c r="O1377" s="3">
        <v>0.21</v>
      </c>
      <c r="P1377" s="4" t="s">
        <v>0</v>
      </c>
      <c r="Q1377" s="3">
        <v>35</v>
      </c>
      <c r="R1377" s="3">
        <v>14</v>
      </c>
      <c r="S1377" s="3">
        <v>1.18</v>
      </c>
    </row>
    <row r="1378" spans="1:50" ht="15" customHeight="1" x14ac:dyDescent="0.2">
      <c r="A1378" s="24" t="s">
        <v>601</v>
      </c>
      <c r="B1378" s="24" t="s">
        <v>602</v>
      </c>
      <c r="D1378" s="22"/>
      <c r="E1378" s="22"/>
      <c r="H1378" s="2" t="s">
        <v>28</v>
      </c>
      <c r="I1378" s="243" t="s">
        <v>1009</v>
      </c>
      <c r="K1378" s="3">
        <v>1.92</v>
      </c>
      <c r="L1378" s="3">
        <v>30</v>
      </c>
      <c r="M1378" s="3">
        <v>0.56999999999999995</v>
      </c>
      <c r="O1378" s="3">
        <v>0.28999999999999998</v>
      </c>
      <c r="P1378" s="4" t="s">
        <v>0</v>
      </c>
      <c r="Q1378" s="3">
        <v>50</v>
      </c>
      <c r="R1378" s="3">
        <v>13</v>
      </c>
      <c r="S1378" s="3">
        <v>1.75</v>
      </c>
    </row>
    <row r="1379" spans="1:50" ht="15" customHeight="1" x14ac:dyDescent="0.2">
      <c r="A1379" s="24" t="s">
        <v>601</v>
      </c>
      <c r="B1379" s="24" t="s">
        <v>602</v>
      </c>
      <c r="D1379" s="22"/>
      <c r="E1379" s="22"/>
      <c r="H1379" s="2" t="s">
        <v>28</v>
      </c>
      <c r="I1379" s="243" t="s">
        <v>1005</v>
      </c>
      <c r="J1379" s="3">
        <v>90.6</v>
      </c>
      <c r="K1379" s="3">
        <v>0.2</v>
      </c>
      <c r="L1379" s="3">
        <v>28</v>
      </c>
      <c r="M1379" s="3">
        <v>6</v>
      </c>
      <c r="P1379" s="4">
        <f t="shared" ref="P1379:P1380" si="457">AN1379</f>
        <v>0</v>
      </c>
      <c r="R1379" s="3">
        <v>8</v>
      </c>
      <c r="AN1379" s="23"/>
    </row>
    <row r="1380" spans="1:50" ht="15" customHeight="1" x14ac:dyDescent="0.2">
      <c r="A1380" s="24" t="s">
        <v>601</v>
      </c>
      <c r="B1380" s="24" t="s">
        <v>602</v>
      </c>
      <c r="D1380" s="22"/>
      <c r="E1380" s="22"/>
      <c r="H1380" s="2" t="s">
        <v>28</v>
      </c>
      <c r="I1380" s="243" t="s">
        <v>1006</v>
      </c>
      <c r="J1380" s="3">
        <v>91</v>
      </c>
      <c r="K1380" s="3">
        <v>2.0021999999999993</v>
      </c>
      <c r="L1380" s="3">
        <v>28.00259999999999</v>
      </c>
      <c r="M1380" s="3">
        <v>1.5039999999999996</v>
      </c>
      <c r="P1380" s="4">
        <f t="shared" si="457"/>
        <v>0</v>
      </c>
      <c r="R1380" s="3">
        <v>7.0593999999999975</v>
      </c>
      <c r="AE1380" s="23"/>
      <c r="AN1380" s="23"/>
    </row>
    <row r="1381" spans="1:50" ht="15" customHeight="1" x14ac:dyDescent="0.2">
      <c r="A1381" s="24" t="s">
        <v>601</v>
      </c>
      <c r="B1381" s="24" t="s">
        <v>602</v>
      </c>
      <c r="D1381" s="22"/>
      <c r="E1381" s="22"/>
      <c r="H1381" s="2" t="s">
        <v>28</v>
      </c>
      <c r="I1381" s="243" t="s">
        <v>1009</v>
      </c>
      <c r="K1381" s="3">
        <v>1.32</v>
      </c>
      <c r="L1381" s="3">
        <v>28</v>
      </c>
      <c r="M1381" s="3">
        <v>0.81</v>
      </c>
      <c r="O1381" s="3">
        <v>0.19</v>
      </c>
      <c r="P1381" s="4" t="s">
        <v>0</v>
      </c>
      <c r="R1381" s="3">
        <v>2</v>
      </c>
    </row>
    <row r="1382" spans="1:50" s="71" customFormat="1" ht="15" customHeight="1" x14ac:dyDescent="0.2">
      <c r="A1382" s="70" t="s">
        <v>601</v>
      </c>
      <c r="B1382" s="70" t="s">
        <v>602</v>
      </c>
      <c r="C1382" s="71" t="s">
        <v>603</v>
      </c>
      <c r="D1382" s="71" t="s">
        <v>25</v>
      </c>
      <c r="E1382" s="71" t="s">
        <v>46</v>
      </c>
      <c r="F1382" s="78" t="s">
        <v>782</v>
      </c>
      <c r="H1382" s="71" t="s">
        <v>28</v>
      </c>
      <c r="I1382" s="87"/>
      <c r="J1382" s="72">
        <f t="shared" ref="J1382" si="458">AVERAGE(J1368:J1381)</f>
        <v>90.8</v>
      </c>
      <c r="K1382" s="72">
        <f>AVERAGE(K1368:K1381)</f>
        <v>1.5165857142857142</v>
      </c>
      <c r="L1382" s="72">
        <f>AVERAGE(L1368:L1381)</f>
        <v>18.928757142857144</v>
      </c>
      <c r="M1382" s="72">
        <f>AVERAGE(M1368:M1381)</f>
        <v>1.1709999999999998</v>
      </c>
      <c r="N1382" s="72"/>
      <c r="O1382" s="72">
        <f>AVERAGE(O1368:O1381)</f>
        <v>0.19999999999999998</v>
      </c>
      <c r="P1382" s="72">
        <f>AVERAGE(P1368:P1381)</f>
        <v>0</v>
      </c>
      <c r="Q1382" s="72">
        <f>AVERAGE(Q1368:Q1381)</f>
        <v>21.818181818181817</v>
      </c>
      <c r="R1382" s="72">
        <f>AVERAGE(R1368:R1381)</f>
        <v>10.861385714285715</v>
      </c>
      <c r="S1382" s="72">
        <f>AVERAGE(S1368:S1381)</f>
        <v>0.86818181818181828</v>
      </c>
      <c r="T1382" s="72"/>
      <c r="U1382" s="72"/>
      <c r="V1382" s="72"/>
      <c r="W1382" s="72"/>
      <c r="X1382" s="72"/>
      <c r="Y1382" s="72"/>
      <c r="Z1382" s="72"/>
      <c r="AA1382" s="72"/>
      <c r="AB1382" s="72"/>
      <c r="AC1382" s="73"/>
      <c r="AD1382" s="73"/>
      <c r="AE1382" s="73"/>
      <c r="AF1382" s="73"/>
      <c r="AG1382" s="73"/>
      <c r="AH1382" s="73"/>
      <c r="AI1382" s="73"/>
      <c r="AJ1382" s="73"/>
      <c r="AK1382" s="73"/>
      <c r="AL1382" s="73"/>
      <c r="AM1382" s="73"/>
      <c r="AN1382" s="73"/>
      <c r="AO1382" s="73"/>
      <c r="AP1382" s="73"/>
      <c r="AQ1382" s="73"/>
      <c r="AR1382" s="73"/>
      <c r="AS1382" s="73"/>
      <c r="AT1382" s="73"/>
      <c r="AU1382" s="73"/>
      <c r="AV1382" s="73"/>
      <c r="AW1382" s="73"/>
      <c r="AX1382" s="73"/>
    </row>
    <row r="1383" spans="1:50" ht="15" customHeight="1" x14ac:dyDescent="0.2">
      <c r="A1383" s="24" t="s">
        <v>601</v>
      </c>
      <c r="B1383" s="24" t="s">
        <v>602</v>
      </c>
      <c r="D1383" s="22"/>
      <c r="E1383" s="22"/>
      <c r="H1383" s="2" t="s">
        <v>33</v>
      </c>
      <c r="I1383" s="243" t="s">
        <v>1005</v>
      </c>
      <c r="J1383" s="3">
        <v>82.1</v>
      </c>
      <c r="K1383" s="3">
        <v>2.4</v>
      </c>
      <c r="L1383" s="3">
        <v>523</v>
      </c>
      <c r="P1383" s="4">
        <f t="shared" ref="P1383:P1385" si="459">AN1383</f>
        <v>0</v>
      </c>
      <c r="R1383" s="3">
        <v>67</v>
      </c>
      <c r="AN1383" s="23"/>
    </row>
    <row r="1384" spans="1:50" ht="15" customHeight="1" x14ac:dyDescent="0.2">
      <c r="A1384" s="24" t="s">
        <v>601</v>
      </c>
      <c r="B1384" s="24" t="s">
        <v>602</v>
      </c>
      <c r="D1384" s="22"/>
      <c r="E1384" s="22"/>
      <c r="H1384" s="2" t="s">
        <v>33</v>
      </c>
      <c r="I1384" s="243" t="s">
        <v>1034</v>
      </c>
      <c r="J1384" s="3">
        <f>100-14.2</f>
        <v>85.8</v>
      </c>
      <c r="K1384" s="3">
        <v>1.76</v>
      </c>
      <c r="L1384" s="3" t="s">
        <v>0</v>
      </c>
      <c r="M1384" s="3">
        <v>2.52</v>
      </c>
      <c r="O1384" s="3">
        <v>0.81</v>
      </c>
      <c r="P1384" s="4">
        <v>0</v>
      </c>
      <c r="R1384" s="3">
        <v>44</v>
      </c>
      <c r="S1384" s="3">
        <v>7.31</v>
      </c>
      <c r="AE1384" s="23"/>
      <c r="AN1384" s="23"/>
    </row>
    <row r="1385" spans="1:50" ht="15" customHeight="1" x14ac:dyDescent="0.2">
      <c r="A1385" s="24" t="s">
        <v>601</v>
      </c>
      <c r="B1385" s="24" t="s">
        <v>602</v>
      </c>
      <c r="D1385" s="22"/>
      <c r="E1385" s="22"/>
      <c r="H1385" s="2" t="s">
        <v>33</v>
      </c>
      <c r="I1385" s="243" t="s">
        <v>1006</v>
      </c>
      <c r="J1385" s="3">
        <v>82</v>
      </c>
      <c r="K1385" s="3">
        <v>2.398600000000001</v>
      </c>
      <c r="L1385" s="3">
        <v>523.00220000000013</v>
      </c>
      <c r="M1385" s="3">
        <v>5.9965000000000019</v>
      </c>
      <c r="P1385" s="4">
        <f t="shared" si="459"/>
        <v>0</v>
      </c>
      <c r="R1385" s="3">
        <v>66.999700000000018</v>
      </c>
      <c r="AN1385" s="23"/>
    </row>
    <row r="1386" spans="1:50" s="71" customFormat="1" ht="15" customHeight="1" x14ac:dyDescent="0.2">
      <c r="A1386" s="70" t="s">
        <v>601</v>
      </c>
      <c r="B1386" s="70" t="s">
        <v>602</v>
      </c>
      <c r="C1386" s="71" t="s">
        <v>603</v>
      </c>
      <c r="D1386" s="71" t="s">
        <v>25</v>
      </c>
      <c r="E1386" s="71" t="s">
        <v>46</v>
      </c>
      <c r="F1386" s="78" t="s">
        <v>782</v>
      </c>
      <c r="H1386" s="71" t="s">
        <v>33</v>
      </c>
      <c r="I1386" s="87"/>
      <c r="J1386" s="72">
        <f t="shared" ref="J1386" si="460">AVERAGE(J1383:J1385)</f>
        <v>83.3</v>
      </c>
      <c r="K1386" s="72">
        <f>AVERAGE(K1383:K1385)</f>
        <v>2.1862000000000004</v>
      </c>
      <c r="L1386" s="72">
        <f>AVERAGE(L1383:L1385)</f>
        <v>523.00110000000006</v>
      </c>
      <c r="M1386" s="72">
        <f>AVERAGE(M1383:M1385)</f>
        <v>4.2582500000000012</v>
      </c>
      <c r="N1386" s="72"/>
      <c r="O1386" s="72">
        <f>AVERAGE(O1383:O1385)</f>
        <v>0.81</v>
      </c>
      <c r="P1386" s="72">
        <f>AVERAGE(P1383:P1385)</f>
        <v>0</v>
      </c>
      <c r="Q1386" s="72"/>
      <c r="R1386" s="72">
        <f>AVERAGE(R1383:R1385)</f>
        <v>59.333233333333339</v>
      </c>
      <c r="S1386" s="72">
        <f>AVERAGE(S1383:S1385)</f>
        <v>7.31</v>
      </c>
      <c r="T1386" s="72"/>
      <c r="U1386" s="72"/>
      <c r="V1386" s="72"/>
      <c r="W1386" s="72"/>
      <c r="X1386" s="72"/>
      <c r="Y1386" s="72"/>
      <c r="Z1386" s="72"/>
      <c r="AA1386" s="72"/>
      <c r="AB1386" s="72"/>
      <c r="AC1386" s="73"/>
      <c r="AD1386" s="73"/>
      <c r="AE1386" s="73"/>
      <c r="AF1386" s="73"/>
      <c r="AG1386" s="73"/>
      <c r="AH1386" s="73"/>
      <c r="AI1386" s="73"/>
      <c r="AJ1386" s="73"/>
      <c r="AK1386" s="73"/>
      <c r="AL1386" s="73"/>
      <c r="AM1386" s="73"/>
      <c r="AN1386" s="73"/>
      <c r="AO1386" s="73"/>
      <c r="AP1386" s="73"/>
      <c r="AQ1386" s="73"/>
      <c r="AR1386" s="73"/>
      <c r="AS1386" s="73"/>
      <c r="AT1386" s="73"/>
      <c r="AU1386" s="73"/>
      <c r="AV1386" s="73"/>
      <c r="AW1386" s="73"/>
      <c r="AX1386" s="73"/>
    </row>
    <row r="1387" spans="1:50" ht="15" customHeight="1" x14ac:dyDescent="0.2">
      <c r="A1387" s="24" t="s">
        <v>601</v>
      </c>
      <c r="B1387" s="24" t="s">
        <v>604</v>
      </c>
      <c r="D1387" s="22"/>
      <c r="E1387" s="22"/>
      <c r="H1387" s="2" t="s">
        <v>33</v>
      </c>
      <c r="I1387" s="243" t="s">
        <v>1010</v>
      </c>
      <c r="J1387" s="3">
        <v>85</v>
      </c>
      <c r="L1387" s="3">
        <v>210</v>
      </c>
      <c r="M1387" s="3">
        <v>6.1</v>
      </c>
      <c r="P1387" s="4" t="s">
        <v>0</v>
      </c>
      <c r="R1387" s="3">
        <v>40</v>
      </c>
    </row>
    <row r="1388" spans="1:50" ht="15" customHeight="1" x14ac:dyDescent="0.2">
      <c r="A1388" s="24" t="s">
        <v>601</v>
      </c>
      <c r="B1388" s="24" t="s">
        <v>604</v>
      </c>
      <c r="D1388" s="22"/>
      <c r="E1388" s="22"/>
      <c r="H1388" s="2" t="s">
        <v>33</v>
      </c>
      <c r="I1388" s="243" t="s">
        <v>1009</v>
      </c>
      <c r="K1388" s="3">
        <v>1.0900000000000001</v>
      </c>
      <c r="L1388" s="3">
        <v>217</v>
      </c>
      <c r="M1388" s="3">
        <v>2.35</v>
      </c>
      <c r="O1388" s="3">
        <v>0.28000000000000003</v>
      </c>
      <c r="P1388" s="4">
        <f t="shared" ref="P1388" si="461">AN1388</f>
        <v>0</v>
      </c>
      <c r="R1388" s="3">
        <v>62</v>
      </c>
      <c r="AN1388" s="23"/>
    </row>
    <row r="1389" spans="1:50" s="71" customFormat="1" ht="15" customHeight="1" x14ac:dyDescent="0.2">
      <c r="A1389" s="70" t="s">
        <v>601</v>
      </c>
      <c r="B1389" s="70" t="s">
        <v>604</v>
      </c>
      <c r="C1389" s="71" t="s">
        <v>605</v>
      </c>
      <c r="D1389" s="71" t="s">
        <v>25</v>
      </c>
      <c r="E1389" s="71" t="s">
        <v>46</v>
      </c>
      <c r="F1389" s="78" t="s">
        <v>782</v>
      </c>
      <c r="H1389" s="71" t="s">
        <v>33</v>
      </c>
      <c r="I1389" s="87"/>
      <c r="J1389" s="72">
        <f>AVERAGE(J1387:J1388)</f>
        <v>85</v>
      </c>
      <c r="K1389" s="72">
        <f>AVERAGE(K1387:K1388)</f>
        <v>1.0900000000000001</v>
      </c>
      <c r="L1389" s="72">
        <f>AVERAGE(L1387:L1388)</f>
        <v>213.5</v>
      </c>
      <c r="M1389" s="72">
        <f>AVERAGE(M1387:M1388)</f>
        <v>4.2249999999999996</v>
      </c>
      <c r="N1389" s="72"/>
      <c r="O1389" s="72">
        <f>AVERAGE(O1387:O1388)</f>
        <v>0.28000000000000003</v>
      </c>
      <c r="P1389" s="72">
        <f>AVERAGE(P1387:P1388)</f>
        <v>0</v>
      </c>
      <c r="Q1389" s="72"/>
      <c r="R1389" s="72">
        <f>AVERAGE(R1387:R1388)</f>
        <v>51</v>
      </c>
      <c r="S1389" s="72"/>
      <c r="T1389" s="72"/>
      <c r="U1389" s="72"/>
      <c r="V1389" s="72"/>
      <c r="W1389" s="72"/>
      <c r="X1389" s="72"/>
      <c r="Y1389" s="72"/>
      <c r="Z1389" s="72"/>
      <c r="AA1389" s="72"/>
      <c r="AB1389" s="72"/>
      <c r="AC1389" s="73"/>
      <c r="AD1389" s="73"/>
      <c r="AE1389" s="73"/>
      <c r="AF1389" s="73"/>
      <c r="AG1389" s="73"/>
      <c r="AH1389" s="73"/>
      <c r="AI1389" s="73"/>
      <c r="AJ1389" s="73"/>
      <c r="AK1389" s="73"/>
      <c r="AL1389" s="73"/>
      <c r="AM1389" s="73"/>
      <c r="AN1389" s="73"/>
      <c r="AO1389" s="73"/>
      <c r="AP1389" s="73"/>
      <c r="AQ1389" s="73"/>
      <c r="AR1389" s="73"/>
      <c r="AS1389" s="73"/>
      <c r="AT1389" s="73"/>
      <c r="AU1389" s="73"/>
      <c r="AV1389" s="73"/>
      <c r="AW1389" s="73"/>
      <c r="AX1389" s="73"/>
    </row>
    <row r="1390" spans="1:50" s="22" customFormat="1" ht="15" customHeight="1" x14ac:dyDescent="0.2">
      <c r="A1390" s="21" t="s">
        <v>606</v>
      </c>
      <c r="B1390" s="21" t="s">
        <v>607</v>
      </c>
      <c r="C1390" s="22" t="s">
        <v>0</v>
      </c>
      <c r="H1390" s="22" t="s">
        <v>28</v>
      </c>
      <c r="I1390" s="65" t="s">
        <v>1012</v>
      </c>
      <c r="J1390" s="4">
        <v>61.2</v>
      </c>
      <c r="K1390" s="4"/>
      <c r="L1390" s="4"/>
      <c r="M1390" s="4"/>
      <c r="N1390" s="4"/>
      <c r="O1390" s="4"/>
      <c r="P1390" s="4" t="s">
        <v>0</v>
      </c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  <c r="AB1390" s="4"/>
      <c r="AC1390" s="23"/>
      <c r="AD1390" s="23"/>
      <c r="AE1390" s="23"/>
      <c r="AF1390" s="23"/>
      <c r="AG1390" s="23"/>
      <c r="AH1390" s="23"/>
      <c r="AI1390" s="23"/>
      <c r="AJ1390" s="23"/>
      <c r="AK1390" s="23"/>
      <c r="AL1390" s="23"/>
      <c r="AM1390" s="23"/>
      <c r="AN1390" s="23"/>
      <c r="AO1390" s="23"/>
      <c r="AP1390" s="23"/>
      <c r="AQ1390" s="23"/>
      <c r="AR1390" s="23"/>
      <c r="AS1390" s="23"/>
      <c r="AT1390" s="23"/>
      <c r="AU1390" s="23"/>
      <c r="AV1390" s="23"/>
      <c r="AW1390" s="23"/>
      <c r="AX1390" s="23"/>
    </row>
    <row r="1391" spans="1:50" s="71" customFormat="1" ht="15" customHeight="1" x14ac:dyDescent="0.2">
      <c r="A1391" s="70" t="s">
        <v>606</v>
      </c>
      <c r="B1391" s="70" t="s">
        <v>607</v>
      </c>
      <c r="C1391" s="71" t="s">
        <v>608</v>
      </c>
      <c r="D1391" s="71" t="s">
        <v>31</v>
      </c>
      <c r="E1391" s="71" t="s">
        <v>46</v>
      </c>
      <c r="F1391" s="78" t="s">
        <v>782</v>
      </c>
      <c r="H1391" s="71" t="s">
        <v>28</v>
      </c>
      <c r="I1391" s="87"/>
      <c r="J1391" s="72">
        <f>J1390</f>
        <v>61.2</v>
      </c>
      <c r="K1391" s="72"/>
      <c r="L1391" s="72"/>
      <c r="M1391" s="72"/>
      <c r="N1391" s="72"/>
      <c r="O1391" s="72"/>
      <c r="P1391" s="72"/>
      <c r="Q1391" s="72"/>
      <c r="R1391" s="72"/>
      <c r="S1391" s="72"/>
      <c r="T1391" s="72"/>
      <c r="U1391" s="72"/>
      <c r="V1391" s="72"/>
      <c r="W1391" s="72"/>
      <c r="X1391" s="72"/>
      <c r="Y1391" s="72"/>
      <c r="Z1391" s="72"/>
      <c r="AA1391" s="72"/>
      <c r="AB1391" s="72"/>
      <c r="AC1391" s="73"/>
      <c r="AD1391" s="73"/>
      <c r="AE1391" s="73"/>
      <c r="AF1391" s="73"/>
      <c r="AG1391" s="73"/>
      <c r="AH1391" s="73"/>
      <c r="AI1391" s="73"/>
      <c r="AJ1391" s="73"/>
      <c r="AK1391" s="73"/>
      <c r="AL1391" s="73"/>
      <c r="AM1391" s="73"/>
      <c r="AN1391" s="73"/>
      <c r="AO1391" s="73"/>
      <c r="AP1391" s="73"/>
      <c r="AQ1391" s="73"/>
      <c r="AR1391" s="73"/>
      <c r="AS1391" s="73"/>
      <c r="AT1391" s="73"/>
      <c r="AU1391" s="73"/>
      <c r="AV1391" s="73"/>
      <c r="AW1391" s="73"/>
      <c r="AX1391" s="73"/>
    </row>
    <row r="1392" spans="1:50" ht="15" customHeight="1" x14ac:dyDescent="0.2">
      <c r="A1392" s="24" t="s">
        <v>606</v>
      </c>
      <c r="B1392" s="24" t="s">
        <v>609</v>
      </c>
      <c r="D1392" s="22"/>
      <c r="E1392" s="22"/>
      <c r="F1392" s="22"/>
      <c r="H1392" s="2" t="s">
        <v>28</v>
      </c>
      <c r="I1392" s="243" t="s">
        <v>1012</v>
      </c>
      <c r="J1392" s="3">
        <v>77.8</v>
      </c>
      <c r="K1392" s="3">
        <v>0.3</v>
      </c>
      <c r="L1392" s="3">
        <v>67</v>
      </c>
      <c r="P1392" s="4" t="s">
        <v>0</v>
      </c>
    </row>
    <row r="1393" spans="1:50" ht="15" customHeight="1" x14ac:dyDescent="0.2">
      <c r="A1393" s="24" t="s">
        <v>606</v>
      </c>
      <c r="B1393" s="24" t="s">
        <v>609</v>
      </c>
      <c r="D1393" s="22"/>
      <c r="E1393" s="22"/>
      <c r="F1393" s="22"/>
      <c r="H1393" s="2" t="s">
        <v>28</v>
      </c>
      <c r="I1393" s="243" t="s">
        <v>1012</v>
      </c>
      <c r="J1393" s="3">
        <v>68.400000000000006</v>
      </c>
      <c r="K1393" s="3">
        <v>0.6</v>
      </c>
      <c r="L1393" s="3">
        <v>81</v>
      </c>
      <c r="P1393" s="4" t="s">
        <v>0</v>
      </c>
    </row>
    <row r="1394" spans="1:50" ht="15" customHeight="1" x14ac:dyDescent="0.2">
      <c r="A1394" s="24" t="s">
        <v>606</v>
      </c>
      <c r="B1394" s="24" t="s">
        <v>609</v>
      </c>
      <c r="D1394" s="22"/>
      <c r="E1394" s="22"/>
      <c r="F1394" s="22"/>
      <c r="H1394" s="2" t="s">
        <v>28</v>
      </c>
      <c r="I1394" s="243" t="s">
        <v>1012</v>
      </c>
      <c r="J1394" s="3">
        <v>78.7</v>
      </c>
      <c r="K1394" s="3">
        <v>0.6</v>
      </c>
      <c r="L1394" s="3">
        <v>98</v>
      </c>
      <c r="P1394" s="4" t="s">
        <v>0</v>
      </c>
    </row>
    <row r="1395" spans="1:50" ht="15" customHeight="1" x14ac:dyDescent="0.2">
      <c r="A1395" s="24" t="s">
        <v>606</v>
      </c>
      <c r="B1395" s="24" t="s">
        <v>609</v>
      </c>
      <c r="D1395" s="22"/>
      <c r="E1395" s="22"/>
      <c r="F1395" s="22"/>
      <c r="H1395" s="2" t="s">
        <v>28</v>
      </c>
      <c r="I1395" s="243" t="s">
        <v>1012</v>
      </c>
      <c r="J1395" s="3">
        <v>72.900000000000006</v>
      </c>
      <c r="K1395" s="3">
        <v>1.4</v>
      </c>
      <c r="L1395" s="3">
        <v>130</v>
      </c>
      <c r="P1395" s="4" t="s">
        <v>0</v>
      </c>
    </row>
    <row r="1396" spans="1:50" ht="15" customHeight="1" x14ac:dyDescent="0.2">
      <c r="A1396" s="24" t="s">
        <v>606</v>
      </c>
      <c r="B1396" s="24" t="s">
        <v>609</v>
      </c>
      <c r="D1396" s="22"/>
      <c r="E1396" s="22"/>
      <c r="F1396" s="22"/>
      <c r="H1396" s="2" t="s">
        <v>28</v>
      </c>
      <c r="I1396" s="243" t="s">
        <v>1012</v>
      </c>
      <c r="J1396" s="3">
        <v>81.7</v>
      </c>
      <c r="K1396" s="3">
        <v>0.5</v>
      </c>
      <c r="P1396" s="4" t="s">
        <v>0</v>
      </c>
    </row>
    <row r="1397" spans="1:50" ht="15" customHeight="1" x14ac:dyDescent="0.2">
      <c r="A1397" s="24" t="s">
        <v>606</v>
      </c>
      <c r="B1397" s="24" t="s">
        <v>609</v>
      </c>
      <c r="D1397" s="22"/>
      <c r="E1397" s="22"/>
      <c r="F1397" s="22"/>
      <c r="H1397" s="2" t="s">
        <v>28</v>
      </c>
      <c r="I1397" s="243" t="s">
        <v>1012</v>
      </c>
      <c r="J1397" s="3">
        <v>78.2</v>
      </c>
      <c r="K1397" s="3">
        <v>0.6</v>
      </c>
      <c r="P1397" s="4" t="s">
        <v>0</v>
      </c>
    </row>
    <row r="1398" spans="1:50" s="71" customFormat="1" ht="15" customHeight="1" x14ac:dyDescent="0.2">
      <c r="A1398" s="70" t="s">
        <v>606</v>
      </c>
      <c r="B1398" s="70" t="s">
        <v>609</v>
      </c>
      <c r="C1398" s="71" t="s">
        <v>610</v>
      </c>
      <c r="D1398" s="71" t="s">
        <v>31</v>
      </c>
      <c r="E1398" s="71" t="s">
        <v>46</v>
      </c>
      <c r="F1398" s="78" t="s">
        <v>782</v>
      </c>
      <c r="H1398" s="71" t="s">
        <v>28</v>
      </c>
      <c r="I1398" s="87"/>
      <c r="J1398" s="72">
        <f>AVERAGE(J1392:J1397)</f>
        <v>76.283333333333317</v>
      </c>
      <c r="K1398" s="72">
        <f>AVERAGE(K1392:K1397)</f>
        <v>0.66666666666666663</v>
      </c>
      <c r="L1398" s="72">
        <f>AVERAGE(L1392:L1397)</f>
        <v>94</v>
      </c>
      <c r="M1398" s="72"/>
      <c r="N1398" s="72"/>
      <c r="O1398" s="72"/>
      <c r="P1398" s="72"/>
      <c r="Q1398" s="72"/>
      <c r="R1398" s="72"/>
      <c r="S1398" s="72"/>
      <c r="T1398" s="72"/>
      <c r="U1398" s="72"/>
      <c r="V1398" s="72"/>
      <c r="W1398" s="72"/>
      <c r="X1398" s="72"/>
      <c r="Y1398" s="72"/>
      <c r="Z1398" s="72"/>
      <c r="AA1398" s="72"/>
      <c r="AB1398" s="72"/>
      <c r="AC1398" s="73"/>
      <c r="AD1398" s="73"/>
      <c r="AE1398" s="73"/>
      <c r="AF1398" s="73"/>
      <c r="AG1398" s="73"/>
      <c r="AH1398" s="73"/>
      <c r="AI1398" s="73"/>
      <c r="AJ1398" s="73"/>
      <c r="AK1398" s="73"/>
      <c r="AL1398" s="73"/>
      <c r="AM1398" s="73"/>
      <c r="AN1398" s="73"/>
      <c r="AO1398" s="73"/>
      <c r="AP1398" s="73"/>
      <c r="AQ1398" s="73"/>
      <c r="AR1398" s="73"/>
      <c r="AS1398" s="73"/>
      <c r="AT1398" s="73"/>
      <c r="AU1398" s="73"/>
      <c r="AV1398" s="73"/>
      <c r="AW1398" s="73"/>
      <c r="AX1398" s="73"/>
    </row>
    <row r="1399" spans="1:50" s="22" customFormat="1" ht="15" customHeight="1" x14ac:dyDescent="0.2">
      <c r="A1399" s="21" t="s">
        <v>606</v>
      </c>
      <c r="B1399" s="21" t="s">
        <v>611</v>
      </c>
      <c r="C1399" s="22" t="s">
        <v>0</v>
      </c>
      <c r="H1399" s="22" t="s">
        <v>28</v>
      </c>
      <c r="I1399" s="65" t="s">
        <v>1012</v>
      </c>
      <c r="J1399" s="4">
        <v>86</v>
      </c>
      <c r="K1399" s="4">
        <v>1.8</v>
      </c>
      <c r="L1399" s="4">
        <v>35</v>
      </c>
      <c r="M1399" s="4"/>
      <c r="N1399" s="4"/>
      <c r="O1399" s="4"/>
      <c r="P1399" s="4" t="s">
        <v>0</v>
      </c>
      <c r="Q1399" s="4"/>
      <c r="R1399" s="4"/>
      <c r="S1399" s="4"/>
      <c r="T1399" s="4"/>
      <c r="U1399" s="4"/>
      <c r="V1399" s="4"/>
      <c r="W1399" s="4"/>
      <c r="X1399" s="4"/>
      <c r="Y1399" s="4"/>
      <c r="Z1399" s="4"/>
      <c r="AA1399" s="4"/>
      <c r="AB1399" s="4"/>
      <c r="AC1399" s="23"/>
      <c r="AD1399" s="23"/>
      <c r="AE1399" s="23"/>
      <c r="AF1399" s="23"/>
      <c r="AG1399" s="23"/>
      <c r="AH1399" s="23"/>
      <c r="AI1399" s="23"/>
      <c r="AJ1399" s="23"/>
      <c r="AK1399" s="23"/>
      <c r="AL1399" s="23"/>
      <c r="AM1399" s="23"/>
      <c r="AN1399" s="23"/>
      <c r="AO1399" s="23"/>
      <c r="AP1399" s="23"/>
      <c r="AQ1399" s="23"/>
      <c r="AR1399" s="23"/>
      <c r="AS1399" s="23"/>
      <c r="AT1399" s="23"/>
      <c r="AU1399" s="23"/>
      <c r="AV1399" s="23"/>
      <c r="AW1399" s="23"/>
      <c r="AX1399" s="23"/>
    </row>
    <row r="1400" spans="1:50" s="71" customFormat="1" ht="15" customHeight="1" x14ac:dyDescent="0.2">
      <c r="A1400" s="70" t="s">
        <v>606</v>
      </c>
      <c r="B1400" s="70" t="s">
        <v>611</v>
      </c>
      <c r="C1400" s="71" t="s">
        <v>608</v>
      </c>
      <c r="D1400" s="71" t="s">
        <v>31</v>
      </c>
      <c r="E1400" s="71" t="s">
        <v>46</v>
      </c>
      <c r="F1400" s="78" t="s">
        <v>782</v>
      </c>
      <c r="H1400" s="71" t="s">
        <v>28</v>
      </c>
      <c r="I1400" s="87"/>
      <c r="J1400" s="72">
        <f>J1399</f>
        <v>86</v>
      </c>
      <c r="K1400" s="72">
        <f>K1399</f>
        <v>1.8</v>
      </c>
      <c r="L1400" s="72">
        <f>L1399</f>
        <v>35</v>
      </c>
      <c r="M1400" s="72"/>
      <c r="N1400" s="72"/>
      <c r="O1400" s="72"/>
      <c r="P1400" s="72"/>
      <c r="Q1400" s="72"/>
      <c r="R1400" s="72"/>
      <c r="S1400" s="72"/>
      <c r="T1400" s="72"/>
      <c r="U1400" s="72"/>
      <c r="V1400" s="72"/>
      <c r="W1400" s="72"/>
      <c r="X1400" s="72"/>
      <c r="Y1400" s="72"/>
      <c r="Z1400" s="72"/>
      <c r="AA1400" s="72"/>
      <c r="AB1400" s="72"/>
      <c r="AC1400" s="73"/>
      <c r="AD1400" s="73"/>
      <c r="AE1400" s="73"/>
      <c r="AF1400" s="73"/>
      <c r="AG1400" s="73"/>
      <c r="AH1400" s="73"/>
      <c r="AI1400" s="73"/>
      <c r="AJ1400" s="73"/>
      <c r="AK1400" s="73"/>
      <c r="AL1400" s="73"/>
      <c r="AM1400" s="73"/>
      <c r="AN1400" s="73"/>
      <c r="AO1400" s="73"/>
      <c r="AP1400" s="73"/>
      <c r="AQ1400" s="73"/>
      <c r="AR1400" s="73"/>
      <c r="AS1400" s="73"/>
      <c r="AT1400" s="73"/>
      <c r="AU1400" s="73"/>
      <c r="AV1400" s="73"/>
      <c r="AW1400" s="73"/>
      <c r="AX1400" s="73"/>
    </row>
    <row r="1401" spans="1:50" s="22" customFormat="1" ht="15" customHeight="1" x14ac:dyDescent="0.2">
      <c r="A1401" s="21" t="s">
        <v>601</v>
      </c>
      <c r="B1401" s="21" t="s">
        <v>612</v>
      </c>
      <c r="C1401" s="22" t="s">
        <v>0</v>
      </c>
      <c r="H1401" s="22" t="s">
        <v>28</v>
      </c>
      <c r="I1401" s="65" t="s">
        <v>1009</v>
      </c>
      <c r="J1401" s="4"/>
      <c r="K1401" s="4">
        <v>2.9</v>
      </c>
      <c r="L1401" s="4">
        <v>28</v>
      </c>
      <c r="M1401" s="4">
        <v>0.92</v>
      </c>
      <c r="N1401" s="4"/>
      <c r="O1401" s="4"/>
      <c r="P1401" s="4">
        <f t="shared" ref="P1401" si="462">AN1401</f>
        <v>0</v>
      </c>
      <c r="Q1401" s="4"/>
      <c r="R1401" s="4">
        <v>11</v>
      </c>
      <c r="S1401" s="4">
        <v>0.41</v>
      </c>
      <c r="T1401" s="4"/>
      <c r="U1401" s="4"/>
      <c r="V1401" s="4"/>
      <c r="W1401" s="4"/>
      <c r="X1401" s="4"/>
      <c r="Y1401" s="4"/>
      <c r="Z1401" s="4"/>
      <c r="AA1401" s="4"/>
      <c r="AB1401" s="4"/>
      <c r="AC1401" s="23"/>
      <c r="AD1401" s="23"/>
      <c r="AE1401" s="23"/>
      <c r="AF1401" s="23"/>
      <c r="AG1401" s="5"/>
      <c r="AH1401" s="23"/>
      <c r="AI1401" s="23"/>
      <c r="AJ1401" s="23"/>
      <c r="AK1401" s="23"/>
      <c r="AL1401" s="23"/>
      <c r="AM1401" s="23"/>
      <c r="AN1401" s="23"/>
      <c r="AO1401" s="23"/>
      <c r="AP1401" s="23"/>
      <c r="AQ1401" s="23"/>
      <c r="AR1401" s="23"/>
      <c r="AS1401" s="23"/>
      <c r="AT1401" s="23"/>
      <c r="AU1401" s="23"/>
      <c r="AV1401" s="23"/>
      <c r="AW1401" s="23"/>
      <c r="AX1401" s="23"/>
    </row>
    <row r="1402" spans="1:50" s="71" customFormat="1" ht="15" customHeight="1" x14ac:dyDescent="0.2">
      <c r="A1402" s="70" t="s">
        <v>601</v>
      </c>
      <c r="B1402" s="70" t="s">
        <v>612</v>
      </c>
      <c r="C1402" s="71" t="s">
        <v>613</v>
      </c>
      <c r="D1402" s="71" t="s">
        <v>31</v>
      </c>
      <c r="E1402" s="71" t="s">
        <v>46</v>
      </c>
      <c r="F1402" s="78" t="s">
        <v>782</v>
      </c>
      <c r="H1402" s="71" t="s">
        <v>28</v>
      </c>
      <c r="I1402" s="87"/>
      <c r="J1402" s="72"/>
      <c r="K1402" s="72">
        <f>K1401</f>
        <v>2.9</v>
      </c>
      <c r="L1402" s="72">
        <f>L1401</f>
        <v>28</v>
      </c>
      <c r="M1402" s="72">
        <f>M1401</f>
        <v>0.92</v>
      </c>
      <c r="N1402" s="72"/>
      <c r="O1402" s="72"/>
      <c r="P1402" s="72">
        <f>P1401</f>
        <v>0</v>
      </c>
      <c r="Q1402" s="72"/>
      <c r="R1402" s="72">
        <f>R1401</f>
        <v>11</v>
      </c>
      <c r="S1402" s="72">
        <f>S1401</f>
        <v>0.41</v>
      </c>
      <c r="T1402" s="72"/>
      <c r="U1402" s="72"/>
      <c r="V1402" s="72"/>
      <c r="W1402" s="72"/>
      <c r="X1402" s="72"/>
      <c r="Y1402" s="72"/>
      <c r="Z1402" s="72"/>
      <c r="AA1402" s="72"/>
      <c r="AB1402" s="72"/>
      <c r="AC1402" s="73"/>
      <c r="AD1402" s="73"/>
      <c r="AE1402" s="73"/>
      <c r="AF1402" s="73"/>
      <c r="AG1402" s="73"/>
      <c r="AH1402" s="73"/>
      <c r="AI1402" s="73"/>
      <c r="AJ1402" s="73"/>
      <c r="AK1402" s="73"/>
      <c r="AL1402" s="73"/>
      <c r="AM1402" s="73"/>
      <c r="AN1402" s="73"/>
      <c r="AO1402" s="73"/>
      <c r="AP1402" s="73"/>
      <c r="AQ1402" s="73"/>
      <c r="AR1402" s="73"/>
      <c r="AS1402" s="73"/>
      <c r="AT1402" s="73"/>
      <c r="AU1402" s="73"/>
      <c r="AV1402" s="73"/>
      <c r="AW1402" s="73"/>
      <c r="AX1402" s="73"/>
    </row>
    <row r="1403" spans="1:50" ht="15" customHeight="1" x14ac:dyDescent="0.2">
      <c r="A1403" s="55" t="s">
        <v>601</v>
      </c>
      <c r="B1403" s="55" t="s">
        <v>614</v>
      </c>
      <c r="D1403" s="22"/>
      <c r="E1403" s="22"/>
      <c r="F1403" s="41"/>
      <c r="G1403" s="41"/>
      <c r="H1403" s="2" t="s">
        <v>28</v>
      </c>
      <c r="I1403" s="243" t="s">
        <v>1009</v>
      </c>
      <c r="K1403" s="3">
        <v>0.51</v>
      </c>
      <c r="L1403" s="3">
        <v>10</v>
      </c>
      <c r="M1403" s="3">
        <v>0.69</v>
      </c>
      <c r="O1403" s="3">
        <v>0.19</v>
      </c>
      <c r="P1403" s="4">
        <f t="shared" ref="P1403:P1419" si="463">AN1403</f>
        <v>0</v>
      </c>
      <c r="Q1403" s="3">
        <v>5</v>
      </c>
      <c r="R1403" s="3">
        <v>40</v>
      </c>
      <c r="S1403" s="3">
        <v>1.38</v>
      </c>
      <c r="AN1403" s="23"/>
    </row>
    <row r="1404" spans="1:50" ht="15" customHeight="1" x14ac:dyDescent="0.2">
      <c r="A1404" s="55" t="s">
        <v>601</v>
      </c>
      <c r="B1404" s="55" t="s">
        <v>614</v>
      </c>
      <c r="D1404" s="22"/>
      <c r="E1404" s="22"/>
      <c r="F1404" s="41"/>
      <c r="G1404" s="41"/>
      <c r="H1404" s="2" t="s">
        <v>28</v>
      </c>
      <c r="I1404" s="243" t="s">
        <v>1009</v>
      </c>
      <c r="K1404" s="3">
        <v>0.44</v>
      </c>
      <c r="L1404" s="3">
        <v>8</v>
      </c>
      <c r="M1404" s="3">
        <v>0.54</v>
      </c>
      <c r="O1404" s="3">
        <v>0.15</v>
      </c>
      <c r="P1404" s="4">
        <f t="shared" si="463"/>
        <v>0</v>
      </c>
      <c r="Q1404" s="3">
        <v>5</v>
      </c>
      <c r="R1404" s="3">
        <v>19</v>
      </c>
      <c r="S1404" s="3">
        <v>1.1599999999999999</v>
      </c>
      <c r="AN1404" s="23"/>
    </row>
    <row r="1405" spans="1:50" ht="15" customHeight="1" x14ac:dyDescent="0.2">
      <c r="A1405" s="55" t="s">
        <v>601</v>
      </c>
      <c r="B1405" s="55" t="s">
        <v>614</v>
      </c>
      <c r="C1405" s="56" t="s">
        <v>0</v>
      </c>
      <c r="D1405" s="22"/>
      <c r="E1405" s="22"/>
      <c r="F1405" s="41"/>
      <c r="G1405" s="41"/>
      <c r="H1405" s="2" t="s">
        <v>28</v>
      </c>
      <c r="I1405" s="249" t="s">
        <v>1007</v>
      </c>
      <c r="J1405" s="58">
        <v>94.52</v>
      </c>
      <c r="K1405" s="58">
        <v>1.2</v>
      </c>
      <c r="L1405" s="58">
        <v>10</v>
      </c>
      <c r="M1405" s="58">
        <v>0.27</v>
      </c>
      <c r="N1405" s="58">
        <v>11</v>
      </c>
      <c r="O1405" s="58">
        <v>0.17</v>
      </c>
      <c r="P1405" s="4">
        <f t="shared" si="463"/>
        <v>0</v>
      </c>
      <c r="Q1405" s="58">
        <v>15</v>
      </c>
      <c r="R1405" s="58">
        <v>13.7</v>
      </c>
      <c r="S1405" s="58">
        <v>0.54</v>
      </c>
      <c r="T1405" s="58"/>
      <c r="U1405" s="58"/>
      <c r="V1405" s="58"/>
      <c r="W1405" s="58"/>
      <c r="X1405" s="58"/>
      <c r="Y1405" s="58"/>
      <c r="Z1405" s="58"/>
      <c r="AA1405" s="58"/>
      <c r="AB1405" s="58"/>
      <c r="AI1405" s="23"/>
      <c r="AN1405" s="23"/>
    </row>
    <row r="1406" spans="1:50" ht="15" customHeight="1" x14ac:dyDescent="0.2">
      <c r="A1406" s="55" t="s">
        <v>601</v>
      </c>
      <c r="B1406" s="55" t="s">
        <v>614</v>
      </c>
      <c r="C1406" s="56" t="s">
        <v>0</v>
      </c>
      <c r="D1406" s="22"/>
      <c r="E1406" s="22"/>
      <c r="F1406" s="41"/>
      <c r="G1406" s="41"/>
      <c r="H1406" s="2" t="s">
        <v>28</v>
      </c>
      <c r="I1406" s="249" t="s">
        <v>1007</v>
      </c>
      <c r="J1406" s="58">
        <v>94.78</v>
      </c>
      <c r="K1406" s="58">
        <v>0.9</v>
      </c>
      <c r="L1406" s="58">
        <v>5</v>
      </c>
      <c r="M1406" s="58">
        <v>0.47</v>
      </c>
      <c r="N1406" s="58">
        <v>8</v>
      </c>
      <c r="O1406" s="58">
        <v>0.14000000000000001</v>
      </c>
      <c r="P1406" s="4">
        <f t="shared" si="463"/>
        <v>0</v>
      </c>
      <c r="Q1406" s="58">
        <v>29</v>
      </c>
      <c r="R1406" s="58">
        <v>16</v>
      </c>
      <c r="S1406" s="58"/>
      <c r="T1406" s="58"/>
      <c r="U1406" s="58"/>
      <c r="V1406" s="58"/>
      <c r="W1406" s="58"/>
      <c r="X1406" s="58"/>
      <c r="Y1406" s="58"/>
      <c r="Z1406" s="58"/>
      <c r="AA1406" s="58"/>
      <c r="AB1406" s="58"/>
      <c r="AI1406" s="23"/>
      <c r="AN1406" s="23"/>
    </row>
    <row r="1407" spans="1:50" ht="15" customHeight="1" x14ac:dyDescent="0.2">
      <c r="A1407" s="55" t="s">
        <v>601</v>
      </c>
      <c r="B1407" s="55" t="s">
        <v>614</v>
      </c>
      <c r="C1407" s="56" t="s">
        <v>0</v>
      </c>
      <c r="D1407" s="22"/>
      <c r="E1407" s="22"/>
      <c r="F1407" s="41"/>
      <c r="G1407" s="41"/>
      <c r="H1407" s="2" t="s">
        <v>28</v>
      </c>
      <c r="I1407" s="249" t="s">
        <v>1007</v>
      </c>
      <c r="J1407" s="58">
        <v>95.28</v>
      </c>
      <c r="K1407" s="58">
        <v>0.7</v>
      </c>
      <c r="L1407" s="58">
        <v>11</v>
      </c>
      <c r="M1407" s="58">
        <v>0.49</v>
      </c>
      <c r="N1407" s="58">
        <v>12</v>
      </c>
      <c r="O1407" s="58">
        <v>0.28000000000000003</v>
      </c>
      <c r="P1407" s="4">
        <f t="shared" si="463"/>
        <v>0</v>
      </c>
      <c r="Q1407" s="58">
        <v>30</v>
      </c>
      <c r="R1407" s="58">
        <v>9</v>
      </c>
      <c r="S1407" s="58"/>
      <c r="T1407" s="58"/>
      <c r="U1407" s="58"/>
      <c r="V1407" s="58"/>
      <c r="W1407" s="58"/>
      <c r="X1407" s="58"/>
      <c r="Y1407" s="58"/>
      <c r="Z1407" s="58"/>
      <c r="AA1407" s="58"/>
      <c r="AB1407" s="58"/>
      <c r="AN1407" s="23"/>
    </row>
    <row r="1408" spans="1:50" ht="15" customHeight="1" x14ac:dyDescent="0.2">
      <c r="A1408" s="24" t="s">
        <v>601</v>
      </c>
      <c r="B1408" s="24" t="s">
        <v>614</v>
      </c>
      <c r="D1408" s="22"/>
      <c r="E1408" s="22"/>
      <c r="F1408" s="41"/>
      <c r="G1408" s="41"/>
      <c r="H1408" s="2" t="s">
        <v>28</v>
      </c>
      <c r="I1408" s="243" t="s">
        <v>1009</v>
      </c>
      <c r="K1408" s="3">
        <v>0.53</v>
      </c>
      <c r="L1408" s="3">
        <v>10</v>
      </c>
      <c r="M1408" s="3">
        <v>2.2799999999999998</v>
      </c>
      <c r="O1408" s="3">
        <v>0.67</v>
      </c>
      <c r="P1408" s="4">
        <f t="shared" si="463"/>
        <v>0</v>
      </c>
      <c r="R1408" s="3">
        <v>26</v>
      </c>
      <c r="S1408" s="3">
        <v>1.92</v>
      </c>
      <c r="AN1408" s="23"/>
    </row>
    <row r="1409" spans="1:50" ht="15" customHeight="1" x14ac:dyDescent="0.2">
      <c r="A1409" s="31" t="s">
        <v>601</v>
      </c>
      <c r="B1409" s="31" t="s">
        <v>614</v>
      </c>
      <c r="D1409" s="22"/>
      <c r="E1409" s="22"/>
      <c r="F1409" s="41"/>
      <c r="G1409" s="41"/>
      <c r="H1409" s="2" t="s">
        <v>28</v>
      </c>
      <c r="I1409" s="243" t="s">
        <v>1009</v>
      </c>
      <c r="K1409" s="3">
        <v>0.49</v>
      </c>
      <c r="L1409" s="3">
        <v>14</v>
      </c>
      <c r="M1409" s="3">
        <v>1.03</v>
      </c>
      <c r="O1409" s="3">
        <v>0.21</v>
      </c>
      <c r="P1409" s="4">
        <f t="shared" si="463"/>
        <v>0</v>
      </c>
      <c r="R1409" s="3">
        <v>10</v>
      </c>
      <c r="S1409" s="3">
        <v>1.0900000000000001</v>
      </c>
      <c r="AN1409" s="23"/>
    </row>
    <row r="1410" spans="1:50" ht="15" customHeight="1" x14ac:dyDescent="0.2">
      <c r="A1410" s="31" t="s">
        <v>601</v>
      </c>
      <c r="B1410" s="31" t="s">
        <v>614</v>
      </c>
      <c r="D1410" s="22"/>
      <c r="E1410" s="22"/>
      <c r="F1410" s="41"/>
      <c r="G1410" s="41"/>
      <c r="H1410" s="2" t="s">
        <v>28</v>
      </c>
      <c r="I1410" s="243" t="s">
        <v>1009</v>
      </c>
      <c r="K1410" s="3">
        <v>0.48</v>
      </c>
      <c r="L1410" s="3">
        <v>14</v>
      </c>
      <c r="M1410" s="3">
        <v>0.93</v>
      </c>
      <c r="O1410" s="3">
        <v>0.12</v>
      </c>
      <c r="P1410" s="4">
        <f t="shared" si="463"/>
        <v>0</v>
      </c>
      <c r="R1410" s="3">
        <v>24</v>
      </c>
      <c r="S1410" s="3">
        <v>2.85</v>
      </c>
      <c r="AN1410" s="23"/>
    </row>
    <row r="1411" spans="1:50" ht="15" customHeight="1" x14ac:dyDescent="0.2">
      <c r="A1411" s="24" t="s">
        <v>601</v>
      </c>
      <c r="B1411" s="24" t="s">
        <v>614</v>
      </c>
      <c r="D1411" s="22"/>
      <c r="E1411" s="22"/>
      <c r="F1411" s="41"/>
      <c r="G1411" s="41"/>
      <c r="H1411" s="2" t="s">
        <v>28</v>
      </c>
      <c r="I1411" s="243" t="s">
        <v>1009</v>
      </c>
      <c r="K1411" s="3">
        <v>0.4</v>
      </c>
      <c r="L1411" s="3">
        <v>9</v>
      </c>
      <c r="M1411" s="3">
        <v>0.81</v>
      </c>
      <c r="O1411" s="3">
        <v>0.46</v>
      </c>
      <c r="P1411" s="4">
        <f t="shared" si="463"/>
        <v>0</v>
      </c>
      <c r="R1411" s="3">
        <v>12</v>
      </c>
      <c r="S1411" s="3">
        <v>1.65</v>
      </c>
      <c r="AN1411" s="23"/>
    </row>
    <row r="1412" spans="1:50" ht="15" customHeight="1" x14ac:dyDescent="0.2">
      <c r="A1412" s="24" t="s">
        <v>601</v>
      </c>
      <c r="B1412" s="24" t="s">
        <v>614</v>
      </c>
      <c r="D1412" s="22"/>
      <c r="E1412" s="22"/>
      <c r="F1412" s="41"/>
      <c r="G1412" s="41"/>
      <c r="H1412" s="2" t="s">
        <v>28</v>
      </c>
      <c r="I1412" s="243" t="s">
        <v>1010</v>
      </c>
      <c r="J1412" s="3">
        <v>93.5</v>
      </c>
      <c r="K1412" s="3">
        <v>0.5</v>
      </c>
      <c r="L1412" s="3">
        <v>12</v>
      </c>
      <c r="M1412" s="3">
        <v>0.5</v>
      </c>
      <c r="N1412" s="3">
        <v>14</v>
      </c>
      <c r="P1412" s="4">
        <f t="shared" si="463"/>
        <v>0</v>
      </c>
      <c r="R1412" s="3">
        <v>25</v>
      </c>
      <c r="AI1412" s="23"/>
      <c r="AN1412" s="23"/>
    </row>
    <row r="1413" spans="1:50" ht="15" customHeight="1" x14ac:dyDescent="0.2">
      <c r="A1413" s="24" t="s">
        <v>601</v>
      </c>
      <c r="B1413" s="24" t="s">
        <v>614</v>
      </c>
      <c r="D1413" s="22"/>
      <c r="E1413" s="22"/>
      <c r="F1413" s="41"/>
      <c r="G1413" s="41"/>
      <c r="H1413" s="2" t="s">
        <v>28</v>
      </c>
      <c r="I1413" s="243" t="s">
        <v>1006</v>
      </c>
      <c r="J1413" s="3">
        <v>93.5</v>
      </c>
      <c r="K1413" s="3">
        <v>0.5</v>
      </c>
      <c r="L1413" s="3">
        <v>13</v>
      </c>
      <c r="M1413" s="3">
        <v>0.5</v>
      </c>
      <c r="P1413" s="4">
        <f t="shared" si="463"/>
        <v>0</v>
      </c>
      <c r="R1413" s="3">
        <v>23</v>
      </c>
      <c r="AE1413" s="23"/>
      <c r="AN1413" s="23"/>
    </row>
    <row r="1414" spans="1:50" ht="15" customHeight="1" x14ac:dyDescent="0.2">
      <c r="A1414" s="24" t="s">
        <v>601</v>
      </c>
      <c r="B1414" s="24" t="s">
        <v>614</v>
      </c>
      <c r="D1414" s="22"/>
      <c r="E1414" s="22"/>
      <c r="F1414" s="41"/>
      <c r="G1414" s="41"/>
      <c r="H1414" s="2" t="s">
        <v>28</v>
      </c>
      <c r="I1414" s="243" t="s">
        <v>1009</v>
      </c>
      <c r="K1414" s="3">
        <v>0.48</v>
      </c>
      <c r="L1414" s="3">
        <v>6</v>
      </c>
      <c r="M1414" s="3">
        <v>0.32</v>
      </c>
      <c r="O1414" s="3">
        <v>0.2</v>
      </c>
      <c r="P1414" s="4">
        <f t="shared" si="463"/>
        <v>0</v>
      </c>
      <c r="R1414" s="3">
        <v>19</v>
      </c>
      <c r="S1414" s="3">
        <v>1.34</v>
      </c>
      <c r="AN1414" s="23"/>
    </row>
    <row r="1415" spans="1:50" ht="15" customHeight="1" x14ac:dyDescent="0.2">
      <c r="A1415" s="24" t="s">
        <v>601</v>
      </c>
      <c r="B1415" s="24" t="s">
        <v>614</v>
      </c>
      <c r="D1415" s="22"/>
      <c r="E1415" s="22"/>
      <c r="F1415" s="41"/>
      <c r="G1415" s="41"/>
      <c r="H1415" s="2" t="s">
        <v>28</v>
      </c>
      <c r="I1415" s="243" t="s">
        <v>1009</v>
      </c>
      <c r="K1415" s="3">
        <v>0.48</v>
      </c>
      <c r="L1415" s="3">
        <v>5</v>
      </c>
      <c r="M1415" s="3">
        <v>0.28999999999999998</v>
      </c>
      <c r="O1415" s="3">
        <v>0.18</v>
      </c>
      <c r="P1415" s="4">
        <f t="shared" si="463"/>
        <v>0</v>
      </c>
      <c r="R1415" s="3">
        <v>42</v>
      </c>
      <c r="S1415" s="3">
        <v>3.58</v>
      </c>
      <c r="AN1415" s="23"/>
    </row>
    <row r="1416" spans="1:50" ht="15" customHeight="1" x14ac:dyDescent="0.2">
      <c r="A1416" s="31" t="s">
        <v>601</v>
      </c>
      <c r="B1416" s="31" t="s">
        <v>614</v>
      </c>
      <c r="D1416" s="22"/>
      <c r="E1416" s="22"/>
      <c r="F1416" s="41"/>
      <c r="G1416" s="41"/>
      <c r="H1416" s="2" t="s">
        <v>28</v>
      </c>
      <c r="I1416" s="243" t="s">
        <v>1009</v>
      </c>
      <c r="K1416" s="3">
        <v>0.47</v>
      </c>
      <c r="L1416" s="3">
        <v>12</v>
      </c>
      <c r="M1416" s="3">
        <v>0.25</v>
      </c>
      <c r="O1416" s="3">
        <v>0.06</v>
      </c>
      <c r="P1416" s="4">
        <f t="shared" si="463"/>
        <v>0</v>
      </c>
      <c r="R1416" s="3">
        <v>21</v>
      </c>
      <c r="S1416" s="3">
        <v>0.8</v>
      </c>
      <c r="AN1416" s="23"/>
    </row>
    <row r="1417" spans="1:50" ht="15" customHeight="1" x14ac:dyDescent="0.2">
      <c r="A1417" s="31" t="s">
        <v>601</v>
      </c>
      <c r="B1417" s="31" t="s">
        <v>614</v>
      </c>
      <c r="D1417" s="22"/>
      <c r="E1417" s="22"/>
      <c r="F1417" s="41"/>
      <c r="G1417" s="41"/>
      <c r="H1417" s="2" t="s">
        <v>28</v>
      </c>
      <c r="I1417" s="243" t="s">
        <v>1009</v>
      </c>
      <c r="K1417" s="3">
        <v>0.34</v>
      </c>
      <c r="L1417" s="3">
        <v>11</v>
      </c>
      <c r="M1417" s="3">
        <v>0.23</v>
      </c>
      <c r="O1417" s="3">
        <v>0.06</v>
      </c>
      <c r="P1417" s="4">
        <f t="shared" si="463"/>
        <v>0</v>
      </c>
      <c r="R1417" s="3">
        <v>14</v>
      </c>
      <c r="S1417" s="3">
        <v>0.83</v>
      </c>
      <c r="AN1417" s="23"/>
    </row>
    <row r="1418" spans="1:50" ht="15" customHeight="1" x14ac:dyDescent="0.2">
      <c r="A1418" s="31" t="s">
        <v>601</v>
      </c>
      <c r="B1418" s="31" t="s">
        <v>614</v>
      </c>
      <c r="D1418" s="22"/>
      <c r="E1418" s="22"/>
      <c r="F1418" s="41"/>
      <c r="G1418" s="41"/>
      <c r="H1418" s="2" t="s">
        <v>28</v>
      </c>
      <c r="I1418" s="243" t="s">
        <v>1009</v>
      </c>
      <c r="K1418" s="3">
        <v>0.72</v>
      </c>
      <c r="L1418" s="3">
        <v>10</v>
      </c>
      <c r="M1418" s="3">
        <v>0.14000000000000001</v>
      </c>
      <c r="O1418" s="3">
        <v>0.1</v>
      </c>
      <c r="P1418" s="4">
        <f t="shared" si="463"/>
        <v>0</v>
      </c>
      <c r="R1418" s="3">
        <v>16</v>
      </c>
      <c r="S1418" s="3">
        <v>1</v>
      </c>
      <c r="AN1418" s="23"/>
    </row>
    <row r="1419" spans="1:50" ht="15" customHeight="1" x14ac:dyDescent="0.2">
      <c r="A1419" s="31" t="s">
        <v>601</v>
      </c>
      <c r="B1419" s="31" t="s">
        <v>614</v>
      </c>
      <c r="D1419" s="22"/>
      <c r="E1419" s="22"/>
      <c r="F1419" s="41"/>
      <c r="G1419" s="41"/>
      <c r="H1419" s="2" t="s">
        <v>28</v>
      </c>
      <c r="I1419" s="243" t="s">
        <v>1009</v>
      </c>
      <c r="K1419" s="3">
        <v>0.44</v>
      </c>
      <c r="L1419" s="3">
        <v>58</v>
      </c>
      <c r="O1419" s="3">
        <v>0.06</v>
      </c>
      <c r="P1419" s="4">
        <f t="shared" si="463"/>
        <v>0</v>
      </c>
      <c r="R1419" s="3">
        <v>22</v>
      </c>
      <c r="S1419" s="3">
        <v>1.03</v>
      </c>
      <c r="AN1419" s="23"/>
    </row>
    <row r="1420" spans="1:50" s="71" customFormat="1" ht="15" customHeight="1" x14ac:dyDescent="0.2">
      <c r="A1420" s="77" t="s">
        <v>601</v>
      </c>
      <c r="B1420" s="77" t="s">
        <v>614</v>
      </c>
      <c r="C1420" s="71" t="s">
        <v>615</v>
      </c>
      <c r="D1420" s="71" t="s">
        <v>173</v>
      </c>
      <c r="E1420" s="71" t="s">
        <v>46</v>
      </c>
      <c r="F1420" s="78" t="s">
        <v>782</v>
      </c>
      <c r="H1420" s="71" t="s">
        <v>28</v>
      </c>
      <c r="I1420" s="87"/>
      <c r="J1420" s="72">
        <f t="shared" ref="J1420" si="464">AVERAGE(J1403:J1419)</f>
        <v>94.316000000000003</v>
      </c>
      <c r="K1420" s="72">
        <f t="shared" ref="K1420:S1420" si="465">AVERAGE(K1403:K1419)</f>
        <v>0.56352941176470595</v>
      </c>
      <c r="L1420" s="72">
        <f t="shared" si="465"/>
        <v>12.823529411764707</v>
      </c>
      <c r="M1420" s="72">
        <f t="shared" si="465"/>
        <v>0.60875000000000001</v>
      </c>
      <c r="N1420" s="72">
        <f t="shared" si="465"/>
        <v>11.25</v>
      </c>
      <c r="O1420" s="72">
        <f t="shared" si="465"/>
        <v>0.20333333333333339</v>
      </c>
      <c r="P1420" s="72">
        <f t="shared" si="465"/>
        <v>0</v>
      </c>
      <c r="Q1420" s="72">
        <f t="shared" si="465"/>
        <v>16.8</v>
      </c>
      <c r="R1420" s="72">
        <f t="shared" si="465"/>
        <v>20.688235294117646</v>
      </c>
      <c r="S1420" s="72">
        <f t="shared" si="465"/>
        <v>1.4746153846153844</v>
      </c>
      <c r="T1420" s="72"/>
      <c r="U1420" s="72"/>
      <c r="V1420" s="72"/>
      <c r="W1420" s="72"/>
      <c r="X1420" s="72"/>
      <c r="Y1420" s="72"/>
      <c r="Z1420" s="72"/>
      <c r="AA1420" s="72"/>
      <c r="AB1420" s="72"/>
      <c r="AC1420" s="73"/>
      <c r="AD1420" s="73"/>
      <c r="AE1420" s="73"/>
      <c r="AF1420" s="73"/>
      <c r="AG1420" s="73"/>
      <c r="AH1420" s="73"/>
      <c r="AI1420" s="73"/>
      <c r="AJ1420" s="73"/>
      <c r="AK1420" s="73"/>
      <c r="AL1420" s="73"/>
      <c r="AM1420" s="73"/>
      <c r="AN1420" s="73"/>
      <c r="AO1420" s="73"/>
      <c r="AP1420" s="73"/>
      <c r="AQ1420" s="73"/>
      <c r="AR1420" s="73"/>
      <c r="AS1420" s="73"/>
      <c r="AT1420" s="73"/>
      <c r="AU1420" s="73"/>
      <c r="AV1420" s="73"/>
      <c r="AW1420" s="73"/>
      <c r="AX1420" s="73"/>
    </row>
    <row r="1421" spans="1:50" ht="15" customHeight="1" x14ac:dyDescent="0.2">
      <c r="A1421" s="24" t="s">
        <v>601</v>
      </c>
      <c r="B1421" s="24" t="s">
        <v>616</v>
      </c>
      <c r="F1421" s="41"/>
      <c r="G1421" s="41"/>
      <c r="H1421" s="2" t="s">
        <v>28</v>
      </c>
      <c r="I1421" s="243" t="s">
        <v>1009</v>
      </c>
      <c r="K1421" s="3">
        <v>1.73</v>
      </c>
      <c r="L1421" s="3">
        <v>15</v>
      </c>
      <c r="M1421" s="3">
        <v>1</v>
      </c>
      <c r="O1421" s="3">
        <v>0.25</v>
      </c>
      <c r="P1421" s="4" t="s">
        <v>0</v>
      </c>
      <c r="Q1421" s="3">
        <v>23</v>
      </c>
      <c r="R1421" s="3">
        <v>27</v>
      </c>
      <c r="S1421" s="3">
        <v>0.62</v>
      </c>
    </row>
    <row r="1422" spans="1:50" ht="15" customHeight="1" x14ac:dyDescent="0.2">
      <c r="A1422" s="24" t="s">
        <v>601</v>
      </c>
      <c r="B1422" s="24" t="s">
        <v>616</v>
      </c>
      <c r="H1422" s="2" t="s">
        <v>28</v>
      </c>
      <c r="I1422" s="243" t="s">
        <v>1006</v>
      </c>
      <c r="J1422" s="3">
        <v>89</v>
      </c>
      <c r="K1422" s="3">
        <v>1.496</v>
      </c>
      <c r="L1422" s="3">
        <v>13.001999999999999</v>
      </c>
      <c r="M1422" s="3" t="s">
        <v>55</v>
      </c>
      <c r="P1422" s="4" t="s">
        <v>0</v>
      </c>
      <c r="R1422" s="3" t="s">
        <v>55</v>
      </c>
    </row>
    <row r="1423" spans="1:50" ht="15" customHeight="1" x14ac:dyDescent="0.2">
      <c r="A1423" s="24" t="s">
        <v>601</v>
      </c>
      <c r="B1423" s="24" t="s">
        <v>616</v>
      </c>
      <c r="H1423" s="2" t="s">
        <v>28</v>
      </c>
      <c r="I1423" s="243" t="s">
        <v>1009</v>
      </c>
      <c r="K1423" s="3">
        <v>1.1399999999999999</v>
      </c>
      <c r="L1423" s="3">
        <v>7</v>
      </c>
      <c r="M1423" s="3">
        <v>0.36</v>
      </c>
      <c r="P1423" s="4" t="s">
        <v>0</v>
      </c>
      <c r="R1423" s="3">
        <v>11</v>
      </c>
    </row>
    <row r="1424" spans="1:50" ht="15" customHeight="1" x14ac:dyDescent="0.2">
      <c r="A1424" s="24" t="s">
        <v>601</v>
      </c>
      <c r="B1424" s="24" t="s">
        <v>616</v>
      </c>
      <c r="H1424" s="2" t="s">
        <v>28</v>
      </c>
      <c r="I1424" s="243" t="s">
        <v>1004</v>
      </c>
      <c r="J1424" s="3">
        <v>89</v>
      </c>
      <c r="K1424" s="3">
        <v>1.5</v>
      </c>
      <c r="L1424" s="3">
        <v>13</v>
      </c>
      <c r="P1424" s="4" t="s">
        <v>0</v>
      </c>
    </row>
    <row r="1425" spans="1:50" ht="15" customHeight="1" x14ac:dyDescent="0.2">
      <c r="A1425" s="24" t="s">
        <v>601</v>
      </c>
      <c r="B1425" s="24" t="s">
        <v>616</v>
      </c>
      <c r="H1425" s="2" t="s">
        <v>28</v>
      </c>
      <c r="I1425" s="243" t="s">
        <v>1010</v>
      </c>
      <c r="J1425" s="3">
        <v>89</v>
      </c>
      <c r="K1425" s="3">
        <v>1.5</v>
      </c>
      <c r="L1425" s="3">
        <v>13</v>
      </c>
      <c r="P1425" s="4">
        <f t="shared" ref="P1425" si="466">AN1425</f>
        <v>0</v>
      </c>
      <c r="AI1425" s="23"/>
      <c r="AN1425" s="23"/>
    </row>
    <row r="1426" spans="1:50" ht="15" customHeight="1" x14ac:dyDescent="0.2">
      <c r="A1426" s="24" t="s">
        <v>601</v>
      </c>
      <c r="B1426" s="24" t="s">
        <v>616</v>
      </c>
      <c r="H1426" s="2" t="s">
        <v>28</v>
      </c>
      <c r="I1426" s="243" t="s">
        <v>1010</v>
      </c>
      <c r="J1426" s="3">
        <v>89</v>
      </c>
      <c r="L1426" s="3">
        <v>24</v>
      </c>
      <c r="M1426" s="3">
        <v>0.6</v>
      </c>
      <c r="N1426" s="36">
        <v>40</v>
      </c>
      <c r="P1426" s="4" t="s">
        <v>0</v>
      </c>
      <c r="R1426" s="3">
        <v>12</v>
      </c>
      <c r="X1426" s="36"/>
    </row>
    <row r="1427" spans="1:50" s="71" customFormat="1" ht="15" customHeight="1" x14ac:dyDescent="0.2">
      <c r="A1427" s="70" t="s">
        <v>601</v>
      </c>
      <c r="B1427" s="70" t="s">
        <v>616</v>
      </c>
      <c r="C1427" s="71" t="s">
        <v>617</v>
      </c>
      <c r="D1427" s="71" t="s">
        <v>173</v>
      </c>
      <c r="E1427" s="71" t="s">
        <v>46</v>
      </c>
      <c r="F1427" s="78" t="s">
        <v>782</v>
      </c>
      <c r="H1427" s="71" t="s">
        <v>28</v>
      </c>
      <c r="I1427" s="87"/>
      <c r="J1427" s="72">
        <f t="shared" ref="J1427" si="467">AVERAGE(J1421:J1426)</f>
        <v>89</v>
      </c>
      <c r="K1427" s="72">
        <f t="shared" ref="K1427:S1427" si="468">AVERAGE(K1421:K1426)</f>
        <v>1.4731999999999998</v>
      </c>
      <c r="L1427" s="72">
        <f t="shared" si="468"/>
        <v>14.167</v>
      </c>
      <c r="M1427" s="72">
        <f t="shared" si="468"/>
        <v>0.65333333333333332</v>
      </c>
      <c r="N1427" s="72">
        <f t="shared" si="468"/>
        <v>40</v>
      </c>
      <c r="O1427" s="72">
        <f t="shared" si="468"/>
        <v>0.25</v>
      </c>
      <c r="P1427" s="72">
        <f t="shared" si="468"/>
        <v>0</v>
      </c>
      <c r="Q1427" s="72">
        <f t="shared" si="468"/>
        <v>23</v>
      </c>
      <c r="R1427" s="72">
        <f t="shared" si="468"/>
        <v>16.666666666666668</v>
      </c>
      <c r="S1427" s="72">
        <f t="shared" si="468"/>
        <v>0.62</v>
      </c>
      <c r="T1427" s="72"/>
      <c r="U1427" s="72"/>
      <c r="V1427" s="72"/>
      <c r="W1427" s="72"/>
      <c r="X1427" s="72"/>
      <c r="Y1427" s="72"/>
      <c r="Z1427" s="72"/>
      <c r="AA1427" s="72"/>
      <c r="AB1427" s="72"/>
      <c r="AC1427" s="73"/>
      <c r="AD1427" s="73"/>
      <c r="AE1427" s="73"/>
      <c r="AF1427" s="73"/>
      <c r="AG1427" s="73"/>
      <c r="AH1427" s="73"/>
      <c r="AI1427" s="73"/>
      <c r="AJ1427" s="73"/>
      <c r="AK1427" s="73"/>
      <c r="AL1427" s="73"/>
      <c r="AM1427" s="73"/>
      <c r="AN1427" s="73"/>
      <c r="AO1427" s="73"/>
      <c r="AP1427" s="73"/>
      <c r="AQ1427" s="73"/>
      <c r="AR1427" s="73"/>
      <c r="AS1427" s="73"/>
      <c r="AT1427" s="73"/>
      <c r="AU1427" s="73"/>
      <c r="AV1427" s="73"/>
      <c r="AW1427" s="73"/>
      <c r="AX1427" s="73"/>
    </row>
    <row r="1428" spans="1:50" ht="15" customHeight="1" x14ac:dyDescent="0.2">
      <c r="A1428" s="24" t="s">
        <v>601</v>
      </c>
      <c r="B1428" s="24" t="s">
        <v>616</v>
      </c>
      <c r="H1428" s="2" t="s">
        <v>33</v>
      </c>
      <c r="I1428" s="243" t="s">
        <v>1006</v>
      </c>
      <c r="J1428" s="3">
        <v>86</v>
      </c>
      <c r="K1428" s="3">
        <v>1.5984000000000003</v>
      </c>
      <c r="L1428" s="3">
        <v>391.00320000000005</v>
      </c>
      <c r="M1428" s="3" t="s">
        <v>55</v>
      </c>
      <c r="P1428" s="4" t="s">
        <v>0</v>
      </c>
      <c r="R1428" s="3" t="s">
        <v>55</v>
      </c>
    </row>
    <row r="1429" spans="1:50" ht="15" customHeight="1" x14ac:dyDescent="0.2">
      <c r="A1429" s="24" t="s">
        <v>601</v>
      </c>
      <c r="B1429" s="24" t="s">
        <v>616</v>
      </c>
      <c r="H1429" s="2" t="s">
        <v>33</v>
      </c>
      <c r="I1429" s="243" t="s">
        <v>1004</v>
      </c>
      <c r="J1429" s="3">
        <v>85.6</v>
      </c>
      <c r="K1429" s="3">
        <v>1.6</v>
      </c>
      <c r="L1429" s="3">
        <v>391</v>
      </c>
      <c r="M1429" s="3">
        <v>0.3</v>
      </c>
      <c r="P1429" s="4" t="s">
        <v>0</v>
      </c>
    </row>
    <row r="1430" spans="1:50" ht="15" customHeight="1" x14ac:dyDescent="0.2">
      <c r="A1430" s="24" t="s">
        <v>601</v>
      </c>
      <c r="B1430" s="24" t="s">
        <v>616</v>
      </c>
      <c r="H1430" s="2" t="s">
        <v>33</v>
      </c>
      <c r="I1430" s="243" t="s">
        <v>1010</v>
      </c>
      <c r="J1430" s="3">
        <v>86</v>
      </c>
      <c r="K1430" s="3">
        <v>1.6</v>
      </c>
      <c r="L1430" s="3">
        <v>391</v>
      </c>
      <c r="P1430" s="4" t="s">
        <v>0</v>
      </c>
    </row>
    <row r="1431" spans="1:50" s="71" customFormat="1" ht="15" customHeight="1" x14ac:dyDescent="0.2">
      <c r="A1431" s="70" t="s">
        <v>601</v>
      </c>
      <c r="B1431" s="70" t="s">
        <v>616</v>
      </c>
      <c r="C1431" s="71" t="s">
        <v>617</v>
      </c>
      <c r="D1431" s="71" t="s">
        <v>173</v>
      </c>
      <c r="E1431" s="71" t="s">
        <v>46</v>
      </c>
      <c r="F1431" s="78" t="s">
        <v>782</v>
      </c>
      <c r="H1431" s="71" t="s">
        <v>33</v>
      </c>
      <c r="I1431" s="87"/>
      <c r="J1431" s="72">
        <f t="shared" ref="J1431" si="469">AVERAGE(J1428:J1430)</f>
        <v>85.866666666666674</v>
      </c>
      <c r="K1431" s="72">
        <f>AVERAGE(K1428:K1430)</f>
        <v>1.599466666666667</v>
      </c>
      <c r="L1431" s="72">
        <f>AVERAGE(L1428:L1430)</f>
        <v>391.0010666666667</v>
      </c>
      <c r="M1431" s="72">
        <f>AVERAGE(M1428:M1430)</f>
        <v>0.3</v>
      </c>
      <c r="N1431" s="83"/>
      <c r="O1431" s="72"/>
      <c r="P1431" s="72"/>
      <c r="Q1431" s="72"/>
      <c r="R1431" s="72"/>
      <c r="S1431" s="72"/>
      <c r="T1431" s="72"/>
      <c r="U1431" s="72"/>
      <c r="V1431" s="72"/>
      <c r="W1431" s="72"/>
      <c r="X1431" s="83"/>
      <c r="Y1431" s="72"/>
      <c r="Z1431" s="72"/>
      <c r="AA1431" s="72"/>
      <c r="AB1431" s="72"/>
      <c r="AC1431" s="73"/>
      <c r="AD1431" s="73"/>
      <c r="AE1431" s="73"/>
      <c r="AF1431" s="73"/>
      <c r="AG1431" s="73"/>
      <c r="AH1431" s="73"/>
      <c r="AI1431" s="73"/>
      <c r="AJ1431" s="73"/>
      <c r="AK1431" s="73"/>
      <c r="AL1431" s="73"/>
      <c r="AM1431" s="73"/>
      <c r="AN1431" s="73"/>
      <c r="AO1431" s="73"/>
      <c r="AP1431" s="73"/>
      <c r="AQ1431" s="73"/>
      <c r="AR1431" s="73"/>
      <c r="AS1431" s="73"/>
      <c r="AT1431" s="73"/>
      <c r="AU1431" s="73"/>
      <c r="AV1431" s="73"/>
      <c r="AW1431" s="73"/>
      <c r="AX1431" s="73"/>
    </row>
    <row r="1432" spans="1:50" ht="15" customHeight="1" x14ac:dyDescent="0.2">
      <c r="A1432" s="24" t="s">
        <v>601</v>
      </c>
      <c r="B1432" s="24" t="s">
        <v>618</v>
      </c>
      <c r="H1432" s="2" t="s">
        <v>28</v>
      </c>
      <c r="I1432" s="243" t="s">
        <v>1009</v>
      </c>
      <c r="K1432" s="3">
        <v>0.9</v>
      </c>
      <c r="L1432" s="3">
        <v>9</v>
      </c>
      <c r="M1432" s="3">
        <v>0.93</v>
      </c>
      <c r="P1432" s="4">
        <f t="shared" ref="P1432:P1433" si="470">AN1432</f>
        <v>0</v>
      </c>
      <c r="Q1432" s="3">
        <v>5</v>
      </c>
      <c r="R1432" s="3">
        <v>13</v>
      </c>
      <c r="S1432" s="3">
        <v>0.03</v>
      </c>
      <c r="AN1432" s="23"/>
    </row>
    <row r="1433" spans="1:50" ht="15" customHeight="1" x14ac:dyDescent="0.2">
      <c r="A1433" s="55" t="s">
        <v>601</v>
      </c>
      <c r="B1433" s="55" t="s">
        <v>618</v>
      </c>
      <c r="C1433" s="56" t="s">
        <v>0</v>
      </c>
      <c r="H1433" s="2" t="s">
        <v>28</v>
      </c>
      <c r="I1433" s="249" t="s">
        <v>1007</v>
      </c>
      <c r="J1433" s="58">
        <v>92.3</v>
      </c>
      <c r="K1433" s="58">
        <v>3</v>
      </c>
      <c r="L1433" s="58">
        <v>9</v>
      </c>
      <c r="M1433" s="58">
        <v>0.23</v>
      </c>
      <c r="N1433" s="58">
        <v>14</v>
      </c>
      <c r="O1433" s="58">
        <v>0.16</v>
      </c>
      <c r="P1433" s="4">
        <f t="shared" si="470"/>
        <v>0</v>
      </c>
      <c r="Q1433" s="58">
        <v>22</v>
      </c>
      <c r="R1433" s="58">
        <v>2.2000000000000002</v>
      </c>
      <c r="S1433" s="58">
        <v>0.3</v>
      </c>
      <c r="T1433" s="58"/>
      <c r="U1433" s="58"/>
      <c r="V1433" s="58"/>
      <c r="W1433" s="58"/>
      <c r="X1433" s="58"/>
      <c r="Y1433" s="58"/>
      <c r="Z1433" s="58"/>
      <c r="AA1433" s="58"/>
      <c r="AB1433" s="58"/>
      <c r="AI1433" s="23"/>
      <c r="AN1433" s="23"/>
    </row>
    <row r="1434" spans="1:50" ht="15" customHeight="1" x14ac:dyDescent="0.2">
      <c r="A1434" s="31" t="s">
        <v>601</v>
      </c>
      <c r="B1434" s="31" t="s">
        <v>618</v>
      </c>
      <c r="H1434" s="2" t="s">
        <v>28</v>
      </c>
      <c r="I1434" s="243" t="s">
        <v>1009</v>
      </c>
      <c r="K1434" s="3">
        <v>0.72</v>
      </c>
      <c r="L1434" s="3">
        <v>26</v>
      </c>
      <c r="M1434" s="3">
        <v>1.1399999999999999</v>
      </c>
      <c r="O1434" s="3">
        <v>0.2</v>
      </c>
      <c r="P1434" s="4" t="s">
        <v>0</v>
      </c>
      <c r="R1434" s="3">
        <v>3</v>
      </c>
      <c r="S1434" s="3">
        <v>0.05</v>
      </c>
    </row>
    <row r="1435" spans="1:50" ht="15" customHeight="1" x14ac:dyDescent="0.2">
      <c r="A1435" s="31" t="s">
        <v>601</v>
      </c>
      <c r="B1435" s="31" t="s">
        <v>618</v>
      </c>
      <c r="H1435" s="2" t="s">
        <v>28</v>
      </c>
      <c r="I1435" s="243" t="s">
        <v>1009</v>
      </c>
      <c r="K1435" s="3">
        <v>0.97</v>
      </c>
      <c r="L1435" s="3">
        <v>21</v>
      </c>
      <c r="M1435" s="3">
        <v>0.87</v>
      </c>
      <c r="O1435" s="3">
        <v>0.19</v>
      </c>
      <c r="P1435" s="4" t="s">
        <v>0</v>
      </c>
      <c r="R1435" s="3">
        <v>6</v>
      </c>
      <c r="S1435" s="3">
        <v>0.03</v>
      </c>
    </row>
    <row r="1436" spans="1:50" ht="15" customHeight="1" x14ac:dyDescent="0.2">
      <c r="A1436" s="24" t="s">
        <v>601</v>
      </c>
      <c r="B1436" s="24" t="s">
        <v>618</v>
      </c>
      <c r="H1436" s="2" t="s">
        <v>28</v>
      </c>
      <c r="I1436" s="243" t="s">
        <v>1010</v>
      </c>
      <c r="J1436" s="3">
        <v>91.8</v>
      </c>
      <c r="K1436" s="3">
        <v>1.05</v>
      </c>
      <c r="L1436" s="3">
        <v>18</v>
      </c>
      <c r="M1436" s="3">
        <v>0.8</v>
      </c>
      <c r="N1436" s="36">
        <v>16</v>
      </c>
      <c r="P1436" s="4">
        <f t="shared" ref="P1436:P1437" si="471">AN1436</f>
        <v>0</v>
      </c>
      <c r="R1436" s="3">
        <v>6</v>
      </c>
      <c r="X1436" s="36"/>
      <c r="AI1436" s="23"/>
      <c r="AN1436" s="23"/>
    </row>
    <row r="1437" spans="1:50" ht="15" customHeight="1" x14ac:dyDescent="0.2">
      <c r="A1437" s="24" t="s">
        <v>601</v>
      </c>
      <c r="B1437" s="24" t="s">
        <v>618</v>
      </c>
      <c r="H1437" s="2" t="s">
        <v>28</v>
      </c>
      <c r="I1437" s="243" t="s">
        <v>1006</v>
      </c>
      <c r="J1437" s="3">
        <v>92.4</v>
      </c>
      <c r="K1437" s="3">
        <v>0.9</v>
      </c>
      <c r="L1437" s="3">
        <v>12</v>
      </c>
      <c r="M1437" s="3">
        <v>0.7</v>
      </c>
      <c r="P1437" s="4">
        <f t="shared" si="471"/>
        <v>0</v>
      </c>
      <c r="R1437" s="3">
        <v>5</v>
      </c>
      <c r="AE1437" s="23"/>
      <c r="AN1437" s="23"/>
    </row>
    <row r="1438" spans="1:50" ht="15" customHeight="1" x14ac:dyDescent="0.2">
      <c r="A1438" s="31" t="s">
        <v>601</v>
      </c>
      <c r="B1438" s="31" t="s">
        <v>618</v>
      </c>
      <c r="H1438" s="2" t="s">
        <v>28</v>
      </c>
      <c r="I1438" s="243" t="s">
        <v>1009</v>
      </c>
      <c r="K1438" s="3">
        <v>0.72</v>
      </c>
      <c r="L1438" s="3">
        <v>14</v>
      </c>
      <c r="M1438" s="3">
        <v>0.64</v>
      </c>
      <c r="O1438" s="3">
        <v>0.42</v>
      </c>
      <c r="P1438" s="4" t="s">
        <v>0</v>
      </c>
      <c r="R1438" s="3">
        <v>4</v>
      </c>
      <c r="S1438" s="3">
        <v>0.06</v>
      </c>
    </row>
    <row r="1439" spans="1:50" ht="15" customHeight="1" x14ac:dyDescent="0.2">
      <c r="A1439" s="31" t="s">
        <v>601</v>
      </c>
      <c r="B1439" s="31" t="s">
        <v>618</v>
      </c>
      <c r="H1439" s="2" t="s">
        <v>28</v>
      </c>
      <c r="I1439" s="243" t="s">
        <v>1009</v>
      </c>
      <c r="K1439" s="3">
        <v>1.17</v>
      </c>
      <c r="L1439" s="3">
        <v>7</v>
      </c>
      <c r="O1439" s="3">
        <v>0.05</v>
      </c>
      <c r="P1439" s="4" t="s">
        <v>0</v>
      </c>
      <c r="R1439" s="3">
        <v>6</v>
      </c>
      <c r="S1439" s="3">
        <v>0.16</v>
      </c>
    </row>
    <row r="1440" spans="1:50" s="71" customFormat="1" ht="15" customHeight="1" x14ac:dyDescent="0.2">
      <c r="A1440" s="77" t="s">
        <v>601</v>
      </c>
      <c r="B1440" s="77" t="s">
        <v>618</v>
      </c>
      <c r="C1440" s="71" t="s">
        <v>619</v>
      </c>
      <c r="D1440" s="71" t="s">
        <v>173</v>
      </c>
      <c r="E1440" s="71" t="s">
        <v>46</v>
      </c>
      <c r="F1440" s="78" t="s">
        <v>782</v>
      </c>
      <c r="H1440" s="71" t="s">
        <v>28</v>
      </c>
      <c r="I1440" s="87"/>
      <c r="J1440" s="72">
        <f t="shared" ref="J1440" si="472">AVERAGE(J1432:J1439)</f>
        <v>92.166666666666671</v>
      </c>
      <c r="K1440" s="72">
        <f t="shared" ref="K1440:S1440" si="473">AVERAGE(K1432:K1439)</f>
        <v>1.17875</v>
      </c>
      <c r="L1440" s="72">
        <f t="shared" si="473"/>
        <v>14.5</v>
      </c>
      <c r="M1440" s="72">
        <f t="shared" si="473"/>
        <v>0.75857142857142856</v>
      </c>
      <c r="N1440" s="72">
        <f t="shared" si="473"/>
        <v>15</v>
      </c>
      <c r="O1440" s="72">
        <f t="shared" si="473"/>
        <v>0.20400000000000001</v>
      </c>
      <c r="P1440" s="72">
        <f t="shared" si="473"/>
        <v>0</v>
      </c>
      <c r="Q1440" s="72">
        <f t="shared" si="473"/>
        <v>13.5</v>
      </c>
      <c r="R1440" s="72">
        <f t="shared" si="473"/>
        <v>5.65</v>
      </c>
      <c r="S1440" s="72">
        <f t="shared" si="473"/>
        <v>0.10499999999999998</v>
      </c>
      <c r="T1440" s="72"/>
      <c r="U1440" s="72"/>
      <c r="V1440" s="72"/>
      <c r="W1440" s="72"/>
      <c r="X1440" s="72"/>
      <c r="Y1440" s="72"/>
      <c r="Z1440" s="72"/>
      <c r="AA1440" s="72"/>
      <c r="AB1440" s="72"/>
      <c r="AC1440" s="73"/>
      <c r="AD1440" s="73"/>
      <c r="AE1440" s="73"/>
      <c r="AF1440" s="73"/>
      <c r="AG1440" s="73"/>
      <c r="AH1440" s="73"/>
      <c r="AI1440" s="73"/>
      <c r="AJ1440" s="73"/>
      <c r="AK1440" s="73"/>
      <c r="AL1440" s="73"/>
      <c r="AM1440" s="73"/>
      <c r="AN1440" s="73"/>
      <c r="AO1440" s="73"/>
      <c r="AP1440" s="73"/>
      <c r="AQ1440" s="73"/>
      <c r="AR1440" s="73"/>
      <c r="AS1440" s="73"/>
      <c r="AT1440" s="73"/>
      <c r="AU1440" s="73"/>
      <c r="AV1440" s="73"/>
      <c r="AW1440" s="73"/>
      <c r="AX1440" s="73"/>
    </row>
    <row r="1441" spans="1:50" s="22" customFormat="1" ht="15" customHeight="1" x14ac:dyDescent="0.2">
      <c r="A1441" s="21" t="s">
        <v>601</v>
      </c>
      <c r="B1441" s="21" t="s">
        <v>620</v>
      </c>
      <c r="C1441" s="22" t="s">
        <v>0</v>
      </c>
      <c r="D1441" s="2"/>
      <c r="E1441" s="2"/>
      <c r="H1441" s="22" t="s">
        <v>28</v>
      </c>
      <c r="I1441" s="65" t="s">
        <v>1010</v>
      </c>
      <c r="J1441" s="4">
        <v>93.2</v>
      </c>
      <c r="K1441" s="4">
        <v>0.4</v>
      </c>
      <c r="L1441" s="4">
        <v>29</v>
      </c>
      <c r="M1441" s="4">
        <v>1.7</v>
      </c>
      <c r="N1441" s="4"/>
      <c r="O1441" s="4"/>
      <c r="P1441" s="4">
        <f t="shared" ref="P1441" si="474">AN1441</f>
        <v>0</v>
      </c>
      <c r="Q1441" s="4"/>
      <c r="R1441" s="4">
        <v>50</v>
      </c>
      <c r="S1441" s="4"/>
      <c r="T1441" s="4"/>
      <c r="U1441" s="4"/>
      <c r="V1441" s="4"/>
      <c r="W1441" s="4"/>
      <c r="X1441" s="4"/>
      <c r="Y1441" s="4"/>
      <c r="Z1441" s="4"/>
      <c r="AA1441" s="4"/>
      <c r="AB1441" s="4"/>
      <c r="AC1441" s="23"/>
      <c r="AD1441" s="23"/>
      <c r="AE1441" s="23"/>
      <c r="AF1441" s="23"/>
      <c r="AG1441" s="23"/>
      <c r="AH1441" s="23"/>
      <c r="AI1441" s="23"/>
      <c r="AJ1441" s="23"/>
      <c r="AK1441" s="23"/>
      <c r="AL1441" s="23"/>
      <c r="AM1441" s="23"/>
      <c r="AN1441" s="23"/>
      <c r="AO1441" s="23"/>
      <c r="AP1441" s="23"/>
      <c r="AQ1441" s="23"/>
      <c r="AR1441" s="23"/>
      <c r="AS1441" s="23"/>
      <c r="AT1441" s="23"/>
      <c r="AU1441" s="23"/>
      <c r="AV1441" s="23"/>
      <c r="AW1441" s="23"/>
      <c r="AX1441" s="23"/>
    </row>
    <row r="1442" spans="1:50" s="71" customFormat="1" ht="15" customHeight="1" x14ac:dyDescent="0.2">
      <c r="A1442" s="70" t="s">
        <v>601</v>
      </c>
      <c r="B1442" s="70" t="s">
        <v>620</v>
      </c>
      <c r="C1442" s="71" t="s">
        <v>621</v>
      </c>
      <c r="D1442" s="71" t="s">
        <v>173</v>
      </c>
      <c r="E1442" s="71" t="s">
        <v>46</v>
      </c>
      <c r="F1442" s="78" t="s">
        <v>782</v>
      </c>
      <c r="H1442" s="71" t="s">
        <v>28</v>
      </c>
      <c r="I1442" s="87"/>
      <c r="J1442" s="72">
        <f t="shared" ref="J1442" si="475">J1441</f>
        <v>93.2</v>
      </c>
      <c r="K1442" s="72">
        <f>K1441</f>
        <v>0.4</v>
      </c>
      <c r="L1442" s="72">
        <f>L1441</f>
        <v>29</v>
      </c>
      <c r="M1442" s="72">
        <f>M1441</f>
        <v>1.7</v>
      </c>
      <c r="N1442" s="72"/>
      <c r="O1442" s="72"/>
      <c r="P1442" s="72">
        <f>P1441</f>
        <v>0</v>
      </c>
      <c r="Q1442" s="72"/>
      <c r="R1442" s="72">
        <f>R1441</f>
        <v>50</v>
      </c>
      <c r="S1442" s="72"/>
      <c r="T1442" s="72"/>
      <c r="U1442" s="72"/>
      <c r="V1442" s="72"/>
      <c r="W1442" s="72"/>
      <c r="X1442" s="72"/>
      <c r="Y1442" s="72"/>
      <c r="Z1442" s="72"/>
      <c r="AA1442" s="72"/>
      <c r="AB1442" s="72"/>
      <c r="AC1442" s="73"/>
      <c r="AD1442" s="73"/>
      <c r="AE1442" s="73"/>
      <c r="AF1442" s="73"/>
      <c r="AG1442" s="73"/>
      <c r="AH1442" s="73"/>
      <c r="AI1442" s="73"/>
      <c r="AJ1442" s="73"/>
      <c r="AK1442" s="73"/>
      <c r="AL1442" s="73"/>
      <c r="AM1442" s="73"/>
      <c r="AN1442" s="73"/>
      <c r="AO1442" s="73"/>
      <c r="AP1442" s="73"/>
      <c r="AQ1442" s="73"/>
      <c r="AR1442" s="73"/>
      <c r="AS1442" s="73"/>
      <c r="AT1442" s="73"/>
      <c r="AU1442" s="73"/>
      <c r="AV1442" s="73"/>
      <c r="AW1442" s="73"/>
      <c r="AX1442" s="73"/>
    </row>
    <row r="1443" spans="1:50" ht="15" customHeight="1" x14ac:dyDescent="0.2">
      <c r="A1443" s="24" t="s">
        <v>601</v>
      </c>
      <c r="B1443" s="24" t="s">
        <v>622</v>
      </c>
      <c r="H1443" s="2" t="s">
        <v>33</v>
      </c>
      <c r="I1443" s="243" t="s">
        <v>1009</v>
      </c>
      <c r="K1443" s="3">
        <v>1.08</v>
      </c>
      <c r="L1443" s="3">
        <v>206</v>
      </c>
      <c r="M1443" s="3">
        <v>3.89</v>
      </c>
      <c r="O1443" s="3">
        <v>0.93</v>
      </c>
      <c r="P1443" s="4">
        <f t="shared" ref="P1443:P1445" si="476">AN1443</f>
        <v>0</v>
      </c>
      <c r="Q1443" s="3">
        <v>58</v>
      </c>
      <c r="R1443" s="3">
        <v>132</v>
      </c>
      <c r="S1443" s="3">
        <v>2.08</v>
      </c>
      <c r="AN1443" s="23"/>
    </row>
    <row r="1444" spans="1:50" ht="15" customHeight="1" x14ac:dyDescent="0.2">
      <c r="A1444" s="24" t="s">
        <v>601</v>
      </c>
      <c r="B1444" s="24" t="s">
        <v>622</v>
      </c>
      <c r="H1444" s="2" t="s">
        <v>33</v>
      </c>
      <c r="I1444" s="243" t="s">
        <v>1009</v>
      </c>
      <c r="K1444" s="3">
        <v>0.83</v>
      </c>
      <c r="L1444" s="3">
        <v>183</v>
      </c>
      <c r="M1444" s="3">
        <v>2.16</v>
      </c>
      <c r="P1444" s="4">
        <f t="shared" si="476"/>
        <v>0</v>
      </c>
      <c r="Q1444" s="3">
        <v>81</v>
      </c>
      <c r="R1444" s="3">
        <v>119</v>
      </c>
      <c r="S1444" s="3">
        <v>2.62</v>
      </c>
      <c r="AN1444" s="23"/>
    </row>
    <row r="1445" spans="1:50" ht="15" customHeight="1" x14ac:dyDescent="0.2">
      <c r="A1445" s="24" t="s">
        <v>601</v>
      </c>
      <c r="B1445" s="24" t="s">
        <v>622</v>
      </c>
      <c r="H1445" s="2" t="s">
        <v>33</v>
      </c>
      <c r="I1445" s="243" t="s">
        <v>1005</v>
      </c>
      <c r="J1445" s="3">
        <v>87.8</v>
      </c>
      <c r="K1445" s="3">
        <v>2.2000000000000002</v>
      </c>
      <c r="L1445" s="3">
        <v>200</v>
      </c>
      <c r="M1445" s="3">
        <v>4.5999999999999996</v>
      </c>
      <c r="P1445" s="4">
        <f t="shared" si="476"/>
        <v>0</v>
      </c>
      <c r="R1445" s="3">
        <v>24</v>
      </c>
      <c r="AN1445" s="23"/>
    </row>
    <row r="1446" spans="1:50" s="71" customFormat="1" ht="15" customHeight="1" x14ac:dyDescent="0.2">
      <c r="A1446" s="70" t="s">
        <v>601</v>
      </c>
      <c r="B1446" s="70" t="s">
        <v>622</v>
      </c>
      <c r="C1446" s="71" t="s">
        <v>605</v>
      </c>
      <c r="D1446" s="71" t="s">
        <v>173</v>
      </c>
      <c r="E1446" s="71" t="s">
        <v>46</v>
      </c>
      <c r="F1446" s="78" t="s">
        <v>782</v>
      </c>
      <c r="H1446" s="71" t="s">
        <v>33</v>
      </c>
      <c r="I1446" s="87"/>
      <c r="J1446" s="72">
        <f t="shared" ref="J1446" si="477">AVERAGE(J1443:J1445)</f>
        <v>87.8</v>
      </c>
      <c r="K1446" s="72">
        <f>AVERAGE(K1443:K1445)</f>
        <v>1.37</v>
      </c>
      <c r="L1446" s="72">
        <f>AVERAGE(L1443:L1445)</f>
        <v>196.33333333333334</v>
      </c>
      <c r="M1446" s="72">
        <f>AVERAGE(M1443:M1445)</f>
        <v>3.5500000000000003</v>
      </c>
      <c r="N1446" s="72"/>
      <c r="O1446" s="72">
        <f>AVERAGE(O1443:O1445)</f>
        <v>0.93</v>
      </c>
      <c r="P1446" s="72">
        <f>AVERAGE(P1443:P1445)</f>
        <v>0</v>
      </c>
      <c r="Q1446" s="72">
        <f>AVERAGE(Q1443:Q1445)</f>
        <v>69.5</v>
      </c>
      <c r="R1446" s="72">
        <f>AVERAGE(R1443:R1445)</f>
        <v>91.666666666666671</v>
      </c>
      <c r="S1446" s="72">
        <f>AVERAGE(S1443:S1445)</f>
        <v>2.35</v>
      </c>
      <c r="T1446" s="72"/>
      <c r="U1446" s="72"/>
      <c r="V1446" s="72"/>
      <c r="W1446" s="72"/>
      <c r="X1446" s="72"/>
      <c r="Y1446" s="72"/>
      <c r="Z1446" s="72"/>
      <c r="AA1446" s="72"/>
      <c r="AB1446" s="72"/>
      <c r="AC1446" s="73"/>
      <c r="AD1446" s="73"/>
      <c r="AE1446" s="73"/>
      <c r="AF1446" s="73"/>
      <c r="AG1446" s="73"/>
      <c r="AH1446" s="73"/>
      <c r="AI1446" s="73"/>
      <c r="AJ1446" s="73"/>
      <c r="AK1446" s="73"/>
      <c r="AL1446" s="73"/>
      <c r="AM1446" s="73"/>
      <c r="AN1446" s="73"/>
      <c r="AO1446" s="73"/>
      <c r="AP1446" s="73"/>
      <c r="AQ1446" s="73"/>
      <c r="AR1446" s="73"/>
      <c r="AS1446" s="73"/>
      <c r="AT1446" s="73"/>
      <c r="AU1446" s="73"/>
      <c r="AV1446" s="73"/>
      <c r="AW1446" s="73"/>
      <c r="AX1446" s="73"/>
    </row>
    <row r="1447" spans="1:50" ht="15" customHeight="1" x14ac:dyDescent="0.2">
      <c r="A1447" s="24" t="s">
        <v>601</v>
      </c>
      <c r="B1447" s="24" t="s">
        <v>623</v>
      </c>
      <c r="H1447" s="2" t="s">
        <v>28</v>
      </c>
      <c r="I1447" s="243" t="s">
        <v>1006</v>
      </c>
      <c r="J1447" s="3">
        <v>85</v>
      </c>
      <c r="K1447" s="3">
        <v>6.1028000000000002</v>
      </c>
      <c r="L1447" s="3">
        <v>103.9958</v>
      </c>
      <c r="M1447" s="3">
        <v>4.5990000000000002</v>
      </c>
      <c r="P1447" s="4">
        <f t="shared" ref="P1447" si="478">AN1447</f>
        <v>0</v>
      </c>
      <c r="R1447" s="3">
        <v>4.0004</v>
      </c>
      <c r="AE1447" s="23"/>
      <c r="AN1447" s="23"/>
    </row>
    <row r="1448" spans="1:50" ht="17" x14ac:dyDescent="0.2">
      <c r="A1448" s="24" t="s">
        <v>601</v>
      </c>
      <c r="B1448" s="24" t="s">
        <v>623</v>
      </c>
      <c r="H1448" s="2" t="s">
        <v>28</v>
      </c>
      <c r="I1448" s="243" t="s">
        <v>1013</v>
      </c>
      <c r="J1448" s="3">
        <v>80.900000000000006</v>
      </c>
      <c r="K1448" s="3">
        <v>13.6</v>
      </c>
      <c r="L1448" s="3">
        <v>182</v>
      </c>
      <c r="M1448" s="3">
        <v>0.9</v>
      </c>
      <c r="O1448" s="3">
        <v>0.2</v>
      </c>
      <c r="P1448" s="4" t="s">
        <v>0</v>
      </c>
      <c r="R1448" s="3">
        <v>18</v>
      </c>
    </row>
    <row r="1449" spans="1:50" ht="51" x14ac:dyDescent="0.2">
      <c r="A1449" s="24" t="s">
        <v>601</v>
      </c>
      <c r="B1449" s="24" t="s">
        <v>623</v>
      </c>
      <c r="H1449" s="2" t="s">
        <v>28</v>
      </c>
      <c r="I1449" s="243" t="s">
        <v>1020</v>
      </c>
      <c r="J1449" s="3">
        <v>74.3</v>
      </c>
      <c r="K1449" s="3">
        <v>15.3</v>
      </c>
      <c r="L1449" s="3">
        <v>72.2</v>
      </c>
      <c r="M1449" s="3">
        <v>1.1200000000000001</v>
      </c>
      <c r="N1449" s="3">
        <v>36.200000000000003</v>
      </c>
      <c r="O1449" s="3">
        <v>0.71</v>
      </c>
      <c r="Q1449" s="3">
        <v>327</v>
      </c>
      <c r="R1449" s="3">
        <v>5.95</v>
      </c>
      <c r="S1449" s="3">
        <v>0.77</v>
      </c>
    </row>
    <row r="1450" spans="1:50" ht="51" x14ac:dyDescent="0.2">
      <c r="A1450" s="24" t="s">
        <v>601</v>
      </c>
      <c r="B1450" s="24" t="s">
        <v>623</v>
      </c>
      <c r="H1450" s="2" t="s">
        <v>28</v>
      </c>
      <c r="I1450" s="243" t="s">
        <v>1014</v>
      </c>
      <c r="J1450" s="3">
        <v>85.4</v>
      </c>
      <c r="K1450" s="3">
        <v>6.1</v>
      </c>
      <c r="L1450" s="3">
        <v>104</v>
      </c>
      <c r="M1450" s="3">
        <v>4.5999999999999996</v>
      </c>
      <c r="P1450" s="4" t="s">
        <v>0</v>
      </c>
      <c r="R1450" s="3">
        <v>4</v>
      </c>
    </row>
    <row r="1451" spans="1:50" ht="15" customHeight="1" x14ac:dyDescent="0.2">
      <c r="A1451" s="24" t="s">
        <v>601</v>
      </c>
      <c r="B1451" s="24" t="s">
        <v>623</v>
      </c>
      <c r="H1451" s="2" t="s">
        <v>28</v>
      </c>
      <c r="I1451" s="243" t="s">
        <v>1019</v>
      </c>
      <c r="J1451" s="3">
        <v>89</v>
      </c>
      <c r="L1451" s="3">
        <v>30</v>
      </c>
      <c r="M1451" s="3">
        <v>2</v>
      </c>
      <c r="P1451" s="4">
        <f t="shared" ref="P1451:P1454" si="479">AN1451</f>
        <v>0</v>
      </c>
      <c r="R1451" s="3">
        <v>80</v>
      </c>
      <c r="AI1451" s="23"/>
      <c r="AN1451" s="23"/>
    </row>
    <row r="1452" spans="1:50" ht="15" customHeight="1" x14ac:dyDescent="0.2">
      <c r="A1452" s="24" t="s">
        <v>601</v>
      </c>
      <c r="B1452" s="24" t="s">
        <v>623</v>
      </c>
      <c r="H1452" s="2" t="s">
        <v>28</v>
      </c>
      <c r="I1452" s="243" t="s">
        <v>1010</v>
      </c>
      <c r="J1452" s="3">
        <v>89</v>
      </c>
      <c r="L1452" s="3">
        <v>50</v>
      </c>
      <c r="M1452" s="3">
        <v>2</v>
      </c>
      <c r="P1452" s="4">
        <f t="shared" si="479"/>
        <v>0</v>
      </c>
      <c r="R1452" s="3">
        <v>80</v>
      </c>
      <c r="AI1452" s="23"/>
      <c r="AN1452" s="23"/>
    </row>
    <row r="1453" spans="1:50" ht="15" customHeight="1" x14ac:dyDescent="0.2">
      <c r="A1453" s="24" t="s">
        <v>601</v>
      </c>
      <c r="B1453" s="24" t="s">
        <v>623</v>
      </c>
      <c r="H1453" s="2" t="s">
        <v>28</v>
      </c>
      <c r="I1453" s="243" t="s">
        <v>1009</v>
      </c>
      <c r="K1453" s="3">
        <v>7.17</v>
      </c>
      <c r="L1453" s="3">
        <v>82</v>
      </c>
      <c r="M1453" s="3">
        <v>0.98</v>
      </c>
      <c r="P1453" s="4">
        <f t="shared" si="479"/>
        <v>0</v>
      </c>
      <c r="R1453" s="3">
        <v>15</v>
      </c>
      <c r="S1453" s="3">
        <v>0.7</v>
      </c>
      <c r="AN1453" s="23"/>
    </row>
    <row r="1454" spans="1:50" ht="15" customHeight="1" x14ac:dyDescent="0.2">
      <c r="A1454" s="34" t="s">
        <v>601</v>
      </c>
      <c r="B1454" s="34" t="s">
        <v>623</v>
      </c>
      <c r="C1454" s="33"/>
      <c r="H1454" s="2" t="s">
        <v>28</v>
      </c>
      <c r="I1454" s="245" t="s">
        <v>1004</v>
      </c>
      <c r="J1454" s="36">
        <v>85.4</v>
      </c>
      <c r="K1454" s="36">
        <v>6.1</v>
      </c>
      <c r="L1454" s="36">
        <v>104</v>
      </c>
      <c r="M1454" s="36">
        <v>0.8</v>
      </c>
      <c r="P1454" s="4">
        <f t="shared" si="479"/>
        <v>0</v>
      </c>
      <c r="R1454" s="36">
        <v>4</v>
      </c>
      <c r="T1454" s="36"/>
      <c r="U1454" s="36"/>
      <c r="V1454" s="36"/>
      <c r="W1454" s="36"/>
      <c r="Z1454" s="36"/>
      <c r="AA1454" s="36"/>
      <c r="AB1454" s="36"/>
      <c r="AN1454" s="23"/>
    </row>
    <row r="1455" spans="1:50" s="71" customFormat="1" ht="15" customHeight="1" x14ac:dyDescent="0.2">
      <c r="A1455" s="82" t="s">
        <v>601</v>
      </c>
      <c r="B1455" s="82" t="s">
        <v>623</v>
      </c>
      <c r="C1455" s="79" t="s">
        <v>624</v>
      </c>
      <c r="D1455" s="71" t="s">
        <v>31</v>
      </c>
      <c r="E1455" s="71" t="s">
        <v>32</v>
      </c>
      <c r="F1455" s="71" t="s">
        <v>783</v>
      </c>
      <c r="H1455" s="71" t="s">
        <v>28</v>
      </c>
      <c r="I1455" s="247"/>
      <c r="J1455" s="83">
        <f t="shared" ref="J1455:S1455" si="480">AVERAGE(J1447:J1454)</f>
        <v>84.142857142857139</v>
      </c>
      <c r="K1455" s="83">
        <f t="shared" si="480"/>
        <v>9.0621333333333336</v>
      </c>
      <c r="L1455" s="83">
        <f t="shared" si="480"/>
        <v>91.024474999999995</v>
      </c>
      <c r="M1455" s="83">
        <f t="shared" si="480"/>
        <v>2.1248750000000003</v>
      </c>
      <c r="N1455" s="83">
        <f t="shared" si="480"/>
        <v>36.200000000000003</v>
      </c>
      <c r="O1455" s="83">
        <f t="shared" si="480"/>
        <v>0.45499999999999996</v>
      </c>
      <c r="P1455" s="83">
        <f t="shared" si="480"/>
        <v>0</v>
      </c>
      <c r="Q1455" s="83">
        <f t="shared" si="480"/>
        <v>327</v>
      </c>
      <c r="R1455" s="83">
        <f t="shared" si="480"/>
        <v>26.3688</v>
      </c>
      <c r="S1455" s="83">
        <f t="shared" si="480"/>
        <v>0.73499999999999999</v>
      </c>
      <c r="T1455" s="83"/>
      <c r="U1455" s="83"/>
      <c r="V1455" s="83"/>
      <c r="W1455" s="83"/>
      <c r="X1455" s="72"/>
      <c r="Y1455" s="72"/>
      <c r="Z1455" s="83"/>
      <c r="AA1455" s="83"/>
      <c r="AB1455" s="83"/>
      <c r="AC1455" s="73"/>
      <c r="AD1455" s="73"/>
      <c r="AE1455" s="73"/>
      <c r="AF1455" s="73"/>
      <c r="AG1455" s="73"/>
      <c r="AH1455" s="73"/>
      <c r="AI1455" s="73"/>
      <c r="AJ1455" s="73"/>
      <c r="AK1455" s="73"/>
      <c r="AL1455" s="73"/>
      <c r="AM1455" s="73"/>
      <c r="AN1455" s="73"/>
      <c r="AO1455" s="73"/>
      <c r="AP1455" s="73"/>
      <c r="AQ1455" s="73"/>
      <c r="AR1455" s="73"/>
      <c r="AS1455" s="73"/>
      <c r="AT1455" s="73"/>
      <c r="AU1455" s="73"/>
      <c r="AV1455" s="73"/>
      <c r="AW1455" s="73"/>
      <c r="AX1455" s="73"/>
    </row>
    <row r="1456" spans="1:50" s="22" customFormat="1" ht="15" customHeight="1" x14ac:dyDescent="0.2">
      <c r="A1456" s="21" t="s">
        <v>601</v>
      </c>
      <c r="B1456" s="21" t="s">
        <v>625</v>
      </c>
      <c r="C1456" s="22" t="s">
        <v>0</v>
      </c>
      <c r="D1456" s="2"/>
      <c r="E1456" s="2"/>
      <c r="H1456" s="22" t="s">
        <v>33</v>
      </c>
      <c r="I1456" s="65" t="s">
        <v>1009</v>
      </c>
      <c r="J1456" s="4"/>
      <c r="K1456" s="4">
        <v>1.31</v>
      </c>
      <c r="L1456" s="4">
        <v>175</v>
      </c>
      <c r="M1456" s="4">
        <v>3.26</v>
      </c>
      <c r="N1456" s="4"/>
      <c r="O1456" s="4">
        <v>0.8</v>
      </c>
      <c r="P1456" s="4">
        <f t="shared" ref="P1456" si="481">AN1456</f>
        <v>0</v>
      </c>
      <c r="Q1456" s="4">
        <v>61</v>
      </c>
      <c r="R1456" s="4">
        <v>79</v>
      </c>
      <c r="S1456" s="4">
        <v>2.14</v>
      </c>
      <c r="T1456" s="4"/>
      <c r="U1456" s="4"/>
      <c r="V1456" s="4"/>
      <c r="W1456" s="4"/>
      <c r="X1456" s="4"/>
      <c r="Y1456" s="4"/>
      <c r="Z1456" s="4"/>
      <c r="AA1456" s="4"/>
      <c r="AB1456" s="4"/>
      <c r="AC1456" s="23"/>
      <c r="AD1456" s="23"/>
      <c r="AE1456" s="23"/>
      <c r="AF1456" s="23"/>
      <c r="AG1456" s="5"/>
      <c r="AH1456" s="23"/>
      <c r="AI1456" s="23"/>
      <c r="AJ1456" s="23"/>
      <c r="AK1456" s="23"/>
      <c r="AL1456" s="23"/>
      <c r="AM1456" s="23"/>
      <c r="AN1456" s="23"/>
      <c r="AO1456" s="23"/>
      <c r="AP1456" s="23"/>
      <c r="AQ1456" s="23"/>
      <c r="AR1456" s="23"/>
      <c r="AS1456" s="23"/>
      <c r="AT1456" s="23"/>
      <c r="AU1456" s="23"/>
      <c r="AV1456" s="23"/>
      <c r="AW1456" s="23"/>
      <c r="AX1456" s="23"/>
    </row>
    <row r="1457" spans="1:50" s="71" customFormat="1" ht="15" customHeight="1" x14ac:dyDescent="0.2">
      <c r="A1457" s="70" t="s">
        <v>601</v>
      </c>
      <c r="B1457" s="70" t="s">
        <v>625</v>
      </c>
      <c r="C1457" s="71" t="s">
        <v>626</v>
      </c>
      <c r="D1457" s="71" t="s">
        <v>173</v>
      </c>
      <c r="E1457" s="71" t="s">
        <v>46</v>
      </c>
      <c r="F1457" s="78" t="s">
        <v>782</v>
      </c>
      <c r="H1457" s="71" t="s">
        <v>33</v>
      </c>
      <c r="I1457" s="87"/>
      <c r="J1457" s="72"/>
      <c r="K1457" s="72">
        <f>K1456</f>
        <v>1.31</v>
      </c>
      <c r="L1457" s="72">
        <f>L1456</f>
        <v>175</v>
      </c>
      <c r="M1457" s="72">
        <f>M1456</f>
        <v>3.26</v>
      </c>
      <c r="N1457" s="72"/>
      <c r="O1457" s="72">
        <f t="shared" ref="O1457:S1457" si="482">O1456</f>
        <v>0.8</v>
      </c>
      <c r="P1457" s="72">
        <f t="shared" si="482"/>
        <v>0</v>
      </c>
      <c r="Q1457" s="72">
        <f t="shared" si="482"/>
        <v>61</v>
      </c>
      <c r="R1457" s="72">
        <f t="shared" si="482"/>
        <v>79</v>
      </c>
      <c r="S1457" s="72">
        <f t="shared" si="482"/>
        <v>2.14</v>
      </c>
      <c r="T1457" s="72"/>
      <c r="U1457" s="72"/>
      <c r="V1457" s="72"/>
      <c r="W1457" s="72"/>
      <c r="X1457" s="72"/>
      <c r="Y1457" s="72"/>
      <c r="Z1457" s="72"/>
      <c r="AA1457" s="72"/>
      <c r="AB1457" s="72"/>
      <c r="AC1457" s="73"/>
      <c r="AD1457" s="73"/>
      <c r="AE1457" s="73"/>
      <c r="AF1457" s="73"/>
      <c r="AG1457" s="73"/>
      <c r="AH1457" s="73"/>
      <c r="AI1457" s="73"/>
      <c r="AJ1457" s="73"/>
      <c r="AK1457" s="73"/>
      <c r="AL1457" s="73"/>
      <c r="AM1457" s="73"/>
      <c r="AN1457" s="73"/>
      <c r="AO1457" s="73"/>
      <c r="AP1457" s="73"/>
      <c r="AQ1457" s="73"/>
      <c r="AR1457" s="73"/>
      <c r="AS1457" s="73"/>
      <c r="AT1457" s="73"/>
      <c r="AU1457" s="73"/>
      <c r="AV1457" s="73"/>
      <c r="AW1457" s="73"/>
      <c r="AX1457" s="73"/>
    </row>
    <row r="1458" spans="1:50" ht="15" customHeight="1" x14ac:dyDescent="0.2">
      <c r="A1458" s="24" t="s">
        <v>627</v>
      </c>
      <c r="B1458" s="24" t="s">
        <v>628</v>
      </c>
      <c r="H1458" s="2" t="s">
        <v>33</v>
      </c>
      <c r="I1458" s="243" t="s">
        <v>1005</v>
      </c>
      <c r="J1458" s="3">
        <v>87</v>
      </c>
      <c r="K1458" s="3">
        <v>3.3</v>
      </c>
      <c r="L1458" s="3">
        <v>32</v>
      </c>
      <c r="M1458" s="3">
        <v>3.8</v>
      </c>
      <c r="N1458" s="3">
        <v>76</v>
      </c>
      <c r="O1458" s="3">
        <v>0.8</v>
      </c>
      <c r="P1458" s="4">
        <f t="shared" ref="P1458:P1459" si="483">AN1458</f>
        <v>0</v>
      </c>
      <c r="R1458" s="3">
        <v>78</v>
      </c>
      <c r="AN1458" s="23"/>
    </row>
    <row r="1459" spans="1:50" ht="15" customHeight="1" x14ac:dyDescent="0.2">
      <c r="A1459" s="31" t="s">
        <v>627</v>
      </c>
      <c r="B1459" s="31" t="s">
        <v>628</v>
      </c>
      <c r="H1459" s="2" t="s">
        <v>33</v>
      </c>
      <c r="I1459" s="243" t="s">
        <v>1023</v>
      </c>
      <c r="J1459" s="3">
        <v>88</v>
      </c>
      <c r="L1459" s="3">
        <v>93</v>
      </c>
      <c r="M1459" s="3">
        <v>3.1</v>
      </c>
      <c r="P1459" s="4">
        <f t="shared" si="483"/>
        <v>0</v>
      </c>
      <c r="R1459" s="3">
        <v>0.5</v>
      </c>
      <c r="AN1459" s="23"/>
    </row>
    <row r="1460" spans="1:50" s="71" customFormat="1" ht="15" customHeight="1" x14ac:dyDescent="0.2">
      <c r="A1460" s="77" t="s">
        <v>627</v>
      </c>
      <c r="B1460" s="77" t="s">
        <v>628</v>
      </c>
      <c r="C1460" s="71" t="s">
        <v>629</v>
      </c>
      <c r="D1460" s="71" t="s">
        <v>56</v>
      </c>
      <c r="E1460" s="71" t="s">
        <v>46</v>
      </c>
      <c r="F1460" s="78" t="s">
        <v>782</v>
      </c>
      <c r="H1460" s="71" t="s">
        <v>33</v>
      </c>
      <c r="I1460" s="87"/>
      <c r="J1460" s="72">
        <f t="shared" ref="J1460" si="484">AVERAGE(J1458:J1459)</f>
        <v>87.5</v>
      </c>
      <c r="K1460" s="72">
        <f t="shared" ref="K1460:P1460" si="485">AVERAGE(K1458:K1459)</f>
        <v>3.3</v>
      </c>
      <c r="L1460" s="72">
        <f t="shared" si="485"/>
        <v>62.5</v>
      </c>
      <c r="M1460" s="72">
        <f t="shared" si="485"/>
        <v>3.45</v>
      </c>
      <c r="N1460" s="72">
        <f t="shared" si="485"/>
        <v>76</v>
      </c>
      <c r="O1460" s="72">
        <f t="shared" si="485"/>
        <v>0.8</v>
      </c>
      <c r="P1460" s="72">
        <f t="shared" si="485"/>
        <v>0</v>
      </c>
      <c r="Q1460" s="72"/>
      <c r="R1460" s="72">
        <f>AVERAGE(R1458:R1459)</f>
        <v>39.25</v>
      </c>
      <c r="S1460" s="72"/>
      <c r="T1460" s="72"/>
      <c r="U1460" s="72"/>
      <c r="V1460" s="72"/>
      <c r="W1460" s="72"/>
      <c r="X1460" s="72"/>
      <c r="Y1460" s="72"/>
      <c r="Z1460" s="72"/>
      <c r="AA1460" s="72"/>
      <c r="AB1460" s="72"/>
      <c r="AC1460" s="73"/>
      <c r="AD1460" s="73"/>
      <c r="AE1460" s="73"/>
      <c r="AF1460" s="73"/>
      <c r="AG1460" s="73"/>
      <c r="AH1460" s="73"/>
      <c r="AI1460" s="73"/>
      <c r="AJ1460" s="73"/>
      <c r="AK1460" s="73"/>
      <c r="AL1460" s="73"/>
      <c r="AM1460" s="73"/>
      <c r="AN1460" s="73"/>
      <c r="AO1460" s="73"/>
      <c r="AP1460" s="73"/>
      <c r="AQ1460" s="73"/>
      <c r="AR1460" s="73"/>
      <c r="AS1460" s="73"/>
      <c r="AT1460" s="73"/>
      <c r="AU1460" s="73"/>
      <c r="AV1460" s="73"/>
      <c r="AW1460" s="73"/>
      <c r="AX1460" s="73"/>
    </row>
    <row r="1461" spans="1:50" s="41" customFormat="1" ht="15" customHeight="1" x14ac:dyDescent="0.2">
      <c r="A1461" s="40" t="s">
        <v>630</v>
      </c>
      <c r="B1461" s="40" t="s">
        <v>631</v>
      </c>
      <c r="C1461" s="41" t="s">
        <v>0</v>
      </c>
      <c r="D1461" s="2"/>
      <c r="E1461" s="2"/>
      <c r="H1461" s="41" t="s">
        <v>28</v>
      </c>
      <c r="I1461" s="248" t="s">
        <v>1004</v>
      </c>
      <c r="J1461" s="43">
        <v>80</v>
      </c>
      <c r="K1461" s="43">
        <v>5.7</v>
      </c>
      <c r="L1461" s="43">
        <v>40</v>
      </c>
      <c r="M1461" s="43">
        <v>0.9</v>
      </c>
      <c r="N1461" s="43"/>
      <c r="O1461" s="43"/>
      <c r="P1461" s="4" t="s">
        <v>0</v>
      </c>
      <c r="Q1461" s="43"/>
      <c r="R1461" s="43"/>
      <c r="S1461" s="43"/>
      <c r="T1461" s="43"/>
      <c r="U1461" s="43"/>
      <c r="V1461" s="43"/>
      <c r="W1461" s="43"/>
      <c r="X1461" s="43"/>
      <c r="Y1461" s="43"/>
      <c r="Z1461" s="43"/>
      <c r="AA1461" s="43"/>
      <c r="AB1461" s="43"/>
      <c r="AC1461" s="44"/>
      <c r="AD1461" s="44"/>
      <c r="AE1461" s="44"/>
      <c r="AF1461" s="44"/>
      <c r="AG1461" s="44"/>
      <c r="AH1461" s="44"/>
      <c r="AI1461" s="44"/>
      <c r="AJ1461" s="44"/>
      <c r="AK1461" s="44"/>
      <c r="AL1461" s="44"/>
      <c r="AM1461" s="44"/>
      <c r="AN1461" s="44"/>
      <c r="AO1461" s="44"/>
      <c r="AP1461" s="44"/>
      <c r="AQ1461" s="44"/>
      <c r="AR1461" s="44"/>
      <c r="AS1461" s="44"/>
      <c r="AT1461" s="44"/>
      <c r="AU1461" s="44"/>
      <c r="AV1461" s="44"/>
      <c r="AW1461" s="44"/>
      <c r="AX1461" s="44"/>
    </row>
    <row r="1462" spans="1:50" s="71" customFormat="1" ht="15" customHeight="1" x14ac:dyDescent="0.2">
      <c r="A1462" s="70" t="s">
        <v>630</v>
      </c>
      <c r="B1462" s="70" t="s">
        <v>631</v>
      </c>
      <c r="C1462" s="71" t="s">
        <v>632</v>
      </c>
      <c r="D1462" s="71" t="s">
        <v>31</v>
      </c>
      <c r="E1462" s="71" t="s">
        <v>32</v>
      </c>
      <c r="F1462" s="71" t="s">
        <v>887</v>
      </c>
      <c r="G1462" s="78" t="s">
        <v>71</v>
      </c>
      <c r="H1462" s="71" t="s">
        <v>28</v>
      </c>
      <c r="I1462" s="87"/>
      <c r="J1462" s="72">
        <f t="shared" ref="J1462" si="486">J1461</f>
        <v>80</v>
      </c>
      <c r="K1462" s="72">
        <f>K1461</f>
        <v>5.7</v>
      </c>
      <c r="L1462" s="72">
        <f>L1461</f>
        <v>40</v>
      </c>
      <c r="M1462" s="72">
        <f>M1461</f>
        <v>0.9</v>
      </c>
      <c r="N1462" s="72"/>
      <c r="O1462" s="72"/>
      <c r="P1462" s="72"/>
      <c r="Q1462" s="72"/>
      <c r="R1462" s="72"/>
      <c r="S1462" s="72"/>
      <c r="T1462" s="72"/>
      <c r="U1462" s="72"/>
      <c r="V1462" s="72"/>
      <c r="W1462" s="72"/>
      <c r="X1462" s="72"/>
      <c r="Y1462" s="72"/>
      <c r="Z1462" s="72"/>
      <c r="AA1462" s="72"/>
      <c r="AB1462" s="72"/>
      <c r="AC1462" s="73"/>
      <c r="AD1462" s="73"/>
      <c r="AE1462" s="73"/>
      <c r="AF1462" s="73"/>
      <c r="AG1462" s="73"/>
      <c r="AH1462" s="73"/>
      <c r="AI1462" s="73"/>
      <c r="AJ1462" s="73"/>
      <c r="AK1462" s="73"/>
      <c r="AL1462" s="73"/>
      <c r="AM1462" s="73"/>
      <c r="AN1462" s="73"/>
      <c r="AO1462" s="73"/>
      <c r="AP1462" s="73"/>
      <c r="AQ1462" s="73"/>
      <c r="AR1462" s="73"/>
      <c r="AS1462" s="73"/>
      <c r="AT1462" s="73"/>
      <c r="AU1462" s="73"/>
      <c r="AV1462" s="73"/>
      <c r="AW1462" s="73"/>
      <c r="AX1462" s="73"/>
    </row>
    <row r="1463" spans="1:50" ht="15" customHeight="1" x14ac:dyDescent="0.2">
      <c r="A1463" s="55" t="s">
        <v>633</v>
      </c>
      <c r="B1463" s="55" t="s">
        <v>45</v>
      </c>
      <c r="C1463" s="56" t="s">
        <v>0</v>
      </c>
      <c r="F1463" s="57"/>
      <c r="G1463" s="57"/>
      <c r="H1463" s="57" t="s">
        <v>33</v>
      </c>
      <c r="I1463" s="249" t="s">
        <v>1007</v>
      </c>
      <c r="J1463" s="58">
        <v>91.4</v>
      </c>
      <c r="K1463" s="58">
        <v>2.2000000000000002</v>
      </c>
      <c r="L1463" s="58">
        <v>99</v>
      </c>
      <c r="M1463" s="58">
        <v>2.71</v>
      </c>
      <c r="N1463" s="58">
        <v>79</v>
      </c>
      <c r="O1463" s="58">
        <v>0.53</v>
      </c>
      <c r="P1463" s="4">
        <f t="shared" ref="P1463:P1467" si="487">AN1463</f>
        <v>0</v>
      </c>
      <c r="Q1463" s="58">
        <v>194</v>
      </c>
      <c r="R1463" s="58">
        <v>28.1</v>
      </c>
      <c r="S1463" s="58">
        <v>2.0299999999999998</v>
      </c>
      <c r="T1463" s="58"/>
      <c r="U1463" s="58"/>
      <c r="V1463" s="58"/>
      <c r="W1463" s="58"/>
      <c r="X1463" s="58"/>
      <c r="Y1463" s="58"/>
      <c r="Z1463" s="58"/>
      <c r="AA1463" s="58"/>
      <c r="AB1463" s="58"/>
      <c r="AI1463" s="23"/>
      <c r="AN1463" s="23"/>
    </row>
    <row r="1464" spans="1:50" ht="15" customHeight="1" x14ac:dyDescent="0.2">
      <c r="A1464" s="24" t="s">
        <v>633</v>
      </c>
      <c r="B1464" s="24" t="s">
        <v>45</v>
      </c>
      <c r="F1464" s="57"/>
      <c r="G1464" s="57"/>
      <c r="H1464" s="57" t="s">
        <v>33</v>
      </c>
      <c r="I1464" s="243" t="s">
        <v>1006</v>
      </c>
      <c r="J1464" s="3">
        <v>90.7</v>
      </c>
      <c r="K1464" s="3">
        <v>0.6</v>
      </c>
      <c r="L1464" s="3">
        <v>93</v>
      </c>
      <c r="M1464" s="3">
        <v>3.1</v>
      </c>
      <c r="P1464" s="4">
        <f t="shared" si="487"/>
        <v>0</v>
      </c>
      <c r="R1464" s="3">
        <v>51</v>
      </c>
      <c r="AE1464" s="23"/>
      <c r="AN1464" s="23"/>
    </row>
    <row r="1465" spans="1:50" ht="15" customHeight="1" x14ac:dyDescent="0.2">
      <c r="A1465" s="24" t="s">
        <v>633</v>
      </c>
      <c r="B1465" s="24" t="s">
        <v>45</v>
      </c>
      <c r="F1465" s="57"/>
      <c r="G1465" s="57"/>
      <c r="H1465" s="57" t="s">
        <v>33</v>
      </c>
      <c r="I1465" s="243" t="s">
        <v>1010</v>
      </c>
      <c r="J1465" s="3">
        <v>91.5</v>
      </c>
      <c r="K1465" s="3">
        <v>0.65</v>
      </c>
      <c r="L1465" s="3">
        <v>107</v>
      </c>
      <c r="M1465" s="3">
        <v>2.7</v>
      </c>
      <c r="N1465" s="3">
        <v>92</v>
      </c>
      <c r="P1465" s="4">
        <f t="shared" si="487"/>
        <v>0</v>
      </c>
      <c r="R1465" s="3">
        <v>50</v>
      </c>
      <c r="AI1465" s="23"/>
      <c r="AN1465" s="23"/>
    </row>
    <row r="1466" spans="1:50" ht="15" customHeight="1" x14ac:dyDescent="0.2">
      <c r="A1466" s="24" t="s">
        <v>633</v>
      </c>
      <c r="B1466" s="24" t="s">
        <v>45</v>
      </c>
      <c r="F1466" s="57"/>
      <c r="G1466" s="57"/>
      <c r="H1466" s="57" t="s">
        <v>33</v>
      </c>
      <c r="I1466" s="243" t="s">
        <v>1009</v>
      </c>
      <c r="K1466" s="3">
        <v>0.61</v>
      </c>
      <c r="L1466" s="3">
        <v>90</v>
      </c>
      <c r="M1466" s="3">
        <v>1.42</v>
      </c>
      <c r="O1466" s="3">
        <v>0.46</v>
      </c>
      <c r="P1466" s="4">
        <f t="shared" si="487"/>
        <v>0</v>
      </c>
      <c r="R1466" s="3">
        <v>34</v>
      </c>
      <c r="S1466" s="3">
        <v>1.22</v>
      </c>
      <c r="AN1466" s="23"/>
    </row>
    <row r="1467" spans="1:50" ht="15" customHeight="1" x14ac:dyDescent="0.2">
      <c r="A1467" s="31" t="s">
        <v>633</v>
      </c>
      <c r="B1467" s="31" t="s">
        <v>45</v>
      </c>
      <c r="F1467" s="57"/>
      <c r="G1467" s="57"/>
      <c r="H1467" s="57" t="s">
        <v>33</v>
      </c>
      <c r="I1467" s="243" t="s">
        <v>1009</v>
      </c>
      <c r="K1467" s="3">
        <v>0.72</v>
      </c>
      <c r="L1467" s="3">
        <v>53</v>
      </c>
      <c r="M1467" s="3">
        <v>0.6</v>
      </c>
      <c r="O1467" s="3">
        <v>0.47</v>
      </c>
      <c r="P1467" s="4">
        <f t="shared" si="487"/>
        <v>0</v>
      </c>
      <c r="R1467" s="3">
        <v>13</v>
      </c>
      <c r="S1467" s="3">
        <v>1.87</v>
      </c>
      <c r="AN1467" s="23"/>
    </row>
    <row r="1468" spans="1:50" s="71" customFormat="1" ht="15" customHeight="1" x14ac:dyDescent="0.2">
      <c r="A1468" s="77" t="s">
        <v>633</v>
      </c>
      <c r="B1468" s="77" t="s">
        <v>45</v>
      </c>
      <c r="C1468" s="71" t="s">
        <v>634</v>
      </c>
      <c r="D1468" s="71" t="s">
        <v>56</v>
      </c>
      <c r="E1468" s="71" t="s">
        <v>46</v>
      </c>
      <c r="F1468" s="78" t="s">
        <v>782</v>
      </c>
      <c r="H1468" s="71" t="s">
        <v>33</v>
      </c>
      <c r="I1468" s="87"/>
      <c r="J1468" s="72">
        <f t="shared" ref="J1468" si="488">AVERAGE(J1463:J1467)</f>
        <v>91.2</v>
      </c>
      <c r="K1468" s="72">
        <f t="shared" ref="K1468:S1468" si="489">AVERAGE(K1463:K1467)</f>
        <v>0.95600000000000007</v>
      </c>
      <c r="L1468" s="72">
        <f t="shared" si="489"/>
        <v>88.4</v>
      </c>
      <c r="M1468" s="72">
        <f t="shared" si="489"/>
        <v>2.1060000000000003</v>
      </c>
      <c r="N1468" s="72">
        <f t="shared" si="489"/>
        <v>85.5</v>
      </c>
      <c r="O1468" s="72">
        <f t="shared" si="489"/>
        <v>0.48666666666666664</v>
      </c>
      <c r="P1468" s="72">
        <f t="shared" si="489"/>
        <v>0</v>
      </c>
      <c r="Q1468" s="72">
        <f t="shared" si="489"/>
        <v>194</v>
      </c>
      <c r="R1468" s="72">
        <f t="shared" si="489"/>
        <v>35.22</v>
      </c>
      <c r="S1468" s="72">
        <f t="shared" si="489"/>
        <v>1.7066666666666668</v>
      </c>
      <c r="T1468" s="72"/>
      <c r="U1468" s="72"/>
      <c r="V1468" s="72"/>
      <c r="W1468" s="72"/>
      <c r="X1468" s="72"/>
      <c r="Y1468" s="72"/>
      <c r="Z1468" s="72"/>
      <c r="AA1468" s="72"/>
      <c r="AB1468" s="72"/>
      <c r="AC1468" s="73"/>
      <c r="AD1468" s="73"/>
      <c r="AE1468" s="73"/>
      <c r="AF1468" s="73"/>
      <c r="AG1468" s="73"/>
      <c r="AH1468" s="73"/>
      <c r="AI1468" s="73"/>
      <c r="AJ1468" s="73"/>
      <c r="AK1468" s="73"/>
      <c r="AL1468" s="73"/>
      <c r="AM1468" s="73"/>
      <c r="AN1468" s="73"/>
      <c r="AO1468" s="73"/>
      <c r="AP1468" s="73"/>
      <c r="AQ1468" s="73"/>
      <c r="AR1468" s="73"/>
      <c r="AS1468" s="73"/>
      <c r="AT1468" s="73"/>
      <c r="AU1468" s="73"/>
      <c r="AV1468" s="73"/>
      <c r="AW1468" s="73"/>
      <c r="AX1468" s="73"/>
    </row>
    <row r="1469" spans="1:50" s="22" customFormat="1" ht="15" customHeight="1" x14ac:dyDescent="0.2">
      <c r="A1469" s="21" t="s">
        <v>895</v>
      </c>
      <c r="B1469" s="21" t="s">
        <v>894</v>
      </c>
      <c r="D1469" s="2"/>
      <c r="E1469" s="2"/>
      <c r="F1469" s="26" t="s">
        <v>0</v>
      </c>
      <c r="H1469" s="22" t="s">
        <v>33</v>
      </c>
      <c r="I1469" s="65" t="s">
        <v>1026</v>
      </c>
      <c r="J1469" s="4">
        <v>90.7</v>
      </c>
      <c r="K1469" s="4">
        <v>1.32</v>
      </c>
      <c r="L1469" s="4">
        <v>18</v>
      </c>
      <c r="M1469" s="4">
        <v>0.51</v>
      </c>
      <c r="N1469" s="4">
        <v>10</v>
      </c>
      <c r="O1469" s="4">
        <v>7.0000000000000007E-2</v>
      </c>
      <c r="P1469" s="4">
        <f>32/1000</f>
        <v>3.2000000000000001E-2</v>
      </c>
      <c r="Q1469" s="4">
        <v>7.35</v>
      </c>
      <c r="R1469" s="4">
        <v>23.4</v>
      </c>
      <c r="S1469" s="4"/>
      <c r="T1469" s="4"/>
      <c r="U1469" s="4"/>
      <c r="V1469" s="4"/>
      <c r="W1469" s="4"/>
      <c r="X1469" s="4"/>
      <c r="Y1469" s="4"/>
      <c r="Z1469" s="4"/>
      <c r="AA1469" s="4"/>
      <c r="AB1469" s="4"/>
      <c r="AC1469" s="23"/>
      <c r="AD1469" s="23"/>
      <c r="AE1469" s="23"/>
      <c r="AF1469" s="23"/>
      <c r="AG1469" s="23"/>
      <c r="AH1469" s="23"/>
      <c r="AI1469" s="23"/>
      <c r="AJ1469" s="23"/>
      <c r="AK1469" s="23"/>
      <c r="AL1469" s="23"/>
      <c r="AM1469" s="23"/>
      <c r="AN1469" s="23"/>
      <c r="AO1469" s="23"/>
      <c r="AP1469" s="23"/>
      <c r="AQ1469" s="23"/>
      <c r="AR1469" s="23"/>
      <c r="AS1469" s="23"/>
      <c r="AT1469" s="23"/>
      <c r="AU1469" s="23"/>
      <c r="AV1469" s="23"/>
      <c r="AW1469" s="23"/>
      <c r="AX1469" s="23"/>
    </row>
    <row r="1470" spans="1:50" s="71" customFormat="1" ht="15" customHeight="1" x14ac:dyDescent="0.2">
      <c r="A1470" s="70" t="s">
        <v>895</v>
      </c>
      <c r="B1470" s="70" t="s">
        <v>894</v>
      </c>
      <c r="C1470" s="71" t="s">
        <v>896</v>
      </c>
      <c r="D1470" s="71" t="s">
        <v>31</v>
      </c>
      <c r="E1470" s="71" t="s">
        <v>46</v>
      </c>
      <c r="F1470" s="78" t="s">
        <v>782</v>
      </c>
      <c r="H1470" s="71" t="s">
        <v>33</v>
      </c>
      <c r="I1470" s="87"/>
      <c r="J1470" s="72">
        <f t="shared" ref="J1470:R1470" si="490">J1469</f>
        <v>90.7</v>
      </c>
      <c r="K1470" s="72">
        <f t="shared" si="490"/>
        <v>1.32</v>
      </c>
      <c r="L1470" s="72">
        <f t="shared" si="490"/>
        <v>18</v>
      </c>
      <c r="M1470" s="72">
        <f t="shared" si="490"/>
        <v>0.51</v>
      </c>
      <c r="N1470" s="72">
        <f t="shared" si="490"/>
        <v>10</v>
      </c>
      <c r="O1470" s="72">
        <f t="shared" si="490"/>
        <v>7.0000000000000007E-2</v>
      </c>
      <c r="P1470" s="72">
        <f t="shared" si="490"/>
        <v>3.2000000000000001E-2</v>
      </c>
      <c r="Q1470" s="72">
        <f t="shared" si="490"/>
        <v>7.35</v>
      </c>
      <c r="R1470" s="72">
        <f t="shared" si="490"/>
        <v>23.4</v>
      </c>
      <c r="S1470" s="72"/>
      <c r="T1470" s="72"/>
      <c r="U1470" s="72"/>
      <c r="V1470" s="72"/>
      <c r="W1470" s="72"/>
      <c r="X1470" s="72"/>
      <c r="Y1470" s="72"/>
      <c r="Z1470" s="72"/>
      <c r="AA1470" s="72"/>
      <c r="AB1470" s="72"/>
      <c r="AC1470" s="73"/>
      <c r="AD1470" s="73"/>
      <c r="AE1470" s="73"/>
      <c r="AF1470" s="73"/>
      <c r="AG1470" s="73"/>
      <c r="AH1470" s="73"/>
      <c r="AI1470" s="73"/>
      <c r="AJ1470" s="73"/>
      <c r="AK1470" s="73"/>
      <c r="AL1470" s="73"/>
      <c r="AM1470" s="73"/>
      <c r="AN1470" s="73"/>
      <c r="AO1470" s="73"/>
      <c r="AP1470" s="73"/>
      <c r="AQ1470" s="73"/>
      <c r="AR1470" s="73"/>
      <c r="AS1470" s="73"/>
      <c r="AT1470" s="73"/>
      <c r="AU1470" s="73"/>
      <c r="AV1470" s="73"/>
      <c r="AW1470" s="73"/>
      <c r="AX1470" s="73"/>
    </row>
    <row r="1471" spans="1:50" s="22" customFormat="1" ht="15" customHeight="1" x14ac:dyDescent="0.2">
      <c r="A1471" s="21" t="s">
        <v>635</v>
      </c>
      <c r="B1471" s="21" t="s">
        <v>636</v>
      </c>
      <c r="C1471" s="22" t="s">
        <v>0</v>
      </c>
      <c r="D1471" s="2"/>
      <c r="E1471" s="2"/>
      <c r="H1471" s="22" t="s">
        <v>33</v>
      </c>
      <c r="I1471" s="65" t="s">
        <v>1009</v>
      </c>
      <c r="J1471" s="4"/>
      <c r="K1471" s="4">
        <v>0.76</v>
      </c>
      <c r="L1471" s="4">
        <v>72</v>
      </c>
      <c r="M1471" s="4">
        <v>0.94</v>
      </c>
      <c r="N1471" s="4"/>
      <c r="O1471" s="4">
        <v>0.14000000000000001</v>
      </c>
      <c r="P1471" s="4">
        <f t="shared" ref="P1471" si="491">AN1471</f>
        <v>0</v>
      </c>
      <c r="Q1471" s="4"/>
      <c r="R1471" s="4">
        <v>26</v>
      </c>
      <c r="S1471" s="4"/>
      <c r="T1471" s="4"/>
      <c r="U1471" s="4"/>
      <c r="V1471" s="4"/>
      <c r="W1471" s="4"/>
      <c r="X1471" s="4"/>
      <c r="Y1471" s="4"/>
      <c r="Z1471" s="4"/>
      <c r="AA1471" s="4"/>
      <c r="AB1471" s="4"/>
      <c r="AC1471" s="23"/>
      <c r="AD1471" s="23"/>
      <c r="AE1471" s="23"/>
      <c r="AF1471" s="23"/>
      <c r="AG1471" s="5"/>
      <c r="AH1471" s="23"/>
      <c r="AI1471" s="23"/>
      <c r="AJ1471" s="23"/>
      <c r="AK1471" s="23"/>
      <c r="AL1471" s="23"/>
      <c r="AM1471" s="23"/>
      <c r="AN1471" s="23"/>
      <c r="AO1471" s="23"/>
      <c r="AP1471" s="23"/>
      <c r="AQ1471" s="23"/>
      <c r="AR1471" s="23"/>
      <c r="AS1471" s="23"/>
      <c r="AT1471" s="23"/>
      <c r="AU1471" s="23"/>
      <c r="AV1471" s="23"/>
      <c r="AW1471" s="23"/>
      <c r="AX1471" s="23"/>
    </row>
    <row r="1472" spans="1:50" s="71" customFormat="1" ht="15" customHeight="1" x14ac:dyDescent="0.2">
      <c r="A1472" s="70" t="s">
        <v>635</v>
      </c>
      <c r="B1472" s="70" t="s">
        <v>636</v>
      </c>
      <c r="C1472" s="71" t="s">
        <v>637</v>
      </c>
      <c r="D1472" s="71" t="s">
        <v>31</v>
      </c>
      <c r="E1472" s="71" t="s">
        <v>46</v>
      </c>
      <c r="F1472" s="78" t="s">
        <v>782</v>
      </c>
      <c r="H1472" s="71" t="s">
        <v>33</v>
      </c>
      <c r="I1472" s="87"/>
      <c r="J1472" s="72"/>
      <c r="K1472" s="72">
        <f>K1471</f>
        <v>0.76</v>
      </c>
      <c r="L1472" s="72">
        <f>L1471</f>
        <v>72</v>
      </c>
      <c r="M1472" s="72">
        <f>M1471</f>
        <v>0.94</v>
      </c>
      <c r="N1472" s="72"/>
      <c r="O1472" s="72">
        <f>O1471</f>
        <v>0.14000000000000001</v>
      </c>
      <c r="P1472" s="72">
        <f>P1471</f>
        <v>0</v>
      </c>
      <c r="Q1472" s="72"/>
      <c r="R1472" s="72">
        <f>R1471</f>
        <v>26</v>
      </c>
      <c r="S1472" s="72"/>
      <c r="T1472" s="72"/>
      <c r="U1472" s="72"/>
      <c r="V1472" s="72"/>
      <c r="W1472" s="72"/>
      <c r="X1472" s="72"/>
      <c r="Y1472" s="72"/>
      <c r="Z1472" s="72"/>
      <c r="AA1472" s="72"/>
      <c r="AB1472" s="72"/>
      <c r="AC1472" s="73"/>
      <c r="AD1472" s="73"/>
      <c r="AE1472" s="73"/>
      <c r="AF1472" s="73"/>
      <c r="AG1472" s="73"/>
      <c r="AH1472" s="73"/>
      <c r="AI1472" s="73"/>
      <c r="AJ1472" s="73"/>
      <c r="AK1472" s="73"/>
      <c r="AL1472" s="73"/>
      <c r="AM1472" s="73"/>
      <c r="AN1472" s="73"/>
      <c r="AO1472" s="73"/>
      <c r="AP1472" s="73"/>
      <c r="AQ1472" s="73"/>
      <c r="AR1472" s="73"/>
      <c r="AS1472" s="73"/>
      <c r="AT1472" s="73"/>
      <c r="AU1472" s="73"/>
      <c r="AV1472" s="73"/>
      <c r="AW1472" s="73"/>
      <c r="AX1472" s="73"/>
    </row>
    <row r="1473" spans="1:50" ht="51" x14ac:dyDescent="0.2">
      <c r="A1473" s="24" t="s">
        <v>635</v>
      </c>
      <c r="B1473" s="24" t="s">
        <v>638</v>
      </c>
      <c r="H1473" s="2" t="s">
        <v>33</v>
      </c>
      <c r="I1473" s="243" t="s">
        <v>1014</v>
      </c>
      <c r="J1473" s="3">
        <v>92.4</v>
      </c>
      <c r="K1473" s="3">
        <v>0.6</v>
      </c>
      <c r="L1473" s="3">
        <v>90</v>
      </c>
      <c r="M1473" s="3">
        <v>4.8</v>
      </c>
      <c r="P1473" s="4" t="s">
        <v>0</v>
      </c>
      <c r="R1473" s="3">
        <v>58</v>
      </c>
    </row>
    <row r="1474" spans="1:50" ht="15" customHeight="1" x14ac:dyDescent="0.2">
      <c r="A1474" s="24" t="s">
        <v>635</v>
      </c>
      <c r="B1474" s="24" t="s">
        <v>638</v>
      </c>
      <c r="H1474" s="2" t="s">
        <v>33</v>
      </c>
      <c r="I1474" s="243" t="s">
        <v>1010</v>
      </c>
      <c r="J1474" s="3">
        <v>90.5</v>
      </c>
      <c r="K1474" s="3">
        <v>0.9</v>
      </c>
      <c r="L1474" s="3">
        <v>120</v>
      </c>
      <c r="M1474" s="3">
        <v>5.3</v>
      </c>
      <c r="P1474" s="4" t="s">
        <v>0</v>
      </c>
      <c r="R1474" s="3">
        <v>39</v>
      </c>
    </row>
    <row r="1475" spans="1:50" ht="15" customHeight="1" x14ac:dyDescent="0.2">
      <c r="A1475" s="24" t="s">
        <v>635</v>
      </c>
      <c r="B1475" s="24" t="s">
        <v>638</v>
      </c>
      <c r="H1475" s="2" t="s">
        <v>33</v>
      </c>
      <c r="I1475" s="243" t="s">
        <v>1009</v>
      </c>
      <c r="K1475" s="3">
        <v>0.73</v>
      </c>
      <c r="L1475" s="3">
        <v>41</v>
      </c>
      <c r="M1475" s="3">
        <v>0.99</v>
      </c>
      <c r="P1475" s="4">
        <f t="shared" ref="P1475" si="492">AN1475</f>
        <v>0</v>
      </c>
      <c r="R1475" s="3">
        <v>3</v>
      </c>
      <c r="S1475" s="3">
        <v>1.06</v>
      </c>
      <c r="AN1475" s="23"/>
    </row>
    <row r="1476" spans="1:50" ht="15" customHeight="1" x14ac:dyDescent="0.2">
      <c r="A1476" s="24" t="s">
        <v>635</v>
      </c>
      <c r="B1476" s="24" t="s">
        <v>638</v>
      </c>
      <c r="H1476" s="2" t="s">
        <v>33</v>
      </c>
      <c r="I1476" s="243" t="s">
        <v>1006</v>
      </c>
      <c r="J1476" s="3">
        <v>91</v>
      </c>
      <c r="K1476" s="3">
        <v>0.94759999999999966</v>
      </c>
      <c r="L1476" s="3" t="s">
        <v>55</v>
      </c>
      <c r="M1476" s="3" t="s">
        <v>55</v>
      </c>
      <c r="P1476" s="4" t="s">
        <v>0</v>
      </c>
      <c r="R1476" s="3" t="s">
        <v>55</v>
      </c>
    </row>
    <row r="1477" spans="1:50" ht="15" customHeight="1" x14ac:dyDescent="0.2">
      <c r="A1477" s="24" t="s">
        <v>635</v>
      </c>
      <c r="B1477" s="24" t="s">
        <v>638</v>
      </c>
      <c r="H1477" s="2" t="s">
        <v>33</v>
      </c>
      <c r="I1477" s="243" t="s">
        <v>1006</v>
      </c>
      <c r="J1477" s="3">
        <v>92</v>
      </c>
      <c r="K1477" s="3">
        <v>0.62319999999999975</v>
      </c>
      <c r="L1477" s="3">
        <v>94.01959999999994</v>
      </c>
      <c r="M1477" s="3">
        <v>4.3091999999999979</v>
      </c>
      <c r="P1477" s="4" t="s">
        <v>0</v>
      </c>
      <c r="R1477" s="3">
        <v>42.309199999999976</v>
      </c>
    </row>
    <row r="1478" spans="1:50" ht="15" customHeight="1" x14ac:dyDescent="0.2">
      <c r="A1478" s="24" t="s">
        <v>635</v>
      </c>
      <c r="B1478" s="24" t="s">
        <v>638</v>
      </c>
      <c r="H1478" s="2" t="s">
        <v>33</v>
      </c>
      <c r="I1478" s="243" t="s">
        <v>1006</v>
      </c>
      <c r="J1478" s="3">
        <v>90</v>
      </c>
      <c r="K1478" s="3" t="s">
        <v>55</v>
      </c>
      <c r="L1478" s="3">
        <v>132.26919999999996</v>
      </c>
      <c r="M1478" s="3">
        <v>0.98939999999999972</v>
      </c>
      <c r="P1478" s="4" t="s">
        <v>0</v>
      </c>
      <c r="R1478" s="3">
        <v>63.932699999999983</v>
      </c>
    </row>
    <row r="1479" spans="1:50" ht="15" customHeight="1" x14ac:dyDescent="0.2">
      <c r="A1479" s="24" t="s">
        <v>635</v>
      </c>
      <c r="B1479" s="24" t="s">
        <v>638</v>
      </c>
      <c r="H1479" s="2" t="s">
        <v>33</v>
      </c>
      <c r="I1479" s="243" t="s">
        <v>1004</v>
      </c>
      <c r="J1479" s="3">
        <v>90.8</v>
      </c>
      <c r="K1479" s="3">
        <v>1</v>
      </c>
      <c r="L1479" s="3">
        <v>121</v>
      </c>
      <c r="P1479" s="4" t="s">
        <v>0</v>
      </c>
      <c r="R1479" s="3">
        <v>31</v>
      </c>
    </row>
    <row r="1480" spans="1:50" s="71" customFormat="1" ht="15" customHeight="1" x14ac:dyDescent="0.2">
      <c r="A1480" s="70" t="s">
        <v>635</v>
      </c>
      <c r="B1480" s="70" t="s">
        <v>638</v>
      </c>
      <c r="C1480" s="71" t="s">
        <v>639</v>
      </c>
      <c r="D1480" s="71" t="s">
        <v>31</v>
      </c>
      <c r="E1480" s="71" t="s">
        <v>46</v>
      </c>
      <c r="F1480" s="78" t="s">
        <v>782</v>
      </c>
      <c r="H1480" s="71" t="s">
        <v>33</v>
      </c>
      <c r="I1480" s="87"/>
      <c r="J1480" s="72">
        <f t="shared" ref="J1480" si="493">AVERAGE(J1474:J1479)</f>
        <v>90.86</v>
      </c>
      <c r="K1480" s="72">
        <f>AVERAGE(K1473:K1479)</f>
        <v>0.80013333333333314</v>
      </c>
      <c r="L1480" s="72">
        <f>AVERAGE(L1473:L1479)</f>
        <v>99.714799999999983</v>
      </c>
      <c r="M1480" s="72">
        <f>AVERAGE(M1473:M1479)</f>
        <v>3.2777199999999995</v>
      </c>
      <c r="N1480" s="72"/>
      <c r="O1480" s="72"/>
      <c r="P1480" s="72">
        <f>AVERAGE(P1473:P1479)</f>
        <v>0</v>
      </c>
      <c r="Q1480" s="72"/>
      <c r="R1480" s="72">
        <f>AVERAGE(R1473:R1479)</f>
        <v>39.540316666666662</v>
      </c>
      <c r="S1480" s="72"/>
      <c r="T1480" s="72"/>
      <c r="U1480" s="72"/>
      <c r="V1480" s="72"/>
      <c r="W1480" s="72"/>
      <c r="X1480" s="72"/>
      <c r="Y1480" s="72"/>
      <c r="Z1480" s="72"/>
      <c r="AA1480" s="72"/>
      <c r="AB1480" s="72"/>
      <c r="AC1480" s="73"/>
      <c r="AD1480" s="73"/>
      <c r="AE1480" s="73"/>
      <c r="AF1480" s="73"/>
      <c r="AG1480" s="73"/>
      <c r="AH1480" s="73"/>
      <c r="AI1480" s="73"/>
      <c r="AJ1480" s="73"/>
      <c r="AK1480" s="73"/>
      <c r="AL1480" s="73"/>
      <c r="AM1480" s="73"/>
      <c r="AN1480" s="73"/>
      <c r="AO1480" s="73"/>
      <c r="AP1480" s="73"/>
      <c r="AQ1480" s="73"/>
      <c r="AR1480" s="73"/>
      <c r="AS1480" s="73"/>
      <c r="AT1480" s="73"/>
      <c r="AU1480" s="73"/>
      <c r="AV1480" s="73"/>
      <c r="AW1480" s="73"/>
      <c r="AX1480" s="73"/>
    </row>
    <row r="1481" spans="1:50" ht="15" customHeight="1" x14ac:dyDescent="0.2">
      <c r="A1481" s="24" t="s">
        <v>640</v>
      </c>
      <c r="B1481" s="24" t="s">
        <v>641</v>
      </c>
      <c r="H1481" s="2" t="s">
        <v>33</v>
      </c>
      <c r="I1481" s="243" t="s">
        <v>1010</v>
      </c>
      <c r="J1481" s="3">
        <v>95.7</v>
      </c>
      <c r="K1481" s="3">
        <v>1.6</v>
      </c>
      <c r="L1481" s="3">
        <v>179</v>
      </c>
      <c r="M1481" s="3">
        <v>3.1</v>
      </c>
      <c r="N1481" s="3">
        <v>36</v>
      </c>
      <c r="P1481" s="4">
        <f t="shared" ref="P1481:P1487" si="494">AN1481</f>
        <v>0</v>
      </c>
      <c r="R1481" s="3">
        <v>34</v>
      </c>
      <c r="AI1481" s="23"/>
      <c r="AN1481" s="23"/>
    </row>
    <row r="1482" spans="1:50" ht="15" customHeight="1" x14ac:dyDescent="0.2">
      <c r="A1482" s="24" t="s">
        <v>640</v>
      </c>
      <c r="B1482" s="24" t="s">
        <v>641</v>
      </c>
      <c r="H1482" s="2" t="s">
        <v>33</v>
      </c>
      <c r="I1482" s="243" t="s">
        <v>1029</v>
      </c>
      <c r="L1482" s="3">
        <v>50</v>
      </c>
      <c r="M1482" s="3">
        <v>1.2</v>
      </c>
      <c r="N1482" s="3">
        <v>23</v>
      </c>
      <c r="R1482" s="3">
        <v>115</v>
      </c>
      <c r="AI1482" s="23"/>
      <c r="AN1482" s="23"/>
    </row>
    <row r="1483" spans="1:50" ht="15" customHeight="1" x14ac:dyDescent="0.2">
      <c r="A1483" s="24" t="s">
        <v>640</v>
      </c>
      <c r="B1483" s="24" t="s">
        <v>641</v>
      </c>
      <c r="H1483" s="2" t="s">
        <v>33</v>
      </c>
      <c r="I1483" s="243" t="s">
        <v>1016</v>
      </c>
      <c r="J1483" s="3">
        <v>89.1</v>
      </c>
      <c r="K1483" s="3">
        <v>3.02</v>
      </c>
      <c r="L1483" s="3">
        <v>168</v>
      </c>
      <c r="M1483" s="3">
        <v>3.4</v>
      </c>
      <c r="N1483" s="3">
        <v>37</v>
      </c>
      <c r="O1483" s="3">
        <v>0.83</v>
      </c>
      <c r="P1483" s="4">
        <f t="shared" si="494"/>
        <v>0</v>
      </c>
      <c r="R1483" s="3">
        <v>68</v>
      </c>
      <c r="S1483" s="3">
        <v>2.5</v>
      </c>
      <c r="AN1483" s="23"/>
    </row>
    <row r="1484" spans="1:50" ht="15" customHeight="1" x14ac:dyDescent="0.2">
      <c r="A1484" s="24" t="s">
        <v>640</v>
      </c>
      <c r="B1484" s="24" t="s">
        <v>641</v>
      </c>
      <c r="H1484" s="2" t="s">
        <v>33</v>
      </c>
      <c r="I1484" s="243" t="s">
        <v>1009</v>
      </c>
      <c r="K1484" s="3">
        <v>2.0299999999999998</v>
      </c>
      <c r="L1484" s="3">
        <v>159</v>
      </c>
      <c r="M1484" s="3">
        <v>1.86</v>
      </c>
      <c r="O1484" s="3">
        <v>0.39</v>
      </c>
      <c r="P1484" s="4">
        <f t="shared" si="494"/>
        <v>0</v>
      </c>
      <c r="Q1484" s="3">
        <v>14</v>
      </c>
      <c r="R1484" s="3">
        <v>28</v>
      </c>
      <c r="S1484" s="3">
        <v>2.4</v>
      </c>
      <c r="AN1484" s="23"/>
    </row>
    <row r="1485" spans="1:50" ht="15" customHeight="1" x14ac:dyDescent="0.2">
      <c r="A1485" s="55" t="s">
        <v>640</v>
      </c>
      <c r="B1485" s="24" t="s">
        <v>641</v>
      </c>
      <c r="C1485" s="56" t="s">
        <v>0</v>
      </c>
      <c r="H1485" s="2" t="s">
        <v>33</v>
      </c>
      <c r="I1485" s="249" t="s">
        <v>1007</v>
      </c>
      <c r="J1485" s="58">
        <v>85.6</v>
      </c>
      <c r="K1485" s="58">
        <v>3.5</v>
      </c>
      <c r="L1485" s="58">
        <v>187</v>
      </c>
      <c r="M1485" s="58">
        <v>3.1</v>
      </c>
      <c r="N1485" s="58">
        <v>36</v>
      </c>
      <c r="O1485" s="58">
        <v>0.41</v>
      </c>
      <c r="P1485" s="4">
        <f t="shared" si="494"/>
        <v>0</v>
      </c>
      <c r="Q1485" s="58">
        <v>27</v>
      </c>
      <c r="R1485" s="58">
        <v>35</v>
      </c>
      <c r="S1485" s="58">
        <v>3.44</v>
      </c>
      <c r="T1485" s="58"/>
      <c r="U1485" s="58"/>
      <c r="V1485" s="58"/>
      <c r="W1485" s="58"/>
      <c r="X1485" s="58"/>
      <c r="Y1485" s="58"/>
      <c r="Z1485" s="58"/>
      <c r="AA1485" s="58"/>
      <c r="AB1485" s="58"/>
      <c r="AI1485" s="23"/>
      <c r="AN1485" s="23"/>
    </row>
    <row r="1486" spans="1:50" ht="15" customHeight="1" x14ac:dyDescent="0.2">
      <c r="A1486" s="24" t="s">
        <v>640</v>
      </c>
      <c r="B1486" s="24" t="s">
        <v>641</v>
      </c>
      <c r="H1486" s="2" t="s">
        <v>33</v>
      </c>
      <c r="I1486" s="243" t="s">
        <v>1006</v>
      </c>
      <c r="J1486" s="3">
        <v>86</v>
      </c>
      <c r="K1486" s="3">
        <v>0.51479999999999992</v>
      </c>
      <c r="L1486" s="3">
        <v>603.91759999999999</v>
      </c>
      <c r="M1486" s="3">
        <v>4.2185000000000006</v>
      </c>
      <c r="P1486" s="4">
        <f t="shared" si="494"/>
        <v>0</v>
      </c>
      <c r="R1486" s="3">
        <v>27.999400000000005</v>
      </c>
      <c r="AE1486" s="23"/>
      <c r="AN1486" s="23"/>
    </row>
    <row r="1487" spans="1:50" ht="15" customHeight="1" x14ac:dyDescent="0.2">
      <c r="A1487" s="24" t="s">
        <v>640</v>
      </c>
      <c r="B1487" s="24" t="s">
        <v>641</v>
      </c>
      <c r="H1487" s="2" t="s">
        <v>33</v>
      </c>
      <c r="I1487" s="243" t="s">
        <v>1030</v>
      </c>
      <c r="M1487" s="3">
        <v>3.1</v>
      </c>
      <c r="N1487" s="3">
        <v>36</v>
      </c>
      <c r="P1487" s="4">
        <f t="shared" si="494"/>
        <v>0</v>
      </c>
      <c r="AN1487" s="23"/>
    </row>
    <row r="1488" spans="1:50" s="22" customFormat="1" ht="15" customHeight="1" x14ac:dyDescent="0.2">
      <c r="A1488" s="21" t="s">
        <v>640</v>
      </c>
      <c r="B1488" s="21" t="s">
        <v>641</v>
      </c>
      <c r="D1488" s="2"/>
      <c r="E1488" s="2"/>
      <c r="H1488" s="22" t="s">
        <v>33</v>
      </c>
      <c r="I1488" s="65" t="s">
        <v>1017</v>
      </c>
      <c r="J1488" s="4">
        <v>83.8</v>
      </c>
      <c r="K1488" s="4">
        <v>0.9</v>
      </c>
      <c r="L1488" s="4">
        <v>75.8</v>
      </c>
      <c r="M1488" s="4">
        <v>5.25</v>
      </c>
      <c r="N1488" s="4">
        <v>25.5</v>
      </c>
      <c r="O1488" s="4">
        <f>85.2*0.001</f>
        <v>8.5199999999999998E-2</v>
      </c>
      <c r="P1488" s="4" t="s">
        <v>0</v>
      </c>
      <c r="Q1488" s="4"/>
      <c r="R1488" s="4">
        <v>30.2</v>
      </c>
      <c r="S1488" s="4">
        <f>3.52+0.13+0.35</f>
        <v>4</v>
      </c>
      <c r="T1488" s="4"/>
      <c r="U1488" s="4"/>
      <c r="V1488" s="4"/>
      <c r="W1488" s="4"/>
      <c r="X1488" s="4"/>
      <c r="Y1488" s="4"/>
      <c r="Z1488" s="4"/>
      <c r="AA1488" s="4"/>
      <c r="AB1488" s="4"/>
      <c r="AC1488" s="23"/>
      <c r="AD1488" s="23"/>
      <c r="AE1488" s="23"/>
      <c r="AF1488" s="23"/>
      <c r="AG1488" s="23"/>
      <c r="AH1488" s="23"/>
      <c r="AI1488" s="23"/>
      <c r="AJ1488" s="23"/>
      <c r="AK1488" s="23"/>
      <c r="AL1488" s="23"/>
      <c r="AM1488" s="23"/>
      <c r="AN1488" s="23"/>
      <c r="AO1488" s="23"/>
      <c r="AP1488" s="23"/>
      <c r="AQ1488" s="23"/>
      <c r="AR1488" s="23"/>
      <c r="AS1488" s="23"/>
      <c r="AT1488" s="23"/>
      <c r="AU1488" s="23"/>
      <c r="AV1488" s="23"/>
      <c r="AW1488" s="23"/>
      <c r="AX1488" s="23"/>
    </row>
    <row r="1489" spans="1:50" ht="15" customHeight="1" x14ac:dyDescent="0.2">
      <c r="A1489" s="24" t="s">
        <v>640</v>
      </c>
      <c r="B1489" s="24" t="s">
        <v>641</v>
      </c>
      <c r="H1489" s="2" t="s">
        <v>33</v>
      </c>
      <c r="I1489" s="243" t="s">
        <v>1006</v>
      </c>
      <c r="J1489" s="3">
        <v>86</v>
      </c>
      <c r="K1489" s="3">
        <v>1.5984000000000003</v>
      </c>
      <c r="L1489" s="3">
        <v>186.9984</v>
      </c>
      <c r="M1489" s="3">
        <v>3.0960000000000005</v>
      </c>
      <c r="P1489" s="4">
        <f t="shared" ref="P1489:P1490" si="495">AN1489</f>
        <v>0</v>
      </c>
      <c r="R1489" s="3" t="s">
        <v>55</v>
      </c>
      <c r="AE1489" s="23"/>
      <c r="AN1489" s="23"/>
    </row>
    <row r="1490" spans="1:50" ht="15" customHeight="1" x14ac:dyDescent="0.2">
      <c r="A1490" s="31" t="s">
        <v>640</v>
      </c>
      <c r="B1490" s="24" t="s">
        <v>641</v>
      </c>
      <c r="H1490" s="2" t="s">
        <v>33</v>
      </c>
      <c r="I1490" s="243" t="s">
        <v>1023</v>
      </c>
      <c r="J1490" s="3">
        <v>86</v>
      </c>
      <c r="P1490" s="4">
        <f t="shared" si="495"/>
        <v>0</v>
      </c>
      <c r="R1490" s="3">
        <v>30</v>
      </c>
      <c r="AN1490" s="23"/>
    </row>
    <row r="1491" spans="1:50" s="71" customFormat="1" ht="15" customHeight="1" x14ac:dyDescent="0.2">
      <c r="A1491" s="77" t="s">
        <v>640</v>
      </c>
      <c r="B1491" s="70" t="s">
        <v>641</v>
      </c>
      <c r="C1491" s="71" t="s">
        <v>642</v>
      </c>
      <c r="D1491" s="71" t="s">
        <v>31</v>
      </c>
      <c r="E1491" s="71" t="s">
        <v>46</v>
      </c>
      <c r="F1491" s="78" t="s">
        <v>782</v>
      </c>
      <c r="H1491" s="71" t="s">
        <v>33</v>
      </c>
      <c r="I1491" s="87"/>
      <c r="J1491" s="72">
        <f t="shared" ref="J1491" si="496">AVERAGE(J1481:J1490)</f>
        <v>87.45714285714287</v>
      </c>
      <c r="K1491" s="72">
        <f t="shared" ref="K1491:S1491" si="497">AVERAGE(K1481:K1490)</f>
        <v>1.8804571428571428</v>
      </c>
      <c r="L1491" s="72">
        <f t="shared" si="497"/>
        <v>201.21449999999999</v>
      </c>
      <c r="M1491" s="72">
        <f t="shared" si="497"/>
        <v>3.1471666666666667</v>
      </c>
      <c r="N1491" s="72">
        <f t="shared" si="497"/>
        <v>32.25</v>
      </c>
      <c r="O1491" s="72">
        <f t="shared" si="497"/>
        <v>0.42879999999999996</v>
      </c>
      <c r="P1491" s="72">
        <f t="shared" si="497"/>
        <v>0</v>
      </c>
      <c r="Q1491" s="72">
        <f t="shared" si="497"/>
        <v>20.5</v>
      </c>
      <c r="R1491" s="72">
        <f t="shared" si="497"/>
        <v>46.024924999999996</v>
      </c>
      <c r="S1491" s="72">
        <f t="shared" si="497"/>
        <v>3.085</v>
      </c>
      <c r="T1491" s="72"/>
      <c r="U1491" s="72"/>
      <c r="V1491" s="72"/>
      <c r="W1491" s="72"/>
      <c r="X1491" s="72"/>
      <c r="Y1491" s="72"/>
      <c r="Z1491" s="72"/>
      <c r="AA1491" s="72"/>
      <c r="AB1491" s="72"/>
      <c r="AC1491" s="73"/>
      <c r="AD1491" s="73"/>
      <c r="AE1491" s="73"/>
      <c r="AF1491" s="73"/>
      <c r="AG1491" s="73"/>
      <c r="AH1491" s="73"/>
      <c r="AI1491" s="73"/>
      <c r="AJ1491" s="73"/>
      <c r="AK1491" s="73"/>
      <c r="AL1491" s="73"/>
      <c r="AM1491" s="73"/>
      <c r="AN1491" s="73"/>
      <c r="AO1491" s="73"/>
      <c r="AP1491" s="73"/>
      <c r="AQ1491" s="73"/>
      <c r="AR1491" s="73"/>
      <c r="AS1491" s="73"/>
      <c r="AT1491" s="73"/>
      <c r="AU1491" s="73"/>
      <c r="AV1491" s="73"/>
      <c r="AW1491" s="73"/>
      <c r="AX1491" s="73"/>
    </row>
    <row r="1492" spans="1:50" s="22" customFormat="1" ht="15" customHeight="1" x14ac:dyDescent="0.2">
      <c r="A1492" s="25" t="s">
        <v>640</v>
      </c>
      <c r="B1492" s="21" t="s">
        <v>641</v>
      </c>
      <c r="C1492" s="22" t="s">
        <v>0</v>
      </c>
      <c r="D1492" s="2"/>
      <c r="E1492" s="2"/>
      <c r="H1492" s="22" t="s">
        <v>166</v>
      </c>
      <c r="I1492" s="65" t="s">
        <v>1023</v>
      </c>
      <c r="J1492" s="4">
        <v>85</v>
      </c>
      <c r="K1492" s="4">
        <v>1.6</v>
      </c>
      <c r="L1492" s="4">
        <v>2.9</v>
      </c>
      <c r="M1492" s="4">
        <v>4.0999999999999996</v>
      </c>
      <c r="N1492" s="4"/>
      <c r="O1492" s="4"/>
      <c r="P1492" s="4">
        <f t="shared" ref="P1492" si="498">AN1492</f>
        <v>0</v>
      </c>
      <c r="Q1492" s="4"/>
      <c r="R1492" s="4">
        <v>35</v>
      </c>
      <c r="S1492" s="4"/>
      <c r="T1492" s="4"/>
      <c r="U1492" s="4"/>
      <c r="V1492" s="4"/>
      <c r="W1492" s="4"/>
      <c r="X1492" s="4"/>
      <c r="Y1492" s="4"/>
      <c r="Z1492" s="4"/>
      <c r="AA1492" s="4"/>
      <c r="AB1492" s="4"/>
      <c r="AC1492" s="23"/>
      <c r="AD1492" s="23"/>
      <c r="AE1492" s="23"/>
      <c r="AF1492" s="23"/>
      <c r="AG1492" s="23"/>
      <c r="AH1492" s="23"/>
      <c r="AI1492" s="23"/>
      <c r="AJ1492" s="23"/>
      <c r="AK1492" s="5"/>
      <c r="AL1492" s="23"/>
      <c r="AM1492" s="23"/>
      <c r="AN1492" s="23"/>
      <c r="AO1492" s="23"/>
      <c r="AP1492" s="23"/>
      <c r="AQ1492" s="23"/>
      <c r="AR1492" s="23"/>
      <c r="AS1492" s="23"/>
      <c r="AT1492" s="23"/>
      <c r="AU1492" s="23"/>
      <c r="AV1492" s="23"/>
      <c r="AW1492" s="23"/>
      <c r="AX1492" s="23"/>
    </row>
    <row r="1493" spans="1:50" s="71" customFormat="1" ht="15" customHeight="1" x14ac:dyDescent="0.2">
      <c r="A1493" s="77" t="s">
        <v>640</v>
      </c>
      <c r="B1493" s="70" t="s">
        <v>641</v>
      </c>
      <c r="C1493" s="71" t="s">
        <v>642</v>
      </c>
      <c r="D1493" s="71" t="s">
        <v>31</v>
      </c>
      <c r="E1493" s="71" t="s">
        <v>46</v>
      </c>
      <c r="F1493" s="78" t="s">
        <v>782</v>
      </c>
      <c r="H1493" s="71" t="s">
        <v>166</v>
      </c>
      <c r="I1493" s="87"/>
      <c r="J1493" s="72">
        <f t="shared" ref="J1493" si="499">J1492</f>
        <v>85</v>
      </c>
      <c r="K1493" s="72">
        <f>K1492</f>
        <v>1.6</v>
      </c>
      <c r="L1493" s="72">
        <f>L1492</f>
        <v>2.9</v>
      </c>
      <c r="M1493" s="72">
        <f>M1492</f>
        <v>4.0999999999999996</v>
      </c>
      <c r="N1493" s="72"/>
      <c r="O1493" s="72" t="s">
        <v>0</v>
      </c>
      <c r="P1493" s="72">
        <f>P1492</f>
        <v>0</v>
      </c>
      <c r="Q1493" s="72"/>
      <c r="R1493" s="72">
        <f>R1492</f>
        <v>35</v>
      </c>
      <c r="S1493" s="72"/>
      <c r="T1493" s="72"/>
      <c r="U1493" s="72"/>
      <c r="V1493" s="72"/>
      <c r="W1493" s="72"/>
      <c r="X1493" s="72"/>
      <c r="Y1493" s="72"/>
      <c r="Z1493" s="72"/>
      <c r="AA1493" s="72"/>
      <c r="AB1493" s="72"/>
      <c r="AC1493" s="73"/>
      <c r="AD1493" s="73"/>
      <c r="AE1493" s="73"/>
      <c r="AF1493" s="73"/>
      <c r="AG1493" s="73"/>
      <c r="AH1493" s="73"/>
      <c r="AI1493" s="73"/>
      <c r="AJ1493" s="73"/>
      <c r="AK1493" s="73"/>
      <c r="AL1493" s="73"/>
      <c r="AM1493" s="73"/>
      <c r="AN1493" s="73"/>
      <c r="AO1493" s="73"/>
      <c r="AP1493" s="73"/>
      <c r="AQ1493" s="73"/>
      <c r="AR1493" s="73"/>
      <c r="AS1493" s="73"/>
      <c r="AT1493" s="73"/>
      <c r="AU1493" s="73"/>
      <c r="AV1493" s="73"/>
      <c r="AW1493" s="73"/>
      <c r="AX1493" s="73"/>
    </row>
    <row r="1494" spans="1:50" ht="15" customHeight="1" x14ac:dyDescent="0.2">
      <c r="A1494" s="24" t="s">
        <v>643</v>
      </c>
      <c r="B1494" s="24" t="s">
        <v>644</v>
      </c>
      <c r="H1494" s="2" t="s">
        <v>33</v>
      </c>
      <c r="I1494" s="243" t="s">
        <v>1006</v>
      </c>
      <c r="J1494" s="3">
        <v>86</v>
      </c>
      <c r="K1494" s="3">
        <v>1.7408000000000003</v>
      </c>
      <c r="L1494" s="3" t="s">
        <v>55</v>
      </c>
      <c r="M1494" s="3" t="s">
        <v>55</v>
      </c>
      <c r="P1494" s="4" t="s">
        <v>0</v>
      </c>
      <c r="R1494" s="3">
        <v>88.644800000000004</v>
      </c>
    </row>
    <row r="1495" spans="1:50" ht="15" customHeight="1" x14ac:dyDescent="0.2">
      <c r="A1495" s="24" t="s">
        <v>643</v>
      </c>
      <c r="B1495" s="24" t="s">
        <v>644</v>
      </c>
      <c r="H1495" s="2" t="s">
        <v>33</v>
      </c>
      <c r="I1495" s="243" t="s">
        <v>1005</v>
      </c>
      <c r="J1495" s="3">
        <v>86.4</v>
      </c>
      <c r="M1495" s="3">
        <v>0.8</v>
      </c>
      <c r="P1495" s="4" t="s">
        <v>0</v>
      </c>
    </row>
    <row r="1496" spans="1:50" ht="15" customHeight="1" x14ac:dyDescent="0.2">
      <c r="A1496" s="24" t="s">
        <v>643</v>
      </c>
      <c r="B1496" s="24" t="s">
        <v>644</v>
      </c>
      <c r="H1496" s="2" t="s">
        <v>33</v>
      </c>
      <c r="I1496" s="243" t="s">
        <v>1010</v>
      </c>
      <c r="J1496" s="3">
        <v>86.4</v>
      </c>
      <c r="K1496" s="3">
        <v>1.7</v>
      </c>
      <c r="P1496" s="4" t="s">
        <v>0</v>
      </c>
    </row>
    <row r="1497" spans="1:50" s="71" customFormat="1" ht="15" customHeight="1" x14ac:dyDescent="0.2">
      <c r="A1497" s="70" t="s">
        <v>643</v>
      </c>
      <c r="B1497" s="70" t="s">
        <v>644</v>
      </c>
      <c r="C1497" s="71" t="s">
        <v>645</v>
      </c>
      <c r="D1497" s="71" t="s">
        <v>31</v>
      </c>
      <c r="E1497" s="71" t="s">
        <v>42</v>
      </c>
      <c r="F1497" s="71" t="s">
        <v>784</v>
      </c>
      <c r="H1497" s="71" t="s">
        <v>33</v>
      </c>
      <c r="I1497" s="87"/>
      <c r="J1497" s="72">
        <f t="shared" ref="J1497" si="500">AVERAGE(J1494:J1496)</f>
        <v>86.266666666666666</v>
      </c>
      <c r="K1497" s="72">
        <f>AVERAGE(K1494:K1496)</f>
        <v>1.7204000000000002</v>
      </c>
      <c r="L1497" s="72"/>
      <c r="M1497" s="72">
        <f>AVERAGE(M1494:M1496)</f>
        <v>0.8</v>
      </c>
      <c r="N1497" s="72"/>
      <c r="O1497" s="72"/>
      <c r="P1497" s="72"/>
      <c r="Q1497" s="72"/>
      <c r="R1497" s="72">
        <f>AVERAGE(R1494:R1496)</f>
        <v>88.644800000000004</v>
      </c>
      <c r="S1497" s="72"/>
      <c r="T1497" s="72"/>
      <c r="U1497" s="72"/>
      <c r="V1497" s="72"/>
      <c r="W1497" s="72"/>
      <c r="X1497" s="72"/>
      <c r="Y1497" s="72"/>
      <c r="Z1497" s="72"/>
      <c r="AA1497" s="72"/>
      <c r="AB1497" s="72"/>
      <c r="AC1497" s="73"/>
      <c r="AD1497" s="73"/>
      <c r="AE1497" s="73"/>
      <c r="AF1497" s="73"/>
      <c r="AG1497" s="73"/>
      <c r="AH1497" s="73"/>
      <c r="AI1497" s="73"/>
      <c r="AJ1497" s="73"/>
      <c r="AK1497" s="73"/>
      <c r="AL1497" s="73"/>
      <c r="AM1497" s="73"/>
      <c r="AN1497" s="73"/>
      <c r="AO1497" s="73"/>
      <c r="AP1497" s="73"/>
      <c r="AQ1497" s="73"/>
      <c r="AR1497" s="73"/>
      <c r="AS1497" s="73"/>
      <c r="AT1497" s="73"/>
      <c r="AU1497" s="73"/>
      <c r="AV1497" s="73"/>
      <c r="AW1497" s="73"/>
      <c r="AX1497" s="73"/>
    </row>
    <row r="1498" spans="1:50" ht="15" customHeight="1" x14ac:dyDescent="0.2">
      <c r="A1498" s="24" t="s">
        <v>646</v>
      </c>
      <c r="B1498" s="24" t="s">
        <v>94</v>
      </c>
      <c r="H1498" s="2" t="s">
        <v>166</v>
      </c>
      <c r="I1498" s="243" t="s">
        <v>1009</v>
      </c>
      <c r="K1498" s="3">
        <v>1.0900000000000001</v>
      </c>
      <c r="L1498" s="3">
        <v>28</v>
      </c>
      <c r="M1498" s="3">
        <v>1.69</v>
      </c>
      <c r="P1498" s="4">
        <f t="shared" ref="P1498:P1500" si="501">AN1498</f>
        <v>0</v>
      </c>
      <c r="Q1498" s="3">
        <v>48</v>
      </c>
      <c r="R1498" s="3">
        <v>76</v>
      </c>
      <c r="S1498" s="3">
        <v>2.11</v>
      </c>
      <c r="AN1498" s="23"/>
    </row>
    <row r="1499" spans="1:50" ht="15" customHeight="1" x14ac:dyDescent="0.2">
      <c r="A1499" s="34" t="s">
        <v>646</v>
      </c>
      <c r="B1499" s="34" t="s">
        <v>94</v>
      </c>
      <c r="C1499" s="33"/>
      <c r="H1499" s="33" t="s">
        <v>166</v>
      </c>
      <c r="I1499" s="245" t="s">
        <v>1009</v>
      </c>
      <c r="J1499" s="36"/>
      <c r="K1499" s="36">
        <v>1.28</v>
      </c>
      <c r="L1499" s="36">
        <v>34</v>
      </c>
      <c r="M1499" s="36">
        <v>1.41</v>
      </c>
      <c r="P1499" s="4">
        <f t="shared" si="501"/>
        <v>0</v>
      </c>
      <c r="Q1499" s="3">
        <v>85</v>
      </c>
      <c r="R1499" s="36">
        <v>85</v>
      </c>
      <c r="S1499" s="3">
        <v>2.4</v>
      </c>
      <c r="T1499" s="36"/>
      <c r="U1499" s="36"/>
      <c r="V1499" s="36"/>
      <c r="W1499" s="36"/>
      <c r="Z1499" s="36"/>
      <c r="AA1499" s="36"/>
      <c r="AB1499" s="36"/>
      <c r="AN1499" s="23"/>
    </row>
    <row r="1500" spans="1:50" ht="15" customHeight="1" x14ac:dyDescent="0.2">
      <c r="A1500" s="24" t="s">
        <v>646</v>
      </c>
      <c r="B1500" s="24" t="s">
        <v>94</v>
      </c>
      <c r="H1500" s="2" t="s">
        <v>166</v>
      </c>
      <c r="I1500" s="243" t="s">
        <v>1009</v>
      </c>
      <c r="K1500" s="3">
        <v>1.18</v>
      </c>
      <c r="L1500" s="3">
        <v>19</v>
      </c>
      <c r="M1500" s="3">
        <v>0.92</v>
      </c>
      <c r="P1500" s="4">
        <f t="shared" si="501"/>
        <v>0</v>
      </c>
      <c r="R1500" s="3">
        <v>52</v>
      </c>
      <c r="AN1500" s="23"/>
    </row>
    <row r="1501" spans="1:50" s="71" customFormat="1" ht="15" customHeight="1" x14ac:dyDescent="0.2">
      <c r="A1501" s="70" t="s">
        <v>646</v>
      </c>
      <c r="B1501" s="70" t="s">
        <v>94</v>
      </c>
      <c r="C1501" s="71" t="s">
        <v>647</v>
      </c>
      <c r="D1501" s="71" t="s">
        <v>31</v>
      </c>
      <c r="E1501" s="71" t="s">
        <v>42</v>
      </c>
      <c r="F1501" s="71" t="s">
        <v>784</v>
      </c>
      <c r="H1501" s="71" t="s">
        <v>166</v>
      </c>
      <c r="I1501" s="87"/>
      <c r="J1501" s="72"/>
      <c r="K1501" s="72">
        <f>AVERAGE(K1498:K1500)</f>
        <v>1.1833333333333333</v>
      </c>
      <c r="L1501" s="72">
        <f>AVERAGE(L1498:L1500)</f>
        <v>27</v>
      </c>
      <c r="M1501" s="72">
        <f>AVERAGE(M1498:M1500)</f>
        <v>1.3399999999999999</v>
      </c>
      <c r="N1501" s="72"/>
      <c r="O1501" s="72"/>
      <c r="P1501" s="72">
        <f t="shared" ref="P1501:S1501" si="502">AVERAGE(P1498:P1500)</f>
        <v>0</v>
      </c>
      <c r="Q1501" s="72">
        <f t="shared" si="502"/>
        <v>66.5</v>
      </c>
      <c r="R1501" s="72">
        <f t="shared" si="502"/>
        <v>71</v>
      </c>
      <c r="S1501" s="72">
        <f t="shared" si="502"/>
        <v>2.2549999999999999</v>
      </c>
      <c r="T1501" s="72"/>
      <c r="U1501" s="72"/>
      <c r="V1501" s="72"/>
      <c r="W1501" s="72"/>
      <c r="X1501" s="72"/>
      <c r="Y1501" s="72"/>
      <c r="Z1501" s="72"/>
      <c r="AA1501" s="72"/>
      <c r="AB1501" s="72"/>
      <c r="AC1501" s="73"/>
      <c r="AD1501" s="73"/>
      <c r="AE1501" s="73"/>
      <c r="AF1501" s="73"/>
      <c r="AG1501" s="73"/>
      <c r="AH1501" s="73"/>
      <c r="AI1501" s="73"/>
      <c r="AJ1501" s="73"/>
      <c r="AK1501" s="73"/>
      <c r="AL1501" s="73"/>
      <c r="AM1501" s="73"/>
      <c r="AN1501" s="73"/>
      <c r="AO1501" s="73"/>
      <c r="AP1501" s="73"/>
      <c r="AQ1501" s="73"/>
      <c r="AR1501" s="73"/>
      <c r="AS1501" s="73"/>
      <c r="AT1501" s="73"/>
      <c r="AU1501" s="73"/>
      <c r="AV1501" s="73"/>
      <c r="AW1501" s="73"/>
      <c r="AX1501" s="73"/>
    </row>
    <row r="1502" spans="1:50" ht="15" customHeight="1" x14ac:dyDescent="0.2">
      <c r="A1502" s="34" t="s">
        <v>648</v>
      </c>
      <c r="B1502" s="34" t="s">
        <v>649</v>
      </c>
      <c r="C1502" s="33"/>
      <c r="F1502" s="33"/>
      <c r="G1502" s="33"/>
      <c r="H1502" s="33" t="s">
        <v>33</v>
      </c>
      <c r="I1502" s="245" t="s">
        <v>1004</v>
      </c>
      <c r="J1502" s="36">
        <v>94</v>
      </c>
      <c r="K1502" s="36"/>
      <c r="L1502" s="36">
        <v>58</v>
      </c>
      <c r="M1502" s="36">
        <v>5</v>
      </c>
      <c r="N1502" s="36"/>
      <c r="P1502" s="4" t="s">
        <v>0</v>
      </c>
      <c r="Q1502" s="36">
        <v>15</v>
      </c>
      <c r="R1502" s="36">
        <v>30</v>
      </c>
      <c r="T1502" s="36"/>
      <c r="U1502" s="36"/>
      <c r="V1502" s="36"/>
      <c r="W1502" s="36"/>
      <c r="X1502" s="36"/>
      <c r="Y1502" s="36"/>
      <c r="Z1502" s="36"/>
      <c r="AA1502" s="36"/>
      <c r="AB1502" s="36"/>
    </row>
    <row r="1503" spans="1:50" ht="15" customHeight="1" x14ac:dyDescent="0.2">
      <c r="A1503" s="67" t="s">
        <v>648</v>
      </c>
      <c r="B1503" s="67" t="s">
        <v>649</v>
      </c>
      <c r="C1503" s="68" t="s">
        <v>0</v>
      </c>
      <c r="F1503" s="33"/>
      <c r="G1503" s="33"/>
      <c r="H1503" s="33" t="s">
        <v>33</v>
      </c>
      <c r="I1503" s="252" t="s">
        <v>1007</v>
      </c>
      <c r="J1503" s="69">
        <v>94</v>
      </c>
      <c r="K1503" s="69">
        <v>1.5</v>
      </c>
      <c r="L1503" s="69">
        <v>58</v>
      </c>
      <c r="M1503" s="69">
        <v>0.8</v>
      </c>
      <c r="N1503" s="69">
        <v>39</v>
      </c>
      <c r="O1503" s="58">
        <v>0.38</v>
      </c>
      <c r="P1503" s="4">
        <f t="shared" ref="P1503:P1512" si="503">AN1503</f>
        <v>0</v>
      </c>
      <c r="Q1503" s="69">
        <v>15</v>
      </c>
      <c r="R1503" s="69">
        <v>30</v>
      </c>
      <c r="S1503" s="58">
        <v>1.42</v>
      </c>
      <c r="T1503" s="69"/>
      <c r="U1503" s="69"/>
      <c r="V1503" s="69"/>
      <c r="W1503" s="69"/>
      <c r="X1503" s="69"/>
      <c r="Y1503" s="69"/>
      <c r="Z1503" s="69"/>
      <c r="AA1503" s="69"/>
      <c r="AB1503" s="69"/>
      <c r="AI1503" s="23"/>
      <c r="AN1503" s="23"/>
    </row>
    <row r="1504" spans="1:50" ht="15" customHeight="1" x14ac:dyDescent="0.2">
      <c r="A1504" s="24" t="s">
        <v>648</v>
      </c>
      <c r="B1504" s="24" t="s">
        <v>649</v>
      </c>
      <c r="F1504" s="33"/>
      <c r="G1504" s="33"/>
      <c r="H1504" s="33" t="s">
        <v>33</v>
      </c>
      <c r="I1504" s="243" t="s">
        <v>1009</v>
      </c>
      <c r="K1504" s="3">
        <v>1.05</v>
      </c>
      <c r="L1504" s="3">
        <v>100</v>
      </c>
      <c r="M1504" s="3">
        <v>1.5</v>
      </c>
      <c r="P1504" s="4">
        <f t="shared" si="503"/>
        <v>0</v>
      </c>
      <c r="Q1504" s="3">
        <v>68</v>
      </c>
      <c r="R1504" s="3">
        <v>39</v>
      </c>
      <c r="S1504" s="3">
        <v>1.84</v>
      </c>
      <c r="AI1504" s="23"/>
      <c r="AN1504" s="23"/>
    </row>
    <row r="1505" spans="1:50" ht="15" customHeight="1" x14ac:dyDescent="0.2">
      <c r="A1505" s="24" t="s">
        <v>648</v>
      </c>
      <c r="B1505" s="24" t="s">
        <v>649</v>
      </c>
      <c r="F1505" s="33"/>
      <c r="G1505" s="33"/>
      <c r="H1505" s="33" t="s">
        <v>33</v>
      </c>
      <c r="I1505" s="243" t="s">
        <v>1006</v>
      </c>
      <c r="J1505" s="3">
        <v>93</v>
      </c>
      <c r="K1505" s="3">
        <v>2.3997999999999986</v>
      </c>
      <c r="L1505" s="3" t="s">
        <v>55</v>
      </c>
      <c r="M1505" s="3" t="s">
        <v>55</v>
      </c>
      <c r="P1505" s="4">
        <f t="shared" si="503"/>
        <v>0</v>
      </c>
      <c r="R1505" s="3" t="s">
        <v>55</v>
      </c>
      <c r="AE1505" s="23"/>
      <c r="AN1505" s="23"/>
    </row>
    <row r="1506" spans="1:50" ht="15" customHeight="1" x14ac:dyDescent="0.2">
      <c r="A1506" s="34" t="s">
        <v>648</v>
      </c>
      <c r="B1506" s="34" t="s">
        <v>649</v>
      </c>
      <c r="F1506" s="33"/>
      <c r="G1506" s="33"/>
      <c r="H1506" s="33" t="s">
        <v>33</v>
      </c>
      <c r="I1506" s="243" t="s">
        <v>1006</v>
      </c>
      <c r="J1506" s="3">
        <v>92</v>
      </c>
      <c r="K1506" s="3">
        <v>0.79899999999999971</v>
      </c>
      <c r="L1506" s="3">
        <v>177.99849999999992</v>
      </c>
      <c r="M1506" s="36">
        <v>3.7994999999999988</v>
      </c>
      <c r="P1506" s="4">
        <f t="shared" si="503"/>
        <v>0</v>
      </c>
      <c r="R1506" s="3">
        <v>26.995999999999992</v>
      </c>
      <c r="W1506" s="36"/>
      <c r="AE1506" s="23"/>
      <c r="AN1506" s="23"/>
    </row>
    <row r="1507" spans="1:50" ht="15" customHeight="1" x14ac:dyDescent="0.2">
      <c r="A1507" s="24" t="s">
        <v>648</v>
      </c>
      <c r="B1507" s="24" t="s">
        <v>649</v>
      </c>
      <c r="F1507" s="33"/>
      <c r="G1507" s="33"/>
      <c r="H1507" s="33" t="s">
        <v>33</v>
      </c>
      <c r="I1507" s="243" t="s">
        <v>1006</v>
      </c>
      <c r="J1507" s="3">
        <v>92</v>
      </c>
      <c r="K1507" s="3">
        <v>0.70309999999999961</v>
      </c>
      <c r="L1507" s="3">
        <v>65.001199999999969</v>
      </c>
      <c r="M1507" s="3">
        <v>3.3969999999999985</v>
      </c>
      <c r="P1507" s="4">
        <f t="shared" si="503"/>
        <v>0</v>
      </c>
      <c r="R1507" s="3">
        <v>30.999599999999983</v>
      </c>
      <c r="AE1507" s="23"/>
      <c r="AN1507" s="23"/>
    </row>
    <row r="1508" spans="1:50" ht="15" customHeight="1" x14ac:dyDescent="0.2">
      <c r="A1508" s="34" t="s">
        <v>648</v>
      </c>
      <c r="B1508" s="34" t="s">
        <v>649</v>
      </c>
      <c r="C1508" s="33"/>
      <c r="F1508" s="33"/>
      <c r="G1508" s="33"/>
      <c r="H1508" s="33" t="s">
        <v>33</v>
      </c>
      <c r="I1508" s="245" t="s">
        <v>1006</v>
      </c>
      <c r="J1508" s="36">
        <v>93</v>
      </c>
      <c r="K1508" s="36">
        <v>0.70299999999999951</v>
      </c>
      <c r="L1508" s="36">
        <v>58.001199999999962</v>
      </c>
      <c r="M1508" s="3">
        <v>2.5973999999999986</v>
      </c>
      <c r="P1508" s="4">
        <f t="shared" si="503"/>
        <v>0</v>
      </c>
      <c r="R1508" s="36">
        <v>29.99959999999998</v>
      </c>
      <c r="T1508" s="36"/>
      <c r="U1508" s="36"/>
      <c r="V1508" s="36"/>
      <c r="Z1508" s="36"/>
      <c r="AA1508" s="36"/>
      <c r="AB1508" s="36"/>
      <c r="AE1508" s="23"/>
      <c r="AN1508" s="23"/>
    </row>
    <row r="1509" spans="1:50" ht="15" customHeight="1" x14ac:dyDescent="0.2">
      <c r="A1509" s="24" t="s">
        <v>648</v>
      </c>
      <c r="B1509" s="24" t="s">
        <v>649</v>
      </c>
      <c r="F1509" s="33"/>
      <c r="G1509" s="33"/>
      <c r="H1509" s="33" t="s">
        <v>33</v>
      </c>
      <c r="I1509" s="243" t="s">
        <v>1006</v>
      </c>
      <c r="J1509" s="3">
        <v>93</v>
      </c>
      <c r="K1509" s="3">
        <v>0.65119999999999956</v>
      </c>
      <c r="L1509" s="3">
        <v>244.06679999999983</v>
      </c>
      <c r="M1509" s="3">
        <v>1.6205999999999989</v>
      </c>
      <c r="P1509" s="4">
        <f t="shared" si="503"/>
        <v>0</v>
      </c>
      <c r="R1509" s="3">
        <v>23.369199999999985</v>
      </c>
      <c r="AE1509" s="23"/>
      <c r="AN1509" s="23"/>
    </row>
    <row r="1510" spans="1:50" ht="15" customHeight="1" x14ac:dyDescent="0.2">
      <c r="A1510" s="24" t="s">
        <v>648</v>
      </c>
      <c r="B1510" s="24" t="s">
        <v>649</v>
      </c>
      <c r="F1510" s="33"/>
      <c r="G1510" s="33"/>
      <c r="H1510" s="33" t="s">
        <v>33</v>
      </c>
      <c r="I1510" s="243" t="s">
        <v>1010</v>
      </c>
      <c r="J1510" s="3">
        <v>93</v>
      </c>
      <c r="K1510" s="3">
        <v>0.7</v>
      </c>
      <c r="L1510" s="3">
        <v>60</v>
      </c>
      <c r="M1510" s="3">
        <v>1.5</v>
      </c>
      <c r="N1510" s="3">
        <v>40</v>
      </c>
      <c r="P1510" s="4">
        <f t="shared" si="503"/>
        <v>0</v>
      </c>
      <c r="R1510" s="3">
        <v>31</v>
      </c>
      <c r="AI1510" s="23"/>
      <c r="AN1510" s="23"/>
    </row>
    <row r="1511" spans="1:50" ht="15" customHeight="1" x14ac:dyDescent="0.2">
      <c r="A1511" s="24" t="s">
        <v>648</v>
      </c>
      <c r="B1511" s="24" t="s">
        <v>649</v>
      </c>
      <c r="F1511" s="33"/>
      <c r="G1511" s="33"/>
      <c r="H1511" s="33" t="s">
        <v>33</v>
      </c>
      <c r="I1511" s="243" t="s">
        <v>1009</v>
      </c>
      <c r="K1511" s="3">
        <v>0.93</v>
      </c>
      <c r="L1511" s="3">
        <v>167</v>
      </c>
      <c r="M1511" s="3">
        <v>1.29</v>
      </c>
      <c r="O1511" s="3">
        <v>0.34</v>
      </c>
      <c r="P1511" s="4">
        <f t="shared" si="503"/>
        <v>0</v>
      </c>
      <c r="R1511" s="3">
        <v>39</v>
      </c>
      <c r="AN1511" s="23"/>
    </row>
    <row r="1512" spans="1:50" ht="15" customHeight="1" x14ac:dyDescent="0.2">
      <c r="A1512" s="24" t="s">
        <v>648</v>
      </c>
      <c r="B1512" s="24" t="s">
        <v>649</v>
      </c>
      <c r="F1512" s="33"/>
      <c r="G1512" s="33"/>
      <c r="H1512" s="33" t="s">
        <v>33</v>
      </c>
      <c r="I1512" s="243" t="s">
        <v>1009</v>
      </c>
      <c r="K1512" s="3">
        <v>0.69</v>
      </c>
      <c r="L1512" s="3">
        <v>60</v>
      </c>
      <c r="M1512" s="3">
        <v>0.8</v>
      </c>
      <c r="P1512" s="4">
        <f t="shared" si="503"/>
        <v>0</v>
      </c>
      <c r="R1512" s="3">
        <v>36</v>
      </c>
      <c r="S1512" s="3">
        <v>1.43</v>
      </c>
      <c r="AN1512" s="23"/>
    </row>
    <row r="1513" spans="1:50" ht="15" customHeight="1" x14ac:dyDescent="0.2">
      <c r="A1513" s="24" t="s">
        <v>648</v>
      </c>
      <c r="B1513" s="24" t="s">
        <v>649</v>
      </c>
      <c r="F1513" s="33"/>
      <c r="G1513" s="33"/>
      <c r="H1513" s="33" t="s">
        <v>33</v>
      </c>
      <c r="I1513" s="243" t="s">
        <v>1030</v>
      </c>
      <c r="N1513" s="3">
        <v>39</v>
      </c>
      <c r="P1513" s="4" t="s">
        <v>0</v>
      </c>
    </row>
    <row r="1514" spans="1:50" s="71" customFormat="1" ht="15" customHeight="1" x14ac:dyDescent="0.2">
      <c r="A1514" s="70" t="s">
        <v>648</v>
      </c>
      <c r="B1514" s="70" t="s">
        <v>649</v>
      </c>
      <c r="C1514" s="71" t="s">
        <v>650</v>
      </c>
      <c r="D1514" s="71" t="s">
        <v>173</v>
      </c>
      <c r="E1514" s="79" t="s">
        <v>46</v>
      </c>
      <c r="F1514" s="78" t="s">
        <v>782</v>
      </c>
      <c r="G1514" s="79"/>
      <c r="H1514" s="79" t="s">
        <v>33</v>
      </c>
      <c r="I1514" s="87"/>
      <c r="J1514" s="72">
        <f t="shared" ref="J1514" si="504">AVERAGE(J1502:J1513)</f>
        <v>93</v>
      </c>
      <c r="K1514" s="72">
        <f t="shared" ref="K1514:S1514" si="505">AVERAGE(K1502:K1513)</f>
        <v>1.0126099999999993</v>
      </c>
      <c r="L1514" s="72">
        <f t="shared" si="505"/>
        <v>104.80676999999996</v>
      </c>
      <c r="M1514" s="72">
        <f t="shared" si="505"/>
        <v>2.2304499999999998</v>
      </c>
      <c r="N1514" s="72">
        <f t="shared" si="505"/>
        <v>39.333333333333336</v>
      </c>
      <c r="O1514" s="72">
        <f t="shared" si="505"/>
        <v>0.36</v>
      </c>
      <c r="P1514" s="72">
        <f t="shared" si="505"/>
        <v>0</v>
      </c>
      <c r="Q1514" s="72">
        <f t="shared" si="505"/>
        <v>32.666666666666664</v>
      </c>
      <c r="R1514" s="72">
        <f t="shared" si="505"/>
        <v>31.636439999999993</v>
      </c>
      <c r="S1514" s="72">
        <f t="shared" si="505"/>
        <v>1.5633333333333332</v>
      </c>
      <c r="T1514" s="72"/>
      <c r="U1514" s="72"/>
      <c r="V1514" s="72"/>
      <c r="W1514" s="72"/>
      <c r="X1514" s="72"/>
      <c r="Y1514" s="72"/>
      <c r="Z1514" s="72"/>
      <c r="AA1514" s="72"/>
      <c r="AB1514" s="72"/>
      <c r="AC1514" s="73"/>
      <c r="AD1514" s="73"/>
      <c r="AE1514" s="73"/>
      <c r="AF1514" s="73"/>
      <c r="AG1514" s="73"/>
      <c r="AH1514" s="73"/>
      <c r="AI1514" s="73"/>
      <c r="AJ1514" s="73"/>
      <c r="AK1514" s="73"/>
      <c r="AL1514" s="73"/>
      <c r="AM1514" s="73"/>
      <c r="AN1514" s="73"/>
      <c r="AO1514" s="73"/>
      <c r="AP1514" s="73"/>
      <c r="AQ1514" s="73"/>
      <c r="AR1514" s="73"/>
      <c r="AS1514" s="73"/>
      <c r="AT1514" s="73"/>
      <c r="AU1514" s="73"/>
      <c r="AV1514" s="73"/>
      <c r="AW1514" s="73"/>
      <c r="AX1514" s="73"/>
    </row>
    <row r="1515" spans="1:50" ht="15" customHeight="1" x14ac:dyDescent="0.2">
      <c r="A1515" s="24" t="s">
        <v>697</v>
      </c>
      <c r="B1515" s="24" t="s">
        <v>94</v>
      </c>
      <c r="C1515" s="2" t="s">
        <v>0</v>
      </c>
      <c r="H1515" s="2" t="s">
        <v>33</v>
      </c>
      <c r="I1515" s="243" t="s">
        <v>1035</v>
      </c>
      <c r="J1515" s="3">
        <v>65</v>
      </c>
      <c r="K1515" s="3">
        <v>0.17</v>
      </c>
      <c r="L1515" s="3">
        <v>158.9</v>
      </c>
      <c r="M1515" s="3">
        <v>1.7</v>
      </c>
      <c r="N1515" s="3">
        <v>12.2</v>
      </c>
      <c r="O1515" s="3">
        <v>0.23</v>
      </c>
      <c r="P1515" s="4" t="s">
        <v>0</v>
      </c>
    </row>
    <row r="1516" spans="1:50" ht="15" customHeight="1" x14ac:dyDescent="0.2">
      <c r="A1516" s="24" t="s">
        <v>697</v>
      </c>
      <c r="B1516" s="24" t="s">
        <v>94</v>
      </c>
      <c r="C1516" s="2" t="s">
        <v>0</v>
      </c>
      <c r="H1516" s="2" t="s">
        <v>33</v>
      </c>
      <c r="I1516" s="243" t="s">
        <v>1035</v>
      </c>
      <c r="K1516" s="3" t="s">
        <v>0</v>
      </c>
      <c r="L1516" s="3" t="s">
        <v>0</v>
      </c>
      <c r="P1516" s="4" t="s">
        <v>0</v>
      </c>
    </row>
    <row r="1517" spans="1:50" s="71" customFormat="1" ht="15" customHeight="1" x14ac:dyDescent="0.2">
      <c r="A1517" s="70" t="s">
        <v>697</v>
      </c>
      <c r="B1517" s="70" t="s">
        <v>94</v>
      </c>
      <c r="C1517" s="71" t="s">
        <v>698</v>
      </c>
      <c r="D1517" s="71" t="s">
        <v>31</v>
      </c>
      <c r="E1517" s="71" t="s">
        <v>32</v>
      </c>
      <c r="F1517" s="71" t="s">
        <v>781</v>
      </c>
      <c r="H1517" s="71" t="s">
        <v>33</v>
      </c>
      <c r="I1517" s="87"/>
      <c r="J1517" s="72">
        <f t="shared" ref="J1517:O1517" si="506">AVERAGE(J1515:J1516)</f>
        <v>65</v>
      </c>
      <c r="K1517" s="72">
        <f t="shared" si="506"/>
        <v>0.17</v>
      </c>
      <c r="L1517" s="72">
        <f t="shared" si="506"/>
        <v>158.9</v>
      </c>
      <c r="M1517" s="72">
        <f t="shared" si="506"/>
        <v>1.7</v>
      </c>
      <c r="N1517" s="72">
        <f t="shared" si="506"/>
        <v>12.2</v>
      </c>
      <c r="O1517" s="72">
        <f t="shared" si="506"/>
        <v>0.23</v>
      </c>
      <c r="P1517" s="72"/>
      <c r="Q1517" s="72"/>
      <c r="R1517" s="72"/>
      <c r="S1517" s="72"/>
      <c r="T1517" s="72"/>
      <c r="U1517" s="72"/>
      <c r="V1517" s="72"/>
      <c r="W1517" s="72"/>
      <c r="X1517" s="72"/>
      <c r="Y1517" s="72"/>
      <c r="Z1517" s="72"/>
      <c r="AA1517" s="72"/>
      <c r="AB1517" s="72"/>
      <c r="AC1517" s="73"/>
      <c r="AD1517" s="73"/>
      <c r="AE1517" s="73"/>
      <c r="AF1517" s="73"/>
      <c r="AG1517" s="73"/>
      <c r="AH1517" s="73"/>
      <c r="AI1517" s="73"/>
      <c r="AJ1517" s="73"/>
      <c r="AK1517" s="73"/>
      <c r="AL1517" s="73"/>
      <c r="AM1517" s="73"/>
      <c r="AN1517" s="73"/>
      <c r="AO1517" s="73"/>
      <c r="AP1517" s="73"/>
      <c r="AQ1517" s="73"/>
      <c r="AR1517" s="73"/>
      <c r="AS1517" s="73"/>
      <c r="AT1517" s="73"/>
      <c r="AU1517" s="73"/>
      <c r="AV1517" s="73"/>
      <c r="AW1517" s="73"/>
      <c r="AX1517" s="73"/>
    </row>
    <row r="1518" spans="1:50" ht="15" customHeight="1" x14ac:dyDescent="0.2">
      <c r="A1518" s="24" t="s">
        <v>651</v>
      </c>
      <c r="B1518" s="24" t="s">
        <v>652</v>
      </c>
      <c r="F1518" s="28"/>
      <c r="G1518" s="28"/>
      <c r="H1518" s="2" t="s">
        <v>33</v>
      </c>
      <c r="I1518" s="243" t="s">
        <v>1009</v>
      </c>
      <c r="K1518" s="3">
        <v>2.79</v>
      </c>
      <c r="L1518" s="3">
        <v>806</v>
      </c>
      <c r="M1518" s="3">
        <v>9.36</v>
      </c>
      <c r="P1518" s="4">
        <f t="shared" ref="P1518:P1521" si="507">AN1518</f>
        <v>0</v>
      </c>
      <c r="Q1518" s="3">
        <v>28</v>
      </c>
      <c r="R1518" s="3">
        <v>165</v>
      </c>
      <c r="S1518" s="3">
        <v>29.32</v>
      </c>
      <c r="AN1518" s="23"/>
    </row>
    <row r="1519" spans="1:50" ht="15" customHeight="1" x14ac:dyDescent="0.2">
      <c r="A1519" s="24" t="s">
        <v>651</v>
      </c>
      <c r="B1519" s="24" t="s">
        <v>652</v>
      </c>
      <c r="F1519" s="28"/>
      <c r="G1519" s="28"/>
      <c r="H1519" s="2" t="s">
        <v>33</v>
      </c>
      <c r="I1519" s="243" t="s">
        <v>1009</v>
      </c>
      <c r="L1519" s="3">
        <v>806</v>
      </c>
      <c r="M1519" s="3">
        <v>9.36</v>
      </c>
      <c r="P1519" s="4">
        <f t="shared" si="507"/>
        <v>0</v>
      </c>
      <c r="Q1519" s="3">
        <v>28</v>
      </c>
      <c r="R1519" s="3">
        <v>165</v>
      </c>
      <c r="S1519" s="3">
        <v>29.32</v>
      </c>
      <c r="AN1519" s="23"/>
    </row>
    <row r="1520" spans="1:50" ht="15" customHeight="1" x14ac:dyDescent="0.2">
      <c r="A1520" s="24" t="s">
        <v>651</v>
      </c>
      <c r="B1520" s="24" t="s">
        <v>652</v>
      </c>
      <c r="F1520" s="28"/>
      <c r="G1520" s="28"/>
      <c r="H1520" s="2" t="s">
        <v>33</v>
      </c>
      <c r="I1520" s="243" t="s">
        <v>1021</v>
      </c>
      <c r="J1520" s="3">
        <v>85.2</v>
      </c>
      <c r="K1520" s="3">
        <v>1.8</v>
      </c>
      <c r="L1520" s="3">
        <v>96</v>
      </c>
      <c r="M1520" s="3">
        <v>3.6</v>
      </c>
      <c r="O1520" s="3">
        <v>2.25</v>
      </c>
      <c r="P1520" s="4">
        <f>AK1520</f>
        <v>0</v>
      </c>
      <c r="R1520" s="3">
        <v>40</v>
      </c>
      <c r="S1520" s="3">
        <v>0.99</v>
      </c>
      <c r="AN1520" s="23"/>
    </row>
    <row r="1521" spans="1:50" ht="15" customHeight="1" x14ac:dyDescent="0.2">
      <c r="A1521" s="24" t="s">
        <v>653</v>
      </c>
      <c r="B1521" s="24" t="s">
        <v>652</v>
      </c>
      <c r="F1521" s="28"/>
      <c r="G1521" s="28"/>
      <c r="H1521" s="2" t="s">
        <v>33</v>
      </c>
      <c r="I1521" s="243" t="s">
        <v>1030</v>
      </c>
      <c r="M1521" s="3">
        <v>8.6999999999999993</v>
      </c>
      <c r="P1521" s="4">
        <f t="shared" si="507"/>
        <v>0</v>
      </c>
      <c r="AN1521" s="23"/>
    </row>
    <row r="1522" spans="1:50" ht="15" customHeight="1" x14ac:dyDescent="0.2">
      <c r="A1522" s="24" t="s">
        <v>653</v>
      </c>
      <c r="B1522" s="24" t="s">
        <v>652</v>
      </c>
      <c r="F1522" s="28"/>
      <c r="G1522" s="28"/>
      <c r="H1522" s="2" t="s">
        <v>33</v>
      </c>
      <c r="I1522" s="243" t="s">
        <v>1006</v>
      </c>
      <c r="J1522" s="3">
        <v>84</v>
      </c>
      <c r="K1522" s="3">
        <v>1.2956000000000003</v>
      </c>
      <c r="L1522" s="3">
        <v>29.995600000000007</v>
      </c>
      <c r="M1522" s="3">
        <v>3.1980000000000008</v>
      </c>
      <c r="P1522" s="4" t="s">
        <v>0</v>
      </c>
      <c r="R1522" s="3" t="s">
        <v>55</v>
      </c>
    </row>
    <row r="1523" spans="1:50" s="71" customFormat="1" ht="15" customHeight="1" x14ac:dyDescent="0.2">
      <c r="A1523" s="70" t="s">
        <v>653</v>
      </c>
      <c r="B1523" s="70" t="s">
        <v>652</v>
      </c>
      <c r="C1523" s="71" t="s">
        <v>654</v>
      </c>
      <c r="D1523" s="71" t="s">
        <v>31</v>
      </c>
      <c r="E1523" s="79" t="s">
        <v>32</v>
      </c>
      <c r="F1523" s="79" t="s">
        <v>781</v>
      </c>
      <c r="G1523" s="79"/>
      <c r="H1523" s="71" t="s">
        <v>33</v>
      </c>
      <c r="I1523" s="87"/>
      <c r="J1523" s="72">
        <f>AVERAGE(J1518:J1522)</f>
        <v>84.6</v>
      </c>
      <c r="K1523" s="72">
        <f>AVERAGE(K1518:K1522)</f>
        <v>1.9618666666666666</v>
      </c>
      <c r="L1523" s="72">
        <f>AVERAGE(L1518:L1522)</f>
        <v>434.49889999999999</v>
      </c>
      <c r="M1523" s="72">
        <f>AVERAGE(M1518:M1522)</f>
        <v>6.8436000000000003</v>
      </c>
      <c r="N1523" s="72"/>
      <c r="O1523" s="72">
        <f t="shared" ref="O1523:S1523" si="508">AVERAGE(O1518:O1522)</f>
        <v>2.25</v>
      </c>
      <c r="P1523" s="72">
        <f t="shared" si="508"/>
        <v>0</v>
      </c>
      <c r="Q1523" s="72">
        <f t="shared" si="508"/>
        <v>28</v>
      </c>
      <c r="R1523" s="72">
        <f t="shared" si="508"/>
        <v>123.33333333333333</v>
      </c>
      <c r="S1523" s="72">
        <f t="shared" si="508"/>
        <v>19.876666666666669</v>
      </c>
      <c r="T1523" s="72"/>
      <c r="U1523" s="72"/>
      <c r="V1523" s="72"/>
      <c r="W1523" s="72"/>
      <c r="X1523" s="72"/>
      <c r="Y1523" s="72"/>
      <c r="Z1523" s="72"/>
      <c r="AA1523" s="72"/>
      <c r="AB1523" s="72"/>
      <c r="AC1523" s="73"/>
      <c r="AD1523" s="73"/>
      <c r="AE1523" s="73"/>
      <c r="AF1523" s="73"/>
      <c r="AG1523" s="73"/>
      <c r="AH1523" s="73"/>
      <c r="AI1523" s="73"/>
      <c r="AJ1523" s="73"/>
      <c r="AK1523" s="73"/>
      <c r="AL1523" s="73"/>
      <c r="AM1523" s="73"/>
      <c r="AN1523" s="73"/>
      <c r="AO1523" s="73"/>
      <c r="AP1523" s="73"/>
      <c r="AQ1523" s="73"/>
      <c r="AR1523" s="73"/>
      <c r="AS1523" s="73"/>
      <c r="AT1523" s="73"/>
      <c r="AU1523" s="73"/>
      <c r="AV1523" s="73"/>
      <c r="AW1523" s="73"/>
      <c r="AX1523" s="73"/>
    </row>
    <row r="1524" spans="1:50" s="41" customFormat="1" ht="15" customHeight="1" x14ac:dyDescent="0.2">
      <c r="A1524" s="53" t="s">
        <v>655</v>
      </c>
      <c r="B1524" s="53" t="s">
        <v>656</v>
      </c>
      <c r="C1524" s="49"/>
      <c r="D1524" s="2"/>
      <c r="E1524" s="2"/>
      <c r="F1524" s="49"/>
      <c r="G1524" s="49"/>
      <c r="H1524" s="49" t="s">
        <v>33</v>
      </c>
      <c r="I1524" s="250" t="s">
        <v>1036</v>
      </c>
      <c r="J1524" s="54">
        <v>84.9</v>
      </c>
      <c r="K1524" s="54">
        <v>0.5</v>
      </c>
      <c r="L1524" s="54">
        <v>165</v>
      </c>
      <c r="M1524" s="54">
        <v>4.2</v>
      </c>
      <c r="N1524" s="54">
        <v>56.7</v>
      </c>
      <c r="O1524" s="43"/>
      <c r="P1524" s="4" t="s">
        <v>0</v>
      </c>
      <c r="Q1524" s="54"/>
      <c r="R1524" s="54">
        <v>96.2</v>
      </c>
      <c r="S1524" s="43"/>
      <c r="T1524" s="54"/>
      <c r="U1524" s="54"/>
      <c r="V1524" s="54"/>
      <c r="W1524" s="54"/>
      <c r="X1524" s="54"/>
      <c r="Y1524" s="54"/>
      <c r="Z1524" s="54"/>
      <c r="AA1524" s="54"/>
      <c r="AB1524" s="54"/>
      <c r="AC1524" s="44"/>
      <c r="AD1524" s="44"/>
      <c r="AE1524" s="44"/>
      <c r="AF1524" s="44"/>
      <c r="AG1524" s="44"/>
      <c r="AH1524" s="44"/>
      <c r="AI1524" s="44"/>
      <c r="AJ1524" s="44"/>
      <c r="AK1524" s="44"/>
      <c r="AL1524" s="44"/>
      <c r="AM1524" s="44"/>
      <c r="AN1524" s="44"/>
      <c r="AO1524" s="44"/>
      <c r="AP1524" s="44"/>
      <c r="AQ1524" s="44"/>
      <c r="AR1524" s="44"/>
      <c r="AS1524" s="44"/>
      <c r="AT1524" s="44"/>
      <c r="AU1524" s="44"/>
      <c r="AV1524" s="44"/>
      <c r="AW1524" s="44"/>
      <c r="AX1524" s="44"/>
    </row>
    <row r="1525" spans="1:50" s="71" customFormat="1" ht="15" customHeight="1" x14ac:dyDescent="0.2">
      <c r="A1525" s="82" t="s">
        <v>655</v>
      </c>
      <c r="B1525" s="82" t="s">
        <v>656</v>
      </c>
      <c r="C1525" s="79" t="s">
        <v>883</v>
      </c>
      <c r="D1525" s="71" t="s">
        <v>31</v>
      </c>
      <c r="E1525" s="79" t="s">
        <v>46</v>
      </c>
      <c r="F1525" s="78" t="s">
        <v>782</v>
      </c>
      <c r="G1525" s="79"/>
      <c r="H1525" s="79" t="s">
        <v>33</v>
      </c>
      <c r="I1525" s="87"/>
      <c r="J1525" s="72">
        <f t="shared" ref="J1525" si="509">J1524</f>
        <v>84.9</v>
      </c>
      <c r="K1525" s="72">
        <f>K1524</f>
        <v>0.5</v>
      </c>
      <c r="L1525" s="72">
        <f>L1524</f>
        <v>165</v>
      </c>
      <c r="M1525" s="72">
        <f>M1524</f>
        <v>4.2</v>
      </c>
      <c r="N1525" s="72">
        <f>N1524</f>
        <v>56.7</v>
      </c>
      <c r="O1525" s="72"/>
      <c r="P1525" s="72"/>
      <c r="Q1525" s="72"/>
      <c r="R1525" s="72">
        <f>R1524</f>
        <v>96.2</v>
      </c>
      <c r="S1525" s="72"/>
      <c r="T1525" s="72"/>
      <c r="U1525" s="72"/>
      <c r="V1525" s="72"/>
      <c r="W1525" s="72"/>
      <c r="X1525" s="72"/>
      <c r="Y1525" s="72"/>
      <c r="Z1525" s="72"/>
      <c r="AA1525" s="72"/>
      <c r="AB1525" s="72"/>
      <c r="AC1525" s="73"/>
      <c r="AD1525" s="73"/>
      <c r="AE1525" s="73"/>
      <c r="AF1525" s="73"/>
      <c r="AG1525" s="73"/>
      <c r="AH1525" s="73"/>
      <c r="AI1525" s="73"/>
      <c r="AJ1525" s="73"/>
      <c r="AK1525" s="73"/>
      <c r="AL1525" s="73"/>
      <c r="AM1525" s="73"/>
      <c r="AN1525" s="73"/>
      <c r="AO1525" s="73"/>
      <c r="AP1525" s="73"/>
      <c r="AQ1525" s="73"/>
      <c r="AR1525" s="73"/>
      <c r="AS1525" s="73"/>
      <c r="AT1525" s="73"/>
      <c r="AU1525" s="73"/>
      <c r="AV1525" s="73"/>
      <c r="AW1525" s="73"/>
      <c r="AX1525" s="73"/>
    </row>
    <row r="1526" spans="1:50" ht="15" customHeight="1" x14ac:dyDescent="0.2">
      <c r="A1526" s="24" t="s">
        <v>767</v>
      </c>
      <c r="B1526" s="24" t="s">
        <v>750</v>
      </c>
      <c r="H1526" s="2" t="s">
        <v>33</v>
      </c>
      <c r="I1526" s="243" t="s">
        <v>1027</v>
      </c>
      <c r="J1526" s="3">
        <f>100-12.6</f>
        <v>87.4</v>
      </c>
      <c r="L1526" s="3">
        <v>972</v>
      </c>
      <c r="M1526" s="3">
        <v>2.15</v>
      </c>
      <c r="N1526" s="3">
        <v>180</v>
      </c>
      <c r="O1526" s="3">
        <v>0.62</v>
      </c>
      <c r="P1526" s="4" t="s">
        <v>0</v>
      </c>
    </row>
    <row r="1527" spans="1:50" ht="15" customHeight="1" x14ac:dyDescent="0.2">
      <c r="A1527" s="24" t="s">
        <v>767</v>
      </c>
      <c r="B1527" s="24" t="s">
        <v>750</v>
      </c>
      <c r="H1527" s="2" t="s">
        <v>33</v>
      </c>
      <c r="I1527" s="243" t="s">
        <v>1027</v>
      </c>
      <c r="J1527" s="3">
        <f>100-20.6</f>
        <v>79.400000000000006</v>
      </c>
      <c r="L1527" s="3">
        <v>1136</v>
      </c>
      <c r="M1527" s="3">
        <v>7.83</v>
      </c>
      <c r="N1527" s="3">
        <v>164</v>
      </c>
      <c r="O1527" s="3">
        <v>0.95</v>
      </c>
      <c r="P1527" s="4" t="s">
        <v>0</v>
      </c>
    </row>
    <row r="1528" spans="1:50" ht="15" customHeight="1" x14ac:dyDescent="0.2">
      <c r="A1528" s="24" t="s">
        <v>767</v>
      </c>
      <c r="B1528" s="24" t="s">
        <v>750</v>
      </c>
      <c r="H1528" s="2" t="s">
        <v>33</v>
      </c>
      <c r="I1528" s="243" t="s">
        <v>1027</v>
      </c>
      <c r="J1528" s="3">
        <f>100-15.7</f>
        <v>84.3</v>
      </c>
      <c r="L1528" s="3">
        <v>1242</v>
      </c>
      <c r="M1528" s="3">
        <v>3.31</v>
      </c>
      <c r="N1528" s="3">
        <v>202</v>
      </c>
      <c r="O1528" s="3">
        <v>0.72</v>
      </c>
      <c r="P1528" s="4" t="s">
        <v>0</v>
      </c>
    </row>
    <row r="1529" spans="1:50" ht="15" customHeight="1" x14ac:dyDescent="0.2">
      <c r="A1529" s="24" t="s">
        <v>767</v>
      </c>
      <c r="B1529" s="24" t="s">
        <v>750</v>
      </c>
      <c r="H1529" s="2" t="s">
        <v>33</v>
      </c>
      <c r="I1529" s="243" t="s">
        <v>1027</v>
      </c>
      <c r="J1529" s="3">
        <f>100-18.3</f>
        <v>81.7</v>
      </c>
      <c r="L1529" s="3">
        <v>1080</v>
      </c>
      <c r="M1529" s="3">
        <v>8.42</v>
      </c>
      <c r="N1529" s="3">
        <v>153</v>
      </c>
      <c r="O1529" s="3">
        <v>0.53</v>
      </c>
      <c r="P1529" s="4" t="s">
        <v>0</v>
      </c>
    </row>
    <row r="1530" spans="1:50" s="71" customFormat="1" ht="15" customHeight="1" x14ac:dyDescent="0.2">
      <c r="A1530" s="70" t="s">
        <v>767</v>
      </c>
      <c r="B1530" s="70" t="s">
        <v>750</v>
      </c>
      <c r="C1530" s="71" t="s">
        <v>768</v>
      </c>
      <c r="D1530" s="71" t="s">
        <v>31</v>
      </c>
      <c r="E1530" s="71" t="s">
        <v>32</v>
      </c>
      <c r="F1530" s="71" t="s">
        <v>783</v>
      </c>
      <c r="H1530" s="71" t="s">
        <v>33</v>
      </c>
      <c r="I1530" s="87"/>
      <c r="J1530" s="72">
        <f>AVERAGE(J1526:J1529)</f>
        <v>83.2</v>
      </c>
      <c r="K1530" s="72"/>
      <c r="L1530" s="72">
        <f>AVERAGE(L1526:L1529)</f>
        <v>1107.5</v>
      </c>
      <c r="M1530" s="72">
        <f>AVERAGE(M1526:M1529)</f>
        <v>5.4275000000000002</v>
      </c>
      <c r="N1530" s="72">
        <f>AVERAGE(N1526:N1529)</f>
        <v>174.75</v>
      </c>
      <c r="O1530" s="72">
        <f>AVERAGE(O1526:O1529)</f>
        <v>0.70500000000000007</v>
      </c>
      <c r="P1530" s="72"/>
      <c r="Q1530" s="72"/>
      <c r="R1530" s="72"/>
      <c r="S1530" s="72"/>
      <c r="T1530" s="72"/>
      <c r="U1530" s="72"/>
      <c r="V1530" s="72"/>
      <c r="W1530" s="72"/>
      <c r="X1530" s="72"/>
      <c r="Y1530" s="72"/>
      <c r="Z1530" s="72"/>
      <c r="AA1530" s="72"/>
      <c r="AB1530" s="72"/>
      <c r="AC1530" s="73"/>
      <c r="AD1530" s="73"/>
      <c r="AE1530" s="73"/>
      <c r="AF1530" s="73"/>
      <c r="AG1530" s="73"/>
      <c r="AH1530" s="73"/>
      <c r="AI1530" s="73"/>
      <c r="AJ1530" s="73"/>
      <c r="AK1530" s="73"/>
      <c r="AL1530" s="73"/>
      <c r="AM1530" s="73"/>
      <c r="AN1530" s="73"/>
      <c r="AO1530" s="73"/>
      <c r="AP1530" s="73"/>
      <c r="AQ1530" s="73"/>
      <c r="AR1530" s="73"/>
      <c r="AS1530" s="73"/>
      <c r="AT1530" s="73"/>
      <c r="AU1530" s="73"/>
      <c r="AV1530" s="73"/>
      <c r="AW1530" s="73"/>
      <c r="AX1530" s="73"/>
    </row>
    <row r="1531" spans="1:50" ht="15" customHeight="1" x14ac:dyDescent="0.2">
      <c r="A1531" s="24" t="s">
        <v>657</v>
      </c>
      <c r="B1531" s="24" t="s">
        <v>658</v>
      </c>
      <c r="H1531" s="2" t="s">
        <v>27</v>
      </c>
      <c r="I1531" s="243" t="s">
        <v>1005</v>
      </c>
      <c r="J1531" s="3">
        <v>92.9</v>
      </c>
      <c r="K1531" s="3">
        <v>1.7</v>
      </c>
      <c r="L1531" s="3">
        <v>26</v>
      </c>
      <c r="M1531" s="3">
        <v>0.3</v>
      </c>
      <c r="P1531" s="4" t="s">
        <v>0</v>
      </c>
      <c r="Q1531" s="3">
        <v>15</v>
      </c>
      <c r="R1531" s="3">
        <v>0</v>
      </c>
    </row>
    <row r="1532" spans="1:50" ht="15" customHeight="1" x14ac:dyDescent="0.2">
      <c r="A1532" s="24" t="s">
        <v>657</v>
      </c>
      <c r="B1532" s="24" t="s">
        <v>658</v>
      </c>
      <c r="H1532" s="2" t="s">
        <v>27</v>
      </c>
      <c r="I1532" s="243" t="s">
        <v>1010</v>
      </c>
      <c r="J1532" s="3">
        <v>94.3</v>
      </c>
      <c r="K1532" s="3">
        <v>0.8</v>
      </c>
      <c r="L1532" s="3">
        <v>26</v>
      </c>
      <c r="M1532" s="3">
        <v>0.8</v>
      </c>
      <c r="P1532" s="4">
        <f t="shared" ref="P1532:P1534" si="510">AN1532</f>
        <v>0</v>
      </c>
      <c r="R1532" s="3">
        <v>12</v>
      </c>
      <c r="AI1532" s="23"/>
      <c r="AN1532" s="23"/>
    </row>
    <row r="1533" spans="1:50" ht="15" customHeight="1" x14ac:dyDescent="0.2">
      <c r="A1533" s="24" t="s">
        <v>657</v>
      </c>
      <c r="B1533" s="24" t="s">
        <v>658</v>
      </c>
      <c r="H1533" s="2" t="s">
        <v>27</v>
      </c>
      <c r="I1533" s="243" t="s">
        <v>1009</v>
      </c>
      <c r="K1533" s="3">
        <v>0.57999999999999996</v>
      </c>
      <c r="L1533" s="3">
        <v>24</v>
      </c>
      <c r="M1533" s="3">
        <v>0.44</v>
      </c>
      <c r="P1533" s="4">
        <f t="shared" si="510"/>
        <v>0</v>
      </c>
      <c r="R1533" s="3">
        <v>4</v>
      </c>
      <c r="S1533" s="3">
        <v>0.05</v>
      </c>
      <c r="AN1533" s="23"/>
    </row>
    <row r="1534" spans="1:50" ht="15" customHeight="1" x14ac:dyDescent="0.2">
      <c r="A1534" s="24" t="s">
        <v>657</v>
      </c>
      <c r="B1534" s="24" t="s">
        <v>658</v>
      </c>
      <c r="H1534" s="2" t="s">
        <v>27</v>
      </c>
      <c r="I1534" s="243" t="s">
        <v>1009</v>
      </c>
      <c r="K1534" s="3">
        <v>0.31</v>
      </c>
      <c r="L1534" s="3">
        <v>12</v>
      </c>
      <c r="M1534" s="3">
        <v>0.3</v>
      </c>
      <c r="P1534" s="4">
        <f t="shared" si="510"/>
        <v>0</v>
      </c>
      <c r="R1534" s="3">
        <v>13</v>
      </c>
      <c r="S1534" s="3">
        <v>0.03</v>
      </c>
      <c r="AN1534" s="23"/>
    </row>
    <row r="1535" spans="1:50" s="71" customFormat="1" ht="15" customHeight="1" x14ac:dyDescent="0.2">
      <c r="A1535" s="70" t="s">
        <v>657</v>
      </c>
      <c r="B1535" s="70" t="s">
        <v>658</v>
      </c>
      <c r="C1535" s="71" t="s">
        <v>659</v>
      </c>
      <c r="D1535" s="71" t="s">
        <v>56</v>
      </c>
      <c r="E1535" s="71" t="s">
        <v>42</v>
      </c>
      <c r="F1535" s="71" t="s">
        <v>784</v>
      </c>
      <c r="H1535" s="71" t="s">
        <v>27</v>
      </c>
      <c r="I1535" s="87"/>
      <c r="J1535" s="72">
        <f>AVERAGE(J1531:J1534)</f>
        <v>93.6</v>
      </c>
      <c r="K1535" s="72">
        <f>AVERAGE(K1531:K1534)</f>
        <v>0.84750000000000003</v>
      </c>
      <c r="L1535" s="72">
        <f>AVERAGE(L1531:L1534)</f>
        <v>22</v>
      </c>
      <c r="M1535" s="72">
        <f>AVERAGE(M1531:M1534)</f>
        <v>0.46</v>
      </c>
      <c r="N1535" s="72"/>
      <c r="O1535" s="72"/>
      <c r="P1535" s="72">
        <f t="shared" ref="P1535:S1535" si="511">AVERAGE(P1531:P1534)</f>
        <v>0</v>
      </c>
      <c r="Q1535" s="72">
        <f t="shared" si="511"/>
        <v>15</v>
      </c>
      <c r="R1535" s="72">
        <f t="shared" si="511"/>
        <v>7.25</v>
      </c>
      <c r="S1535" s="72">
        <f t="shared" si="511"/>
        <v>0.04</v>
      </c>
      <c r="T1535" s="72"/>
      <c r="U1535" s="72"/>
      <c r="V1535" s="72"/>
      <c r="W1535" s="72"/>
      <c r="X1535" s="72"/>
      <c r="Y1535" s="72"/>
      <c r="Z1535" s="72"/>
      <c r="AA1535" s="72"/>
      <c r="AB1535" s="72"/>
      <c r="AC1535" s="73"/>
      <c r="AD1535" s="73"/>
      <c r="AE1535" s="73"/>
      <c r="AF1535" s="73"/>
      <c r="AG1535" s="73"/>
      <c r="AH1535" s="73"/>
      <c r="AI1535" s="73"/>
      <c r="AJ1535" s="73"/>
      <c r="AK1535" s="73"/>
      <c r="AL1535" s="73"/>
      <c r="AM1535" s="73"/>
      <c r="AN1535" s="73"/>
      <c r="AO1535" s="73"/>
      <c r="AP1535" s="73"/>
      <c r="AQ1535" s="73"/>
      <c r="AR1535" s="73"/>
      <c r="AS1535" s="73"/>
      <c r="AT1535" s="73"/>
      <c r="AU1535" s="73"/>
      <c r="AV1535" s="73"/>
      <c r="AW1535" s="73"/>
      <c r="AX1535" s="73"/>
    </row>
    <row r="1536" spans="1:50" s="22" customFormat="1" ht="15" customHeight="1" x14ac:dyDescent="0.2">
      <c r="A1536" s="21" t="s">
        <v>657</v>
      </c>
      <c r="B1536" s="21" t="s">
        <v>446</v>
      </c>
      <c r="C1536" s="22" t="s">
        <v>0</v>
      </c>
      <c r="D1536" s="2"/>
      <c r="E1536" s="2"/>
      <c r="H1536" s="22" t="s">
        <v>33</v>
      </c>
      <c r="I1536" s="65" t="s">
        <v>1006</v>
      </c>
      <c r="J1536" s="4">
        <v>81</v>
      </c>
      <c r="K1536" s="4">
        <v>4.192499999999999</v>
      </c>
      <c r="L1536" s="4">
        <v>531.00449999999989</v>
      </c>
      <c r="M1536" s="4" t="s">
        <v>55</v>
      </c>
      <c r="N1536" s="4"/>
      <c r="O1536" s="4"/>
      <c r="P1536" s="4" t="s">
        <v>0</v>
      </c>
      <c r="Q1536" s="4"/>
      <c r="R1536" s="4" t="s">
        <v>55</v>
      </c>
      <c r="S1536" s="4"/>
      <c r="T1536" s="4"/>
      <c r="U1536" s="4"/>
      <c r="V1536" s="4"/>
      <c r="W1536" s="4"/>
      <c r="X1536" s="4"/>
      <c r="Y1536" s="4"/>
      <c r="Z1536" s="4"/>
      <c r="AA1536" s="4"/>
      <c r="AB1536" s="4"/>
      <c r="AC1536" s="23"/>
      <c r="AD1536" s="23"/>
      <c r="AE1536" s="23"/>
      <c r="AF1536" s="23"/>
      <c r="AG1536" s="23"/>
      <c r="AH1536" s="23"/>
      <c r="AI1536" s="23"/>
      <c r="AJ1536" s="23"/>
      <c r="AK1536" s="23"/>
      <c r="AL1536" s="23"/>
      <c r="AM1536" s="23"/>
      <c r="AN1536" s="23"/>
      <c r="AO1536" s="23"/>
      <c r="AP1536" s="23"/>
      <c r="AQ1536" s="23"/>
      <c r="AR1536" s="23"/>
      <c r="AS1536" s="23"/>
      <c r="AT1536" s="23"/>
      <c r="AU1536" s="23"/>
      <c r="AV1536" s="23"/>
      <c r="AW1536" s="23"/>
      <c r="AX1536" s="23"/>
    </row>
    <row r="1537" spans="1:50" s="71" customFormat="1" ht="15" customHeight="1" x14ac:dyDescent="0.2">
      <c r="A1537" s="70" t="s">
        <v>657</v>
      </c>
      <c r="B1537" s="70" t="s">
        <v>446</v>
      </c>
      <c r="C1537" s="71" t="s">
        <v>660</v>
      </c>
      <c r="D1537" s="71" t="s">
        <v>31</v>
      </c>
      <c r="E1537" s="71" t="s">
        <v>42</v>
      </c>
      <c r="F1537" s="71" t="s">
        <v>784</v>
      </c>
      <c r="H1537" s="71" t="s">
        <v>33</v>
      </c>
      <c r="I1537" s="87"/>
      <c r="J1537" s="72">
        <f>J1536</f>
        <v>81</v>
      </c>
      <c r="K1537" s="72">
        <f>K1536</f>
        <v>4.192499999999999</v>
      </c>
      <c r="L1537" s="72">
        <f>L1536</f>
        <v>531.00449999999989</v>
      </c>
      <c r="M1537" s="72"/>
      <c r="N1537" s="72"/>
      <c r="O1537" s="72"/>
      <c r="P1537" s="72"/>
      <c r="Q1537" s="72"/>
      <c r="R1537" s="72"/>
      <c r="S1537" s="72"/>
      <c r="T1537" s="72"/>
      <c r="U1537" s="72"/>
      <c r="V1537" s="72"/>
      <c r="W1537" s="72"/>
      <c r="X1537" s="72"/>
      <c r="Y1537" s="72"/>
      <c r="Z1537" s="72"/>
      <c r="AA1537" s="72"/>
      <c r="AB1537" s="72"/>
      <c r="AC1537" s="73"/>
      <c r="AD1537" s="73"/>
      <c r="AE1537" s="73"/>
      <c r="AF1537" s="73"/>
      <c r="AG1537" s="73"/>
      <c r="AH1537" s="73"/>
      <c r="AI1537" s="73"/>
      <c r="AJ1537" s="73"/>
      <c r="AK1537" s="73"/>
      <c r="AL1537" s="73"/>
      <c r="AM1537" s="73"/>
      <c r="AN1537" s="73"/>
      <c r="AO1537" s="73"/>
      <c r="AP1537" s="73"/>
      <c r="AQ1537" s="73"/>
      <c r="AR1537" s="73"/>
      <c r="AS1537" s="73"/>
      <c r="AT1537" s="73"/>
      <c r="AU1537" s="73"/>
      <c r="AV1537" s="73"/>
      <c r="AW1537" s="73"/>
      <c r="AX1537" s="73"/>
    </row>
    <row r="1538" spans="1:50" ht="51" x14ac:dyDescent="0.2">
      <c r="A1538" s="24" t="s">
        <v>657</v>
      </c>
      <c r="B1538" s="24" t="s">
        <v>446</v>
      </c>
      <c r="H1538" s="2" t="s">
        <v>28</v>
      </c>
      <c r="I1538" s="243" t="s">
        <v>1024</v>
      </c>
      <c r="J1538" s="3">
        <v>91.57</v>
      </c>
      <c r="K1538" s="3">
        <v>2.61</v>
      </c>
      <c r="L1538" s="3">
        <v>30.7</v>
      </c>
      <c r="M1538" s="3">
        <v>0.5</v>
      </c>
      <c r="N1538" s="3">
        <v>24.5</v>
      </c>
      <c r="O1538" s="3">
        <v>0.23</v>
      </c>
      <c r="P1538" s="4" t="s">
        <v>0</v>
      </c>
      <c r="Q1538" s="3">
        <v>19.96</v>
      </c>
      <c r="R1538" s="3">
        <v>19.239999999999998</v>
      </c>
      <c r="S1538" s="3">
        <v>0.04</v>
      </c>
    </row>
    <row r="1539" spans="1:50" ht="15" customHeight="1" x14ac:dyDescent="0.2">
      <c r="A1539" s="34" t="s">
        <v>657</v>
      </c>
      <c r="B1539" s="34" t="s">
        <v>446</v>
      </c>
      <c r="C1539" s="33"/>
      <c r="F1539" s="33"/>
      <c r="G1539" s="33"/>
      <c r="H1539" s="33" t="s">
        <v>28</v>
      </c>
      <c r="I1539" s="245" t="s">
        <v>1006</v>
      </c>
      <c r="J1539" s="36">
        <v>92</v>
      </c>
      <c r="K1539" s="36">
        <v>2.9999999999999987</v>
      </c>
      <c r="L1539" s="36">
        <v>29.999999999999986</v>
      </c>
      <c r="M1539" s="36">
        <v>1.7039999999999993</v>
      </c>
      <c r="P1539" s="4">
        <f t="shared" ref="P1539" si="512">AN1539</f>
        <v>0</v>
      </c>
      <c r="R1539" s="36">
        <v>28.999999999999986</v>
      </c>
      <c r="T1539" s="36"/>
      <c r="U1539" s="36"/>
      <c r="V1539" s="36"/>
      <c r="W1539" s="36"/>
      <c r="Z1539" s="36"/>
      <c r="AA1539" s="36"/>
      <c r="AB1539" s="36"/>
      <c r="AE1539" s="23"/>
      <c r="AN1539" s="23"/>
    </row>
    <row r="1540" spans="1:50" ht="15" customHeight="1" x14ac:dyDescent="0.2">
      <c r="A1540" s="24" t="s">
        <v>657</v>
      </c>
      <c r="B1540" s="24" t="s">
        <v>446</v>
      </c>
      <c r="H1540" s="2" t="s">
        <v>28</v>
      </c>
      <c r="I1540" s="243" t="s">
        <v>1010</v>
      </c>
      <c r="J1540" s="3">
        <v>92</v>
      </c>
      <c r="K1540" s="3">
        <v>3</v>
      </c>
      <c r="L1540" s="3">
        <v>30</v>
      </c>
      <c r="M1540" s="3">
        <v>1.7</v>
      </c>
      <c r="P1540" s="4" t="s">
        <v>0</v>
      </c>
      <c r="R1540" s="3">
        <v>29</v>
      </c>
    </row>
    <row r="1541" spans="1:50" s="71" customFormat="1" ht="15" customHeight="1" x14ac:dyDescent="0.2">
      <c r="A1541" s="70" t="s">
        <v>657</v>
      </c>
      <c r="B1541" s="70" t="s">
        <v>446</v>
      </c>
      <c r="C1541" s="71" t="s">
        <v>660</v>
      </c>
      <c r="D1541" s="71" t="s">
        <v>31</v>
      </c>
      <c r="E1541" s="71" t="s">
        <v>42</v>
      </c>
      <c r="F1541" s="71" t="s">
        <v>784</v>
      </c>
      <c r="H1541" s="71" t="s">
        <v>28</v>
      </c>
      <c r="I1541" s="87"/>
      <c r="J1541" s="72">
        <f t="shared" ref="J1541" si="513">AVERAGE(J1539:J1540)</f>
        <v>92</v>
      </c>
      <c r="K1541" s="72">
        <f t="shared" ref="K1541:S1541" si="514">AVERAGE(K1538:K1540)</f>
        <v>2.8699999999999997</v>
      </c>
      <c r="L1541" s="72">
        <f t="shared" si="514"/>
        <v>30.233333333333331</v>
      </c>
      <c r="M1541" s="72">
        <f t="shared" si="514"/>
        <v>1.301333333333333</v>
      </c>
      <c r="N1541" s="72">
        <f t="shared" si="514"/>
        <v>24.5</v>
      </c>
      <c r="O1541" s="72">
        <f t="shared" si="514"/>
        <v>0.23</v>
      </c>
      <c r="P1541" s="72">
        <f t="shared" si="514"/>
        <v>0</v>
      </c>
      <c r="Q1541" s="72">
        <f t="shared" si="514"/>
        <v>19.96</v>
      </c>
      <c r="R1541" s="72">
        <f t="shared" si="514"/>
        <v>25.746666666666659</v>
      </c>
      <c r="S1541" s="72">
        <f t="shared" si="514"/>
        <v>0.04</v>
      </c>
      <c r="T1541" s="72"/>
      <c r="U1541" s="72"/>
      <c r="V1541" s="72"/>
      <c r="W1541" s="72"/>
      <c r="X1541" s="72"/>
      <c r="Y1541" s="72"/>
      <c r="Z1541" s="72"/>
      <c r="AA1541" s="72"/>
      <c r="AB1541" s="72"/>
      <c r="AC1541" s="73"/>
      <c r="AD1541" s="73"/>
      <c r="AE1541" s="73"/>
      <c r="AF1541" s="73"/>
      <c r="AG1541" s="73"/>
      <c r="AH1541" s="73"/>
      <c r="AI1541" s="73"/>
      <c r="AJ1541" s="73"/>
      <c r="AK1541" s="73"/>
      <c r="AL1541" s="73"/>
      <c r="AM1541" s="73"/>
      <c r="AN1541" s="73"/>
      <c r="AO1541" s="73"/>
      <c r="AP1541" s="73"/>
      <c r="AQ1541" s="73"/>
      <c r="AR1541" s="73"/>
      <c r="AS1541" s="73"/>
      <c r="AT1541" s="73"/>
      <c r="AU1541" s="73"/>
      <c r="AV1541" s="73"/>
      <c r="AW1541" s="73"/>
      <c r="AX1541" s="73"/>
    </row>
    <row r="1542" spans="1:50" s="22" customFormat="1" ht="15" customHeight="1" x14ac:dyDescent="0.2">
      <c r="A1542" s="21" t="s">
        <v>661</v>
      </c>
      <c r="B1542" s="21" t="s">
        <v>130</v>
      </c>
      <c r="D1542" s="2"/>
      <c r="E1542" s="2"/>
      <c r="F1542" s="2"/>
      <c r="G1542" s="2"/>
      <c r="H1542" s="22" t="s">
        <v>131</v>
      </c>
      <c r="I1542" s="65" t="s">
        <v>1021</v>
      </c>
      <c r="J1542" s="4">
        <v>95</v>
      </c>
      <c r="K1542" s="4">
        <v>0.9</v>
      </c>
      <c r="L1542" s="4">
        <v>53</v>
      </c>
      <c r="M1542" s="4">
        <v>0.2</v>
      </c>
      <c r="N1542" s="4"/>
      <c r="O1542" s="4"/>
      <c r="P1542" s="4">
        <v>0</v>
      </c>
      <c r="Q1542" s="4"/>
      <c r="R1542" s="4">
        <v>6</v>
      </c>
      <c r="S1542" s="4"/>
      <c r="T1542" s="4"/>
      <c r="U1542" s="4"/>
      <c r="V1542" s="4"/>
      <c r="W1542" s="4"/>
      <c r="X1542" s="4"/>
      <c r="Y1542" s="4"/>
      <c r="Z1542" s="4"/>
      <c r="AA1542" s="4"/>
      <c r="AB1542" s="4"/>
      <c r="AC1542" s="23"/>
      <c r="AD1542" s="23"/>
      <c r="AE1542" s="23"/>
      <c r="AF1542" s="23"/>
      <c r="AG1542" s="23"/>
      <c r="AH1542" s="23"/>
      <c r="AI1542" s="23"/>
      <c r="AJ1542" s="23"/>
      <c r="AK1542" s="23"/>
      <c r="AL1542" s="23"/>
      <c r="AM1542" s="23"/>
      <c r="AN1542" s="23"/>
      <c r="AO1542" s="23"/>
      <c r="AP1542" s="23"/>
      <c r="AQ1542" s="23"/>
      <c r="AR1542" s="23"/>
      <c r="AS1542" s="23"/>
      <c r="AT1542" s="23"/>
      <c r="AU1542" s="23"/>
      <c r="AV1542" s="23"/>
      <c r="AW1542" s="23"/>
      <c r="AX1542" s="23"/>
    </row>
    <row r="1543" spans="1:50" s="71" customFormat="1" ht="15" customHeight="1" x14ac:dyDescent="0.2">
      <c r="A1543" s="70" t="s">
        <v>661</v>
      </c>
      <c r="B1543" s="70" t="s">
        <v>130</v>
      </c>
      <c r="C1543" s="71" t="s">
        <v>663</v>
      </c>
      <c r="D1543" s="71" t="s">
        <v>31</v>
      </c>
      <c r="E1543" s="71" t="s">
        <v>46</v>
      </c>
      <c r="F1543" s="71" t="s">
        <v>782</v>
      </c>
      <c r="G1543" s="71" t="s">
        <v>71</v>
      </c>
      <c r="H1543" s="71" t="s">
        <v>131</v>
      </c>
      <c r="I1543" s="87"/>
      <c r="J1543" s="72">
        <f>J1542</f>
        <v>95</v>
      </c>
      <c r="K1543" s="72">
        <f>K1542</f>
        <v>0.9</v>
      </c>
      <c r="L1543" s="72">
        <f>L1542</f>
        <v>53</v>
      </c>
      <c r="M1543" s="72">
        <f>M1542</f>
        <v>0.2</v>
      </c>
      <c r="N1543" s="72"/>
      <c r="O1543" s="72"/>
      <c r="P1543" s="72">
        <f>P1542</f>
        <v>0</v>
      </c>
      <c r="Q1543" s="72"/>
      <c r="R1543" s="72">
        <f>R1542</f>
        <v>6</v>
      </c>
      <c r="S1543" s="72"/>
      <c r="T1543" s="72"/>
      <c r="U1543" s="72"/>
      <c r="V1543" s="72"/>
      <c r="W1543" s="72"/>
      <c r="X1543" s="72"/>
      <c r="Y1543" s="72"/>
      <c r="Z1543" s="72"/>
      <c r="AA1543" s="72"/>
      <c r="AB1543" s="72"/>
      <c r="AC1543" s="73"/>
      <c r="AD1543" s="73"/>
      <c r="AE1543" s="73"/>
      <c r="AF1543" s="73"/>
      <c r="AG1543" s="73"/>
      <c r="AH1543" s="73"/>
      <c r="AI1543" s="73"/>
      <c r="AJ1543" s="73"/>
      <c r="AK1543" s="73"/>
      <c r="AL1543" s="73"/>
      <c r="AM1543" s="73"/>
      <c r="AN1543" s="73"/>
      <c r="AO1543" s="73"/>
      <c r="AP1543" s="73"/>
      <c r="AQ1543" s="73"/>
      <c r="AR1543" s="73"/>
      <c r="AS1543" s="73"/>
      <c r="AT1543" s="73"/>
      <c r="AU1543" s="73"/>
      <c r="AV1543" s="73"/>
      <c r="AW1543" s="73"/>
      <c r="AX1543" s="73"/>
    </row>
    <row r="1544" spans="1:50" ht="15" customHeight="1" x14ac:dyDescent="0.2">
      <c r="A1544" s="31" t="s">
        <v>661</v>
      </c>
      <c r="B1544" s="31" t="s">
        <v>662</v>
      </c>
      <c r="H1544" s="2" t="s">
        <v>33</v>
      </c>
      <c r="I1544" s="243" t="s">
        <v>1023</v>
      </c>
      <c r="K1544" s="3">
        <v>2.8</v>
      </c>
      <c r="L1544" s="3">
        <v>69</v>
      </c>
      <c r="M1544" s="3">
        <v>16.5</v>
      </c>
      <c r="P1544" s="4" t="s">
        <v>0</v>
      </c>
    </row>
    <row r="1545" spans="1:50" ht="15" customHeight="1" x14ac:dyDescent="0.2">
      <c r="A1545" s="55" t="s">
        <v>661</v>
      </c>
      <c r="B1545" s="55" t="s">
        <v>662</v>
      </c>
      <c r="C1545" s="56" t="s">
        <v>0</v>
      </c>
      <c r="H1545" s="2" t="s">
        <v>33</v>
      </c>
      <c r="I1545" s="249" t="s">
        <v>1007</v>
      </c>
      <c r="J1545" s="58">
        <v>92.65</v>
      </c>
      <c r="K1545" s="58">
        <v>4.5</v>
      </c>
      <c r="L1545" s="58">
        <v>54</v>
      </c>
      <c r="M1545" s="58">
        <v>0.91</v>
      </c>
      <c r="N1545" s="58">
        <v>63</v>
      </c>
      <c r="O1545" s="58">
        <v>0.24</v>
      </c>
      <c r="P1545" s="4">
        <f t="shared" ref="P1545" si="515">AN1545</f>
        <v>0</v>
      </c>
      <c r="Q1545" s="58"/>
      <c r="R1545" s="58">
        <v>0.7</v>
      </c>
      <c r="S1545" s="58"/>
      <c r="T1545" s="58"/>
      <c r="U1545" s="58"/>
      <c r="V1545" s="58"/>
      <c r="W1545" s="58"/>
      <c r="X1545" s="58"/>
      <c r="Y1545" s="58"/>
      <c r="Z1545" s="58"/>
      <c r="AA1545" s="58"/>
      <c r="AB1545" s="58"/>
      <c r="AI1545" s="23"/>
      <c r="AN1545" s="23"/>
    </row>
    <row r="1546" spans="1:50" s="71" customFormat="1" ht="15" customHeight="1" x14ac:dyDescent="0.2">
      <c r="A1546" s="70" t="s">
        <v>661</v>
      </c>
      <c r="B1546" s="70" t="s">
        <v>662</v>
      </c>
      <c r="C1546" s="84" t="s">
        <v>663</v>
      </c>
      <c r="D1546" s="71" t="s">
        <v>31</v>
      </c>
      <c r="E1546" s="71" t="s">
        <v>46</v>
      </c>
      <c r="F1546" s="78" t="s">
        <v>782</v>
      </c>
      <c r="G1546" s="78" t="s">
        <v>71</v>
      </c>
      <c r="H1546" s="71" t="s">
        <v>33</v>
      </c>
      <c r="I1546" s="87"/>
      <c r="J1546" s="72">
        <f t="shared" ref="J1546:P1546" si="516">J1545</f>
        <v>92.65</v>
      </c>
      <c r="K1546" s="72">
        <f t="shared" si="516"/>
        <v>4.5</v>
      </c>
      <c r="L1546" s="72">
        <f t="shared" si="516"/>
        <v>54</v>
      </c>
      <c r="M1546" s="72">
        <f t="shared" si="516"/>
        <v>0.91</v>
      </c>
      <c r="N1546" s="72">
        <f t="shared" si="516"/>
        <v>63</v>
      </c>
      <c r="O1546" s="72">
        <f t="shared" si="516"/>
        <v>0.24</v>
      </c>
      <c r="P1546" s="72">
        <f t="shared" si="516"/>
        <v>0</v>
      </c>
      <c r="Q1546" s="72"/>
      <c r="R1546" s="72">
        <f>R1545</f>
        <v>0.7</v>
      </c>
      <c r="S1546" s="72"/>
      <c r="T1546" s="72"/>
      <c r="U1546" s="72"/>
      <c r="V1546" s="72"/>
      <c r="W1546" s="72"/>
      <c r="X1546" s="72"/>
      <c r="Y1546" s="72"/>
      <c r="Z1546" s="72"/>
      <c r="AA1546" s="72"/>
      <c r="AB1546" s="72"/>
      <c r="AC1546" s="73"/>
      <c r="AD1546" s="73"/>
      <c r="AE1546" s="73"/>
      <c r="AF1546" s="73"/>
      <c r="AG1546" s="73"/>
      <c r="AH1546" s="73"/>
      <c r="AI1546" s="73"/>
      <c r="AJ1546" s="73"/>
      <c r="AK1546" s="73"/>
      <c r="AL1546" s="73"/>
      <c r="AM1546" s="73"/>
      <c r="AN1546" s="73"/>
      <c r="AO1546" s="73"/>
      <c r="AP1546" s="73"/>
      <c r="AQ1546" s="73"/>
      <c r="AR1546" s="73"/>
      <c r="AS1546" s="73"/>
      <c r="AT1546" s="73"/>
      <c r="AU1546" s="73"/>
      <c r="AV1546" s="73"/>
      <c r="AW1546" s="73"/>
      <c r="AX1546" s="73"/>
    </row>
    <row r="1547" spans="1:50" ht="15" customHeight="1" x14ac:dyDescent="0.2">
      <c r="A1547" s="31" t="s">
        <v>661</v>
      </c>
      <c r="B1547" s="31" t="s">
        <v>572</v>
      </c>
      <c r="H1547" s="2" t="s">
        <v>33</v>
      </c>
      <c r="I1547" s="243" t="s">
        <v>1023</v>
      </c>
      <c r="J1547" s="3">
        <v>90</v>
      </c>
      <c r="L1547" s="3">
        <v>51</v>
      </c>
      <c r="M1547" s="3">
        <v>0.7</v>
      </c>
      <c r="P1547" s="4" t="s">
        <v>0</v>
      </c>
    </row>
    <row r="1548" spans="1:50" ht="15" customHeight="1" x14ac:dyDescent="0.2">
      <c r="A1548" s="31" t="s">
        <v>661</v>
      </c>
      <c r="B1548" s="31" t="s">
        <v>572</v>
      </c>
      <c r="H1548" s="2" t="s">
        <v>33</v>
      </c>
      <c r="I1548" s="243" t="s">
        <v>1037</v>
      </c>
      <c r="J1548" s="3">
        <v>92.65</v>
      </c>
      <c r="K1548" s="3">
        <v>4.5</v>
      </c>
      <c r="L1548" s="3">
        <v>54</v>
      </c>
      <c r="M1548" s="3">
        <v>0.91</v>
      </c>
      <c r="N1548" s="3">
        <v>63</v>
      </c>
      <c r="O1548" s="3">
        <v>0.245</v>
      </c>
      <c r="P1548" s="4" t="s">
        <v>0</v>
      </c>
      <c r="Q1548" s="3">
        <v>10.8</v>
      </c>
      <c r="R1548" s="3">
        <v>1</v>
      </c>
    </row>
    <row r="1549" spans="1:50" ht="15" customHeight="1" x14ac:dyDescent="0.2">
      <c r="A1549" s="31" t="s">
        <v>661</v>
      </c>
      <c r="B1549" s="31" t="s">
        <v>572</v>
      </c>
      <c r="H1549" s="2" t="s">
        <v>33</v>
      </c>
      <c r="I1549" s="243" t="s">
        <v>1023</v>
      </c>
      <c r="J1549" s="3">
        <v>83</v>
      </c>
      <c r="K1549" s="3">
        <v>5.7</v>
      </c>
      <c r="L1549" s="3">
        <v>133</v>
      </c>
      <c r="P1549" s="4" t="s">
        <v>0</v>
      </c>
    </row>
    <row r="1550" spans="1:50" s="71" customFormat="1" ht="15" customHeight="1" x14ac:dyDescent="0.2">
      <c r="A1550" s="77" t="s">
        <v>661</v>
      </c>
      <c r="B1550" s="77" t="s">
        <v>572</v>
      </c>
      <c r="C1550" s="71" t="s">
        <v>663</v>
      </c>
      <c r="D1550" s="71" t="s">
        <v>31</v>
      </c>
      <c r="E1550" s="71" t="s">
        <v>46</v>
      </c>
      <c r="F1550" s="78" t="s">
        <v>782</v>
      </c>
      <c r="G1550" s="78" t="s">
        <v>71</v>
      </c>
      <c r="H1550" s="71" t="s">
        <v>33</v>
      </c>
      <c r="I1550" s="87"/>
      <c r="J1550" s="72">
        <f t="shared" ref="J1550:O1550" si="517">AVERAGE(J1547:J1549)</f>
        <v>88.55</v>
      </c>
      <c r="K1550" s="72">
        <f t="shared" si="517"/>
        <v>5.0999999999999996</v>
      </c>
      <c r="L1550" s="72">
        <f t="shared" si="517"/>
        <v>79.333333333333329</v>
      </c>
      <c r="M1550" s="72">
        <f t="shared" si="517"/>
        <v>0.80499999999999994</v>
      </c>
      <c r="N1550" s="72">
        <f t="shared" si="517"/>
        <v>63</v>
      </c>
      <c r="O1550" s="72">
        <f t="shared" si="517"/>
        <v>0.245</v>
      </c>
      <c r="P1550" s="72"/>
      <c r="Q1550" s="72">
        <f>AVERAGE(Q1547:Q1549)</f>
        <v>10.8</v>
      </c>
      <c r="R1550" s="72">
        <f>AVERAGE(R1547:R1549)</f>
        <v>1</v>
      </c>
      <c r="S1550" s="72"/>
      <c r="T1550" s="72"/>
      <c r="U1550" s="72"/>
      <c r="V1550" s="72"/>
      <c r="W1550" s="72"/>
      <c r="X1550" s="72"/>
      <c r="Y1550" s="72"/>
      <c r="Z1550" s="72"/>
      <c r="AA1550" s="72"/>
      <c r="AB1550" s="72"/>
      <c r="AC1550" s="73"/>
      <c r="AD1550" s="73"/>
      <c r="AE1550" s="73"/>
      <c r="AF1550" s="73"/>
      <c r="AG1550" s="73"/>
      <c r="AH1550" s="73"/>
      <c r="AI1550" s="73"/>
      <c r="AJ1550" s="73"/>
      <c r="AK1550" s="73"/>
      <c r="AL1550" s="73"/>
      <c r="AM1550" s="73"/>
      <c r="AN1550" s="73"/>
      <c r="AO1550" s="73"/>
      <c r="AP1550" s="73"/>
      <c r="AQ1550" s="73"/>
      <c r="AR1550" s="73"/>
      <c r="AS1550" s="73"/>
      <c r="AT1550" s="73"/>
      <c r="AU1550" s="73"/>
      <c r="AV1550" s="73"/>
      <c r="AW1550" s="73"/>
      <c r="AX1550" s="73"/>
    </row>
    <row r="1551" spans="1:50" s="22" customFormat="1" ht="15" customHeight="1" x14ac:dyDescent="0.2">
      <c r="A1551" s="21" t="s">
        <v>903</v>
      </c>
      <c r="B1551" s="21" t="s">
        <v>904</v>
      </c>
      <c r="D1551" s="2"/>
      <c r="E1551" s="2"/>
      <c r="F1551" s="2"/>
      <c r="H1551" s="22" t="s">
        <v>28</v>
      </c>
      <c r="I1551" s="65" t="s">
        <v>1021</v>
      </c>
      <c r="J1551" s="4">
        <v>85.2</v>
      </c>
      <c r="K1551" s="4">
        <v>4.3</v>
      </c>
      <c r="L1551" s="4">
        <v>62</v>
      </c>
      <c r="M1551" s="4">
        <v>7.9</v>
      </c>
      <c r="N1551" s="4"/>
      <c r="O1551" s="4">
        <v>3.27</v>
      </c>
      <c r="P1551" s="4">
        <v>0.06</v>
      </c>
      <c r="Q1551" s="4"/>
      <c r="R1551" s="4">
        <v>11</v>
      </c>
      <c r="S1551" s="4">
        <v>0.54</v>
      </c>
      <c r="T1551" s="4"/>
      <c r="U1551" s="4"/>
      <c r="V1551" s="4"/>
      <c r="W1551" s="4"/>
      <c r="X1551" s="4"/>
      <c r="Y1551" s="4"/>
      <c r="Z1551" s="4"/>
      <c r="AA1551" s="4"/>
      <c r="AB1551" s="4"/>
      <c r="AC1551" s="23"/>
      <c r="AD1551" s="23"/>
      <c r="AE1551" s="23"/>
      <c r="AF1551" s="23"/>
      <c r="AG1551" s="23"/>
      <c r="AH1551" s="23"/>
      <c r="AI1551" s="23"/>
      <c r="AJ1551" s="23"/>
      <c r="AK1551" s="23"/>
      <c r="AL1551" s="23"/>
      <c r="AM1551" s="23"/>
      <c r="AN1551" s="23"/>
      <c r="AO1551" s="23"/>
      <c r="AP1551" s="23"/>
      <c r="AQ1551" s="23"/>
      <c r="AR1551" s="23"/>
      <c r="AS1551" s="23"/>
      <c r="AT1551" s="23"/>
      <c r="AU1551" s="23"/>
      <c r="AV1551" s="23"/>
      <c r="AW1551" s="23"/>
      <c r="AX1551" s="23"/>
    </row>
    <row r="1552" spans="1:50" s="71" customFormat="1" ht="15" customHeight="1" x14ac:dyDescent="0.2">
      <c r="A1552" s="70" t="s">
        <v>903</v>
      </c>
      <c r="B1552" s="70" t="s">
        <v>904</v>
      </c>
      <c r="C1552" s="71" t="s">
        <v>905</v>
      </c>
      <c r="D1552" s="71" t="s">
        <v>31</v>
      </c>
      <c r="E1552" s="71" t="s">
        <v>32</v>
      </c>
      <c r="F1552" s="71" t="s">
        <v>781</v>
      </c>
      <c r="H1552" s="71" t="s">
        <v>28</v>
      </c>
      <c r="I1552" s="87"/>
      <c r="J1552" s="72">
        <f>J1551</f>
        <v>85.2</v>
      </c>
      <c r="K1552" s="72">
        <f>K1551</f>
        <v>4.3</v>
      </c>
      <c r="L1552" s="72">
        <f>L1551</f>
        <v>62</v>
      </c>
      <c r="M1552" s="72">
        <f>M1551</f>
        <v>7.9</v>
      </c>
      <c r="N1552" s="72"/>
      <c r="O1552" s="72">
        <f>O1551</f>
        <v>3.27</v>
      </c>
      <c r="P1552" s="72">
        <f>P1551</f>
        <v>0.06</v>
      </c>
      <c r="Q1552" s="72"/>
      <c r="R1552" s="72">
        <f>R1551</f>
        <v>11</v>
      </c>
      <c r="S1552" s="72">
        <f>S1551</f>
        <v>0.54</v>
      </c>
      <c r="T1552" s="72"/>
      <c r="U1552" s="72"/>
      <c r="V1552" s="72"/>
      <c r="W1552" s="72"/>
      <c r="X1552" s="72"/>
      <c r="Y1552" s="72"/>
      <c r="Z1552" s="72"/>
      <c r="AA1552" s="72"/>
      <c r="AB1552" s="72"/>
      <c r="AC1552" s="73"/>
      <c r="AD1552" s="73"/>
      <c r="AE1552" s="73"/>
      <c r="AF1552" s="73"/>
      <c r="AG1552" s="73"/>
      <c r="AH1552" s="73"/>
      <c r="AI1552" s="73"/>
      <c r="AJ1552" s="73"/>
      <c r="AK1552" s="73"/>
      <c r="AL1552" s="73"/>
      <c r="AM1552" s="73"/>
      <c r="AN1552" s="73"/>
      <c r="AO1552" s="73"/>
      <c r="AP1552" s="73"/>
      <c r="AQ1552" s="73"/>
      <c r="AR1552" s="73"/>
      <c r="AS1552" s="73"/>
      <c r="AT1552" s="73"/>
      <c r="AU1552" s="73"/>
      <c r="AV1552" s="73"/>
      <c r="AW1552" s="73"/>
      <c r="AX1552" s="73"/>
    </row>
    <row r="1553" spans="1:50" s="22" customFormat="1" ht="15" customHeight="1" x14ac:dyDescent="0.2">
      <c r="A1553" s="21" t="s">
        <v>664</v>
      </c>
      <c r="B1553" s="25"/>
      <c r="C1553" s="27" t="s">
        <v>0</v>
      </c>
      <c r="D1553" s="2"/>
      <c r="E1553" s="2"/>
      <c r="H1553" s="22" t="s">
        <v>33</v>
      </c>
      <c r="I1553" s="65" t="s">
        <v>1007</v>
      </c>
      <c r="J1553" s="4">
        <v>69.5</v>
      </c>
      <c r="K1553" s="4">
        <v>1.5</v>
      </c>
      <c r="L1553" s="4">
        <v>18</v>
      </c>
      <c r="M1553" s="4">
        <v>1.69</v>
      </c>
      <c r="N1553" s="4">
        <v>10</v>
      </c>
      <c r="O1553" s="4">
        <v>3.73</v>
      </c>
      <c r="P1553" s="4">
        <f t="shared" ref="P1553" si="518">AN1553</f>
        <v>0</v>
      </c>
      <c r="Q1553" s="4">
        <v>24</v>
      </c>
      <c r="R1553" s="4">
        <v>8</v>
      </c>
      <c r="S1553" s="4">
        <v>0.5</v>
      </c>
      <c r="T1553" s="4"/>
      <c r="U1553" s="4"/>
      <c r="V1553" s="4"/>
      <c r="W1553" s="4"/>
      <c r="X1553" s="4"/>
      <c r="Y1553" s="4"/>
      <c r="Z1553" s="4"/>
      <c r="AA1553" s="4"/>
      <c r="AB1553" s="4"/>
      <c r="AC1553" s="23"/>
      <c r="AD1553" s="23"/>
      <c r="AE1553" s="23"/>
      <c r="AF1553" s="23"/>
      <c r="AG1553" s="23"/>
      <c r="AH1553" s="23"/>
      <c r="AI1553" s="23"/>
      <c r="AJ1553" s="23"/>
      <c r="AK1553" s="23"/>
      <c r="AL1553" s="23"/>
      <c r="AM1553" s="23"/>
      <c r="AN1553" s="23"/>
      <c r="AO1553" s="23"/>
      <c r="AP1553" s="23"/>
      <c r="AQ1553" s="23"/>
      <c r="AR1553" s="23"/>
      <c r="AS1553" s="23"/>
      <c r="AT1553" s="23"/>
      <c r="AU1553" s="23"/>
      <c r="AV1553" s="23"/>
      <c r="AW1553" s="23"/>
      <c r="AX1553" s="23"/>
    </row>
    <row r="1554" spans="1:50" s="71" customFormat="1" ht="15" customHeight="1" x14ac:dyDescent="0.2">
      <c r="A1554" s="70" t="s">
        <v>664</v>
      </c>
      <c r="B1554" s="77"/>
      <c r="C1554" s="84" t="s">
        <v>665</v>
      </c>
      <c r="D1554" s="71" t="s">
        <v>31</v>
      </c>
      <c r="E1554" s="71" t="s">
        <v>32</v>
      </c>
      <c r="F1554" s="71" t="s">
        <v>780</v>
      </c>
      <c r="H1554" s="71" t="s">
        <v>33</v>
      </c>
      <c r="I1554" s="87"/>
      <c r="J1554" s="72">
        <f t="shared" ref="J1554" si="519">J1553</f>
        <v>69.5</v>
      </c>
      <c r="K1554" s="72">
        <f t="shared" ref="K1554:S1554" si="520">K1553</f>
        <v>1.5</v>
      </c>
      <c r="L1554" s="72">
        <f t="shared" si="520"/>
        <v>18</v>
      </c>
      <c r="M1554" s="72">
        <f t="shared" si="520"/>
        <v>1.69</v>
      </c>
      <c r="N1554" s="72">
        <f t="shared" si="520"/>
        <v>10</v>
      </c>
      <c r="O1554" s="72">
        <f t="shared" si="520"/>
        <v>3.73</v>
      </c>
      <c r="P1554" s="72">
        <f t="shared" si="520"/>
        <v>0</v>
      </c>
      <c r="Q1554" s="72">
        <f t="shared" si="520"/>
        <v>24</v>
      </c>
      <c r="R1554" s="72">
        <f t="shared" si="520"/>
        <v>8</v>
      </c>
      <c r="S1554" s="72">
        <f t="shared" si="520"/>
        <v>0.5</v>
      </c>
      <c r="T1554" s="72"/>
      <c r="U1554" s="72"/>
      <c r="V1554" s="72"/>
      <c r="W1554" s="72"/>
      <c r="X1554" s="72"/>
      <c r="Y1554" s="72"/>
      <c r="Z1554" s="72"/>
      <c r="AA1554" s="72"/>
      <c r="AB1554" s="72"/>
      <c r="AC1554" s="73"/>
      <c r="AD1554" s="73"/>
      <c r="AE1554" s="73"/>
      <c r="AF1554" s="73"/>
      <c r="AG1554" s="73"/>
      <c r="AH1554" s="73"/>
      <c r="AI1554" s="73"/>
      <c r="AJ1554" s="73"/>
      <c r="AK1554" s="73"/>
      <c r="AL1554" s="73"/>
      <c r="AM1554" s="73"/>
      <c r="AN1554" s="73"/>
      <c r="AO1554" s="73"/>
      <c r="AP1554" s="73"/>
      <c r="AQ1554" s="73"/>
      <c r="AR1554" s="73"/>
      <c r="AS1554" s="73"/>
      <c r="AT1554" s="73"/>
      <c r="AU1554" s="73"/>
      <c r="AV1554" s="73"/>
      <c r="AW1554" s="73"/>
      <c r="AX1554" s="73"/>
    </row>
    <row r="1555" spans="1:50" ht="51" x14ac:dyDescent="0.2">
      <c r="A1555" s="24" t="s">
        <v>666</v>
      </c>
      <c r="B1555" s="24" t="s">
        <v>446</v>
      </c>
      <c r="H1555" s="2" t="s">
        <v>33</v>
      </c>
      <c r="I1555" s="243" t="s">
        <v>1032</v>
      </c>
      <c r="J1555" s="3">
        <v>89</v>
      </c>
      <c r="K1555" s="3">
        <v>1.4</v>
      </c>
      <c r="L1555" s="3">
        <v>236</v>
      </c>
      <c r="M1555" s="3">
        <v>1</v>
      </c>
      <c r="N1555" s="3">
        <v>63</v>
      </c>
      <c r="O1555" s="3">
        <v>1.9</v>
      </c>
      <c r="P1555" s="4" t="s">
        <v>0</v>
      </c>
      <c r="R1555" s="3">
        <v>1.5</v>
      </c>
    </row>
    <row r="1556" spans="1:50" ht="34" x14ac:dyDescent="0.2">
      <c r="A1556" s="24" t="s">
        <v>666</v>
      </c>
      <c r="B1556" s="24" t="s">
        <v>446</v>
      </c>
      <c r="H1556" s="2" t="s">
        <v>33</v>
      </c>
      <c r="I1556" s="243" t="s">
        <v>1029</v>
      </c>
      <c r="L1556" s="3">
        <v>630</v>
      </c>
      <c r="M1556" s="3">
        <v>7.8</v>
      </c>
      <c r="N1556" s="3">
        <v>71</v>
      </c>
      <c r="P1556" s="4">
        <v>0.06</v>
      </c>
      <c r="R1556" s="3">
        <v>333</v>
      </c>
      <c r="AE1556" s="23"/>
    </row>
    <row r="1557" spans="1:50" ht="17" x14ac:dyDescent="0.2">
      <c r="A1557" s="24" t="s">
        <v>666</v>
      </c>
      <c r="B1557" s="24" t="s">
        <v>446</v>
      </c>
      <c r="H1557" s="2" t="s">
        <v>33</v>
      </c>
      <c r="I1557" s="243" t="s">
        <v>1008</v>
      </c>
      <c r="J1557" s="3">
        <v>87.67</v>
      </c>
      <c r="K1557" s="3">
        <v>6.9</v>
      </c>
      <c r="L1557" s="3">
        <v>481</v>
      </c>
      <c r="M1557" s="3">
        <v>1.64</v>
      </c>
      <c r="N1557" s="3">
        <v>57</v>
      </c>
      <c r="O1557" s="3">
        <v>0.34</v>
      </c>
      <c r="P1557" s="4">
        <f>AE1557</f>
        <v>0</v>
      </c>
      <c r="Q1557" s="3">
        <v>14</v>
      </c>
      <c r="AD1557" s="23"/>
      <c r="AE1557" s="23"/>
    </row>
    <row r="1558" spans="1:50" ht="34" x14ac:dyDescent="0.2">
      <c r="A1558" s="24" t="s">
        <v>666</v>
      </c>
      <c r="B1558" s="24" t="s">
        <v>446</v>
      </c>
      <c r="H1558" s="2" t="s">
        <v>33</v>
      </c>
      <c r="I1558" s="243" t="s">
        <v>1016</v>
      </c>
      <c r="J1558" s="3">
        <v>83.3</v>
      </c>
      <c r="K1558" s="3">
        <v>3.11</v>
      </c>
      <c r="L1558" s="3">
        <v>713</v>
      </c>
      <c r="M1558" s="3">
        <v>4.0999999999999996</v>
      </c>
      <c r="N1558" s="3">
        <v>80</v>
      </c>
      <c r="O1558" s="3">
        <v>1</v>
      </c>
      <c r="P1558" s="4" t="s">
        <v>0</v>
      </c>
      <c r="R1558" s="3">
        <v>333</v>
      </c>
    </row>
    <row r="1559" spans="1:50" ht="14" customHeight="1" x14ac:dyDescent="0.2">
      <c r="A1559" s="31" t="s">
        <v>666</v>
      </c>
      <c r="B1559" s="31" t="s">
        <v>446</v>
      </c>
      <c r="H1559" s="2" t="s">
        <v>33</v>
      </c>
      <c r="I1559" s="243" t="s">
        <v>1023</v>
      </c>
      <c r="K1559" s="3">
        <v>1.4</v>
      </c>
      <c r="L1559" s="3">
        <v>236</v>
      </c>
      <c r="M1559" s="3" t="s">
        <v>0</v>
      </c>
      <c r="N1559" s="3">
        <v>63</v>
      </c>
      <c r="O1559" s="3">
        <v>1.9</v>
      </c>
      <c r="P1559" s="4" t="s">
        <v>0</v>
      </c>
      <c r="R1559" s="3">
        <v>89.8</v>
      </c>
    </row>
    <row r="1560" spans="1:50" ht="14" customHeight="1" x14ac:dyDescent="0.2">
      <c r="A1560" s="31" t="s">
        <v>666</v>
      </c>
      <c r="B1560" s="31" t="s">
        <v>446</v>
      </c>
      <c r="H1560" s="2" t="s">
        <v>33</v>
      </c>
      <c r="I1560" s="243" t="s">
        <v>1017</v>
      </c>
      <c r="J1560" s="3">
        <v>82.9</v>
      </c>
      <c r="K1560" s="3">
        <v>2.96</v>
      </c>
      <c r="L1560" s="3">
        <v>625</v>
      </c>
      <c r="M1560" s="3">
        <v>5.39</v>
      </c>
      <c r="N1560" s="3">
        <v>171</v>
      </c>
      <c r="O1560" s="3">
        <f>839*0.001</f>
        <v>0.83899999999999997</v>
      </c>
      <c r="P1560" s="4">
        <v>0.48</v>
      </c>
      <c r="R1560" s="3">
        <v>285</v>
      </c>
      <c r="S1560" s="3">
        <v>14.4</v>
      </c>
    </row>
    <row r="1561" spans="1:50" ht="15" customHeight="1" x14ac:dyDescent="0.2">
      <c r="A1561" s="31" t="s">
        <v>666</v>
      </c>
      <c r="B1561" s="31" t="s">
        <v>446</v>
      </c>
      <c r="H1561" s="2" t="s">
        <v>33</v>
      </c>
      <c r="I1561" s="243" t="s">
        <v>1023</v>
      </c>
      <c r="J1561" s="3">
        <v>89</v>
      </c>
      <c r="K1561" s="3">
        <v>1.4</v>
      </c>
      <c r="L1561" s="3">
        <v>263</v>
      </c>
      <c r="M1561" s="3" t="s">
        <v>0</v>
      </c>
      <c r="N1561" s="3">
        <v>24.1</v>
      </c>
      <c r="O1561" s="3">
        <v>3</v>
      </c>
      <c r="P1561" s="4" t="s">
        <v>0</v>
      </c>
      <c r="R1561" s="3" t="s">
        <v>0</v>
      </c>
    </row>
    <row r="1562" spans="1:50" s="71" customFormat="1" ht="15" customHeight="1" x14ac:dyDescent="0.2">
      <c r="A1562" s="77" t="s">
        <v>666</v>
      </c>
      <c r="B1562" s="77" t="s">
        <v>446</v>
      </c>
      <c r="C1562" s="71" t="s">
        <v>667</v>
      </c>
      <c r="D1562" s="71" t="s">
        <v>31</v>
      </c>
      <c r="E1562" s="71" t="s">
        <v>46</v>
      </c>
      <c r="F1562" s="78" t="s">
        <v>782</v>
      </c>
      <c r="H1562" s="71" t="s">
        <v>33</v>
      </c>
      <c r="I1562" s="87"/>
      <c r="J1562" s="72">
        <f t="shared" ref="J1562:Q1562" si="521">AVERAGE(J1555:J1561)</f>
        <v>86.373999999999995</v>
      </c>
      <c r="K1562" s="72">
        <f t="shared" si="521"/>
        <v>2.8616666666666664</v>
      </c>
      <c r="L1562" s="72">
        <f t="shared" si="521"/>
        <v>454.85714285714283</v>
      </c>
      <c r="M1562" s="72">
        <f t="shared" si="521"/>
        <v>3.9859999999999998</v>
      </c>
      <c r="N1562" s="72">
        <f t="shared" si="521"/>
        <v>75.585714285714289</v>
      </c>
      <c r="O1562" s="72">
        <f t="shared" si="521"/>
        <v>1.4964999999999999</v>
      </c>
      <c r="P1562" s="72">
        <f t="shared" si="521"/>
        <v>0.18000000000000002</v>
      </c>
      <c r="Q1562" s="72">
        <f t="shared" si="521"/>
        <v>14</v>
      </c>
      <c r="R1562" s="72">
        <f t="shared" ref="R1562:S1562" si="522">AVERAGE(R1555:R1561)</f>
        <v>208.45999999999998</v>
      </c>
      <c r="S1562" s="72">
        <f t="shared" si="522"/>
        <v>14.4</v>
      </c>
      <c r="T1562" s="72"/>
      <c r="U1562" s="72"/>
      <c r="V1562" s="72"/>
      <c r="W1562" s="72"/>
      <c r="X1562" s="72"/>
      <c r="Y1562" s="72"/>
      <c r="Z1562" s="72"/>
      <c r="AA1562" s="72"/>
      <c r="AB1562" s="72"/>
      <c r="AC1562" s="73"/>
      <c r="AD1562" s="73"/>
      <c r="AE1562" s="73"/>
      <c r="AF1562" s="73"/>
      <c r="AG1562" s="73"/>
      <c r="AH1562" s="73"/>
      <c r="AI1562" s="73"/>
      <c r="AJ1562" s="73"/>
      <c r="AK1562" s="73"/>
      <c r="AL1562" s="73"/>
      <c r="AM1562" s="73"/>
      <c r="AN1562" s="73"/>
      <c r="AO1562" s="73"/>
      <c r="AP1562" s="73"/>
      <c r="AQ1562" s="73"/>
      <c r="AR1562" s="73"/>
      <c r="AS1562" s="73"/>
      <c r="AT1562" s="73"/>
      <c r="AU1562" s="73"/>
      <c r="AV1562" s="73"/>
      <c r="AW1562" s="73"/>
      <c r="AX1562" s="73"/>
    </row>
    <row r="1563" spans="1:50" s="22" customFormat="1" ht="15" customHeight="1" x14ac:dyDescent="0.2">
      <c r="A1563" s="21" t="s">
        <v>668</v>
      </c>
      <c r="B1563" s="21" t="s">
        <v>669</v>
      </c>
      <c r="C1563" s="22" t="s">
        <v>0</v>
      </c>
      <c r="D1563" s="2"/>
      <c r="E1563" s="2"/>
      <c r="H1563" s="22" t="s">
        <v>33</v>
      </c>
      <c r="I1563" s="65" t="s">
        <v>1010</v>
      </c>
      <c r="J1563" s="4">
        <v>93.1</v>
      </c>
      <c r="K1563" s="4">
        <v>0.8</v>
      </c>
      <c r="L1563" s="4">
        <v>35</v>
      </c>
      <c r="M1563" s="4">
        <v>1.7</v>
      </c>
      <c r="N1563" s="4">
        <v>13</v>
      </c>
      <c r="O1563" s="4"/>
      <c r="P1563" s="4" t="s">
        <v>0</v>
      </c>
      <c r="Q1563" s="4"/>
      <c r="R1563" s="4">
        <v>35</v>
      </c>
      <c r="S1563" s="4"/>
      <c r="T1563" s="4"/>
      <c r="U1563" s="4"/>
      <c r="V1563" s="4"/>
      <c r="W1563" s="4"/>
      <c r="X1563" s="4"/>
      <c r="Y1563" s="4"/>
      <c r="Z1563" s="4"/>
      <c r="AA1563" s="4"/>
      <c r="AB1563" s="4"/>
      <c r="AC1563" s="23"/>
      <c r="AD1563" s="23"/>
      <c r="AE1563" s="23"/>
      <c r="AF1563" s="23"/>
      <c r="AG1563" s="23"/>
      <c r="AH1563" s="23"/>
      <c r="AI1563" s="23"/>
      <c r="AJ1563" s="23"/>
      <c r="AK1563" s="23"/>
      <c r="AL1563" s="23"/>
      <c r="AM1563" s="23"/>
      <c r="AN1563" s="23"/>
      <c r="AO1563" s="23"/>
      <c r="AP1563" s="23"/>
      <c r="AQ1563" s="23"/>
      <c r="AR1563" s="23"/>
      <c r="AS1563" s="23"/>
      <c r="AT1563" s="23"/>
      <c r="AU1563" s="23"/>
      <c r="AV1563" s="23"/>
      <c r="AW1563" s="23"/>
      <c r="AX1563" s="23"/>
    </row>
    <row r="1564" spans="1:50" s="71" customFormat="1" ht="15" customHeight="1" x14ac:dyDescent="0.2">
      <c r="A1564" s="70" t="s">
        <v>668</v>
      </c>
      <c r="B1564" s="70" t="s">
        <v>669</v>
      </c>
      <c r="C1564" s="71" t="s">
        <v>670</v>
      </c>
      <c r="D1564" s="71" t="s">
        <v>56</v>
      </c>
      <c r="E1564" s="71" t="s">
        <v>46</v>
      </c>
      <c r="F1564" s="78" t="s">
        <v>782</v>
      </c>
      <c r="H1564" s="71" t="s">
        <v>33</v>
      </c>
      <c r="I1564" s="87"/>
      <c r="J1564" s="72">
        <f>J1563</f>
        <v>93.1</v>
      </c>
      <c r="K1564" s="72">
        <f>K1563</f>
        <v>0.8</v>
      </c>
      <c r="L1564" s="72">
        <f>L1563</f>
        <v>35</v>
      </c>
      <c r="M1564" s="72">
        <f>M1563</f>
        <v>1.7</v>
      </c>
      <c r="N1564" s="72">
        <f>N1563</f>
        <v>13</v>
      </c>
      <c r="O1564" s="72"/>
      <c r="P1564" s="72"/>
      <c r="Q1564" s="72"/>
      <c r="R1564" s="72">
        <f>R1563</f>
        <v>35</v>
      </c>
      <c r="S1564" s="72"/>
      <c r="T1564" s="72"/>
      <c r="U1564" s="72"/>
      <c r="V1564" s="72"/>
      <c r="W1564" s="72"/>
      <c r="X1564" s="72"/>
      <c r="Y1564" s="72"/>
      <c r="Z1564" s="72"/>
      <c r="AA1564" s="72"/>
      <c r="AB1564" s="72"/>
      <c r="AC1564" s="73"/>
      <c r="AD1564" s="73"/>
      <c r="AE1564" s="73"/>
      <c r="AF1564" s="73"/>
      <c r="AG1564" s="73"/>
      <c r="AH1564" s="73"/>
      <c r="AI1564" s="73"/>
      <c r="AJ1564" s="73"/>
      <c r="AK1564" s="73"/>
      <c r="AL1564" s="73"/>
      <c r="AM1564" s="73"/>
      <c r="AN1564" s="73"/>
      <c r="AO1564" s="73"/>
      <c r="AP1564" s="73"/>
      <c r="AQ1564" s="73"/>
      <c r="AR1564" s="73"/>
      <c r="AS1564" s="73"/>
      <c r="AT1564" s="73"/>
      <c r="AU1564" s="73"/>
      <c r="AV1564" s="73"/>
      <c r="AW1564" s="73"/>
      <c r="AX1564" s="73"/>
    </row>
    <row r="1565" spans="1:50" ht="34" x14ac:dyDescent="0.2">
      <c r="A1565" s="24" t="s">
        <v>671</v>
      </c>
      <c r="B1565" s="24" t="s">
        <v>747</v>
      </c>
      <c r="H1565" s="2" t="s">
        <v>33</v>
      </c>
      <c r="I1565" s="243" t="s">
        <v>1015</v>
      </c>
      <c r="J1565" s="3">
        <v>82.8</v>
      </c>
      <c r="K1565" s="3">
        <v>5.0999999999999996</v>
      </c>
      <c r="L1565" s="3">
        <v>162</v>
      </c>
      <c r="M1565" s="3">
        <v>2.8</v>
      </c>
      <c r="N1565" s="3">
        <v>58</v>
      </c>
      <c r="O1565" s="3">
        <v>1.01</v>
      </c>
      <c r="P1565" s="4" t="s">
        <v>0</v>
      </c>
      <c r="Q1565" s="3">
        <v>62</v>
      </c>
      <c r="R1565" s="3">
        <v>11</v>
      </c>
      <c r="S1565" s="3">
        <v>1.64</v>
      </c>
    </row>
    <row r="1566" spans="1:50" s="71" customFormat="1" ht="15" customHeight="1" x14ac:dyDescent="0.2">
      <c r="A1566" s="70" t="s">
        <v>671</v>
      </c>
      <c r="B1566" s="70" t="s">
        <v>747</v>
      </c>
      <c r="C1566" s="71" t="s">
        <v>748</v>
      </c>
      <c r="D1566" s="71" t="s">
        <v>31</v>
      </c>
      <c r="E1566" s="71" t="s">
        <v>32</v>
      </c>
      <c r="F1566" s="71" t="s">
        <v>783</v>
      </c>
      <c r="H1566" s="71" t="s">
        <v>33</v>
      </c>
      <c r="I1566" s="87"/>
      <c r="J1566" s="72">
        <f>J1565</f>
        <v>82.8</v>
      </c>
      <c r="K1566" s="72">
        <f t="shared" ref="K1566:S1566" si="523">K1565</f>
        <v>5.0999999999999996</v>
      </c>
      <c r="L1566" s="72">
        <f t="shared" si="523"/>
        <v>162</v>
      </c>
      <c r="M1566" s="72">
        <f t="shared" si="523"/>
        <v>2.8</v>
      </c>
      <c r="N1566" s="72">
        <f t="shared" si="523"/>
        <v>58</v>
      </c>
      <c r="O1566" s="72">
        <f t="shared" si="523"/>
        <v>1.01</v>
      </c>
      <c r="P1566" s="72"/>
      <c r="Q1566" s="72">
        <f t="shared" si="523"/>
        <v>62</v>
      </c>
      <c r="R1566" s="72">
        <f t="shared" si="523"/>
        <v>11</v>
      </c>
      <c r="S1566" s="72">
        <f t="shared" si="523"/>
        <v>1.64</v>
      </c>
      <c r="T1566" s="72"/>
      <c r="U1566" s="72"/>
      <c r="V1566" s="72"/>
      <c r="W1566" s="72"/>
      <c r="X1566" s="72"/>
      <c r="Y1566" s="72"/>
      <c r="Z1566" s="72"/>
      <c r="AA1566" s="72"/>
      <c r="AB1566" s="72"/>
      <c r="AC1566" s="73"/>
      <c r="AD1566" s="73"/>
      <c r="AE1566" s="73"/>
      <c r="AF1566" s="73"/>
      <c r="AG1566" s="73"/>
      <c r="AH1566" s="73"/>
      <c r="AI1566" s="73"/>
      <c r="AJ1566" s="73"/>
      <c r="AK1566" s="73"/>
      <c r="AL1566" s="73"/>
      <c r="AM1566" s="73"/>
      <c r="AN1566" s="73"/>
      <c r="AO1566" s="73"/>
      <c r="AP1566" s="73"/>
      <c r="AQ1566" s="73"/>
      <c r="AR1566" s="73"/>
      <c r="AS1566" s="73"/>
      <c r="AT1566" s="73"/>
      <c r="AU1566" s="73"/>
      <c r="AV1566" s="73"/>
      <c r="AW1566" s="73"/>
      <c r="AX1566" s="73"/>
    </row>
    <row r="1567" spans="1:50" ht="15" customHeight="1" x14ac:dyDescent="0.2">
      <c r="A1567" s="24" t="s">
        <v>671</v>
      </c>
      <c r="B1567" s="24" t="s">
        <v>672</v>
      </c>
      <c r="H1567" s="2" t="s">
        <v>33</v>
      </c>
      <c r="I1567" s="243" t="s">
        <v>1009</v>
      </c>
      <c r="K1567" s="3">
        <v>1.44</v>
      </c>
      <c r="L1567" s="3">
        <v>173</v>
      </c>
      <c r="M1567" s="3">
        <v>1.8</v>
      </c>
      <c r="O1567" s="3">
        <v>0.63</v>
      </c>
      <c r="P1567" s="4">
        <f t="shared" ref="P1567" si="524">AN1567</f>
        <v>0</v>
      </c>
      <c r="Q1567" s="3">
        <v>96</v>
      </c>
      <c r="R1567" s="3">
        <v>49</v>
      </c>
      <c r="S1567" s="3">
        <v>0.83</v>
      </c>
      <c r="AN1567" s="23"/>
    </row>
    <row r="1568" spans="1:50" ht="15" customHeight="1" x14ac:dyDescent="0.2">
      <c r="A1568" s="24" t="s">
        <v>671</v>
      </c>
      <c r="B1568" s="24" t="s">
        <v>672</v>
      </c>
      <c r="H1568" s="2" t="s">
        <v>33</v>
      </c>
      <c r="I1568" s="243" t="s">
        <v>1005</v>
      </c>
      <c r="J1568" s="3">
        <v>82.6</v>
      </c>
      <c r="K1568" s="3">
        <v>1.5</v>
      </c>
      <c r="L1568" s="3">
        <v>145</v>
      </c>
      <c r="P1568" s="4" t="s">
        <v>0</v>
      </c>
      <c r="R1568" s="3">
        <v>51</v>
      </c>
    </row>
    <row r="1569" spans="1:50" s="41" customFormat="1" ht="34" x14ac:dyDescent="0.2">
      <c r="A1569" s="40" t="s">
        <v>671</v>
      </c>
      <c r="B1569" s="40" t="s">
        <v>672</v>
      </c>
      <c r="C1569" s="41" t="s">
        <v>0</v>
      </c>
      <c r="D1569" s="2"/>
      <c r="E1569" s="2"/>
      <c r="F1569" s="2"/>
      <c r="G1569" s="2"/>
      <c r="H1569" s="2" t="s">
        <v>33</v>
      </c>
      <c r="I1569" s="248" t="s">
        <v>1009</v>
      </c>
      <c r="J1569" s="43"/>
      <c r="K1569" s="43">
        <v>1.44</v>
      </c>
      <c r="L1569" s="43">
        <v>173</v>
      </c>
      <c r="M1569" s="43">
        <v>1.8</v>
      </c>
      <c r="N1569" s="43"/>
      <c r="O1569" s="43">
        <v>0.63</v>
      </c>
      <c r="P1569" s="4">
        <f t="shared" ref="P1569" si="525">AN1569</f>
        <v>0</v>
      </c>
      <c r="Q1569" s="43">
        <v>96</v>
      </c>
      <c r="R1569" s="43">
        <v>49</v>
      </c>
      <c r="S1569" s="43">
        <v>0.9</v>
      </c>
      <c r="T1569" s="43"/>
      <c r="U1569" s="43"/>
      <c r="V1569" s="43"/>
      <c r="W1569" s="43"/>
      <c r="X1569" s="43"/>
      <c r="Y1569" s="43"/>
      <c r="Z1569" s="43"/>
      <c r="AA1569" s="43"/>
      <c r="AB1569" s="43"/>
      <c r="AC1569" s="44"/>
      <c r="AD1569" s="44"/>
      <c r="AE1569" s="44"/>
      <c r="AF1569" s="44"/>
      <c r="AG1569" s="5"/>
      <c r="AH1569" s="44"/>
      <c r="AI1569" s="44"/>
      <c r="AJ1569" s="44"/>
      <c r="AK1569" s="44"/>
      <c r="AL1569" s="44"/>
      <c r="AM1569" s="44"/>
      <c r="AN1569" s="23"/>
      <c r="AO1569" s="44"/>
      <c r="AP1569" s="44"/>
      <c r="AQ1569" s="44"/>
      <c r="AR1569" s="44"/>
      <c r="AS1569" s="44"/>
      <c r="AT1569" s="44"/>
      <c r="AU1569" s="44"/>
      <c r="AV1569" s="44"/>
      <c r="AW1569" s="44"/>
      <c r="AX1569" s="44"/>
    </row>
    <row r="1570" spans="1:50" s="71" customFormat="1" x14ac:dyDescent="0.2">
      <c r="A1570" s="70" t="s">
        <v>671</v>
      </c>
      <c r="B1570" s="70" t="s">
        <v>672</v>
      </c>
      <c r="C1570" s="71" t="s">
        <v>673</v>
      </c>
      <c r="D1570" s="71" t="s">
        <v>31</v>
      </c>
      <c r="E1570" s="71" t="s">
        <v>32</v>
      </c>
      <c r="F1570" s="71" t="s">
        <v>783</v>
      </c>
      <c r="H1570" s="71" t="s">
        <v>33</v>
      </c>
      <c r="I1570" s="87"/>
      <c r="J1570" s="72">
        <f>AVERAGE(J1567:J1569)</f>
        <v>82.6</v>
      </c>
      <c r="K1570" s="72">
        <f>AVERAGE(K1567:K1569)</f>
        <v>1.46</v>
      </c>
      <c r="L1570" s="72">
        <f>AVERAGE(L1567:L1569)</f>
        <v>163.66666666666666</v>
      </c>
      <c r="M1570" s="72">
        <f>AVERAGE(M1567:M1569)</f>
        <v>1.8</v>
      </c>
      <c r="N1570" s="72"/>
      <c r="O1570" s="72">
        <f t="shared" ref="O1570:S1570" si="526">AVERAGE(O1567:O1569)</f>
        <v>0.63</v>
      </c>
      <c r="P1570" s="72">
        <f t="shared" si="526"/>
        <v>0</v>
      </c>
      <c r="Q1570" s="72">
        <f t="shared" si="526"/>
        <v>96</v>
      </c>
      <c r="R1570" s="72">
        <f t="shared" si="526"/>
        <v>49.666666666666664</v>
      </c>
      <c r="S1570" s="72">
        <f t="shared" si="526"/>
        <v>0.86499999999999999</v>
      </c>
      <c r="T1570" s="72"/>
      <c r="U1570" s="72"/>
      <c r="V1570" s="72"/>
      <c r="W1570" s="72"/>
      <c r="X1570" s="72"/>
      <c r="Y1570" s="72"/>
      <c r="Z1570" s="72"/>
      <c r="AA1570" s="72"/>
      <c r="AB1570" s="72"/>
      <c r="AC1570" s="73"/>
      <c r="AD1570" s="73"/>
      <c r="AE1570" s="73"/>
      <c r="AF1570" s="73"/>
      <c r="AG1570" s="73"/>
      <c r="AH1570" s="73"/>
      <c r="AI1570" s="73"/>
      <c r="AJ1570" s="73"/>
      <c r="AK1570" s="73"/>
      <c r="AL1570" s="73"/>
      <c r="AM1570" s="73"/>
      <c r="AN1570" s="73"/>
      <c r="AO1570" s="73"/>
      <c r="AP1570" s="73"/>
      <c r="AQ1570" s="73"/>
      <c r="AR1570" s="73"/>
      <c r="AS1570" s="73"/>
      <c r="AT1570" s="73"/>
      <c r="AU1570" s="73"/>
      <c r="AV1570" s="73"/>
      <c r="AW1570" s="73"/>
      <c r="AX1570" s="73"/>
    </row>
    <row r="1571" spans="1:50" s="22" customFormat="1" ht="15" customHeight="1" x14ac:dyDescent="0.2">
      <c r="A1571" s="21" t="s">
        <v>674</v>
      </c>
      <c r="B1571" s="21" t="s">
        <v>675</v>
      </c>
      <c r="C1571" s="27" t="s">
        <v>0</v>
      </c>
      <c r="D1571" s="2"/>
      <c r="E1571" s="2"/>
      <c r="H1571" s="22" t="s">
        <v>27</v>
      </c>
      <c r="I1571" s="65" t="s">
        <v>1007</v>
      </c>
      <c r="J1571" s="4">
        <v>72.599999999999994</v>
      </c>
      <c r="K1571" s="4">
        <v>7.5</v>
      </c>
      <c r="L1571" s="4">
        <v>37</v>
      </c>
      <c r="M1571" s="4">
        <v>1.55</v>
      </c>
      <c r="N1571" s="4">
        <v>33</v>
      </c>
      <c r="O1571" s="4">
        <v>1</v>
      </c>
      <c r="P1571" s="4">
        <f t="shared" ref="P1571" si="527">AN1571</f>
        <v>0</v>
      </c>
      <c r="Q1571" s="4">
        <v>148</v>
      </c>
      <c r="R1571" s="4">
        <v>3.7</v>
      </c>
      <c r="S1571" s="4">
        <v>1.1599999999999999</v>
      </c>
      <c r="T1571" s="4"/>
      <c r="U1571" s="4"/>
      <c r="V1571" s="4"/>
      <c r="W1571" s="4"/>
      <c r="X1571" s="4"/>
      <c r="Y1571" s="4"/>
      <c r="Z1571" s="4"/>
      <c r="AA1571" s="4"/>
      <c r="AB1571" s="4"/>
      <c r="AC1571" s="23"/>
      <c r="AD1571" s="23"/>
      <c r="AE1571" s="23"/>
      <c r="AF1571" s="23"/>
      <c r="AG1571" s="23"/>
      <c r="AH1571" s="23"/>
      <c r="AI1571" s="23"/>
      <c r="AJ1571" s="23"/>
      <c r="AK1571" s="23"/>
      <c r="AL1571" s="23"/>
      <c r="AM1571" s="23"/>
      <c r="AN1571" s="23"/>
      <c r="AO1571" s="23"/>
      <c r="AP1571" s="23"/>
      <c r="AQ1571" s="23"/>
      <c r="AR1571" s="23"/>
      <c r="AS1571" s="23"/>
      <c r="AT1571" s="23"/>
      <c r="AU1571" s="23"/>
      <c r="AV1571" s="23"/>
      <c r="AW1571" s="23"/>
      <c r="AX1571" s="23"/>
    </row>
    <row r="1572" spans="1:50" s="71" customFormat="1" ht="15" customHeight="1" x14ac:dyDescent="0.2">
      <c r="A1572" s="70" t="s">
        <v>674</v>
      </c>
      <c r="B1572" s="70" t="s">
        <v>675</v>
      </c>
      <c r="C1572" s="84" t="s">
        <v>676</v>
      </c>
      <c r="D1572" s="71" t="s">
        <v>56</v>
      </c>
      <c r="E1572" s="71" t="s">
        <v>46</v>
      </c>
      <c r="F1572" s="78" t="s">
        <v>782</v>
      </c>
      <c r="H1572" s="71" t="s">
        <v>27</v>
      </c>
      <c r="I1572" s="87"/>
      <c r="J1572" s="72">
        <f t="shared" ref="J1572" si="528">J1571</f>
        <v>72.599999999999994</v>
      </c>
      <c r="K1572" s="72">
        <f t="shared" ref="K1572:S1572" si="529">K1571</f>
        <v>7.5</v>
      </c>
      <c r="L1572" s="72">
        <f t="shared" si="529"/>
        <v>37</v>
      </c>
      <c r="M1572" s="72">
        <f t="shared" si="529"/>
        <v>1.55</v>
      </c>
      <c r="N1572" s="72">
        <f t="shared" si="529"/>
        <v>33</v>
      </c>
      <c r="O1572" s="72">
        <f t="shared" si="529"/>
        <v>1</v>
      </c>
      <c r="P1572" s="72">
        <f t="shared" si="529"/>
        <v>0</v>
      </c>
      <c r="Q1572" s="72">
        <f t="shared" si="529"/>
        <v>148</v>
      </c>
      <c r="R1572" s="72">
        <f t="shared" si="529"/>
        <v>3.7</v>
      </c>
      <c r="S1572" s="72">
        <f t="shared" si="529"/>
        <v>1.1599999999999999</v>
      </c>
      <c r="T1572" s="72"/>
      <c r="U1572" s="72"/>
      <c r="V1572" s="72"/>
      <c r="W1572" s="72"/>
      <c r="X1572" s="72"/>
      <c r="Y1572" s="72"/>
      <c r="Z1572" s="72"/>
      <c r="AA1572" s="72"/>
      <c r="AB1572" s="72"/>
      <c r="AC1572" s="73"/>
      <c r="AD1572" s="73"/>
      <c r="AE1572" s="73"/>
      <c r="AF1572" s="73"/>
      <c r="AG1572" s="73"/>
      <c r="AH1572" s="73"/>
      <c r="AI1572" s="73"/>
      <c r="AJ1572" s="73"/>
      <c r="AK1572" s="73"/>
      <c r="AL1572" s="73"/>
      <c r="AM1572" s="73"/>
      <c r="AN1572" s="73"/>
      <c r="AO1572" s="73"/>
      <c r="AP1572" s="73"/>
      <c r="AQ1572" s="73"/>
      <c r="AR1572" s="73"/>
      <c r="AS1572" s="73"/>
      <c r="AT1572" s="73"/>
      <c r="AU1572" s="73"/>
      <c r="AV1572" s="73"/>
      <c r="AW1572" s="73"/>
      <c r="AX1572" s="73"/>
    </row>
    <row r="1573" spans="1:50" ht="15" customHeight="1" x14ac:dyDescent="0.2">
      <c r="A1573" s="55" t="s">
        <v>674</v>
      </c>
      <c r="B1573" s="55" t="s">
        <v>675</v>
      </c>
      <c r="C1573" s="56" t="s">
        <v>0</v>
      </c>
      <c r="F1573" s="57"/>
      <c r="G1573" s="57"/>
      <c r="H1573" s="57" t="s">
        <v>37</v>
      </c>
      <c r="I1573" s="249" t="s">
        <v>1007</v>
      </c>
      <c r="J1573" s="58">
        <v>81</v>
      </c>
      <c r="K1573" s="58">
        <v>4.2</v>
      </c>
      <c r="L1573" s="58">
        <v>22</v>
      </c>
      <c r="M1573" s="58">
        <v>1.9</v>
      </c>
      <c r="N1573" s="58">
        <v>38</v>
      </c>
      <c r="O1573" s="58">
        <v>0.57999999999999996</v>
      </c>
      <c r="P1573" s="4">
        <f t="shared" ref="P1573:P1574" si="530">AN1573</f>
        <v>0</v>
      </c>
      <c r="Q1573" s="58">
        <v>96</v>
      </c>
      <c r="R1573" s="58">
        <v>33</v>
      </c>
      <c r="S1573" s="58"/>
      <c r="T1573" s="58"/>
      <c r="U1573" s="58"/>
      <c r="V1573" s="58"/>
      <c r="W1573" s="58"/>
      <c r="X1573" s="58"/>
      <c r="Z1573" s="58"/>
      <c r="AA1573" s="58"/>
      <c r="AB1573" s="58"/>
      <c r="AI1573" s="23"/>
      <c r="AN1573" s="23"/>
    </row>
    <row r="1574" spans="1:50" ht="15" customHeight="1" x14ac:dyDescent="0.2">
      <c r="A1574" s="24" t="s">
        <v>674</v>
      </c>
      <c r="B1574" s="24" t="s">
        <v>675</v>
      </c>
      <c r="F1574" s="57"/>
      <c r="G1574" s="57"/>
      <c r="H1574" s="57" t="s">
        <v>37</v>
      </c>
      <c r="I1574" s="243" t="s">
        <v>1010</v>
      </c>
      <c r="J1574" s="3">
        <v>75.400000000000006</v>
      </c>
      <c r="K1574" s="3">
        <v>3.1</v>
      </c>
      <c r="L1574" s="3">
        <v>30</v>
      </c>
      <c r="M1574" s="3">
        <v>2.1</v>
      </c>
      <c r="N1574" s="3">
        <v>38</v>
      </c>
      <c r="P1574" s="4">
        <f t="shared" si="530"/>
        <v>0</v>
      </c>
      <c r="R1574" s="3">
        <v>33</v>
      </c>
      <c r="AI1574" s="23"/>
      <c r="AN1574" s="23"/>
    </row>
    <row r="1575" spans="1:50" s="71" customFormat="1" ht="15" customHeight="1" x14ac:dyDescent="0.2">
      <c r="A1575" s="70" t="s">
        <v>674</v>
      </c>
      <c r="B1575" s="70" t="s">
        <v>675</v>
      </c>
      <c r="C1575" s="71" t="s">
        <v>676</v>
      </c>
      <c r="D1575" s="71" t="s">
        <v>56</v>
      </c>
      <c r="E1575" s="71" t="s">
        <v>46</v>
      </c>
      <c r="F1575" s="78" t="s">
        <v>782</v>
      </c>
      <c r="H1575" s="71" t="s">
        <v>37</v>
      </c>
      <c r="I1575" s="87"/>
      <c r="J1575" s="72">
        <f t="shared" ref="J1575" si="531">AVERAGE(J1573:J1574)</f>
        <v>78.2</v>
      </c>
      <c r="K1575" s="72">
        <f t="shared" ref="K1575:R1575" si="532">AVERAGE(K1573:K1574)</f>
        <v>3.6500000000000004</v>
      </c>
      <c r="L1575" s="72">
        <f t="shared" si="532"/>
        <v>26</v>
      </c>
      <c r="M1575" s="72">
        <f t="shared" si="532"/>
        <v>2</v>
      </c>
      <c r="N1575" s="72">
        <f t="shared" si="532"/>
        <v>38</v>
      </c>
      <c r="O1575" s="72">
        <f t="shared" si="532"/>
        <v>0.57999999999999996</v>
      </c>
      <c r="P1575" s="72">
        <f t="shared" si="532"/>
        <v>0</v>
      </c>
      <c r="Q1575" s="72">
        <f t="shared" si="532"/>
        <v>96</v>
      </c>
      <c r="R1575" s="72">
        <f t="shared" si="532"/>
        <v>33</v>
      </c>
      <c r="S1575" s="72"/>
      <c r="T1575" s="72"/>
      <c r="U1575" s="72"/>
      <c r="V1575" s="72"/>
      <c r="W1575" s="72"/>
      <c r="X1575" s="72"/>
      <c r="Y1575" s="72"/>
      <c r="Z1575" s="72"/>
      <c r="AA1575" s="72"/>
      <c r="AB1575" s="72"/>
      <c r="AC1575" s="73"/>
      <c r="AD1575" s="73"/>
      <c r="AE1575" s="73"/>
      <c r="AF1575" s="73"/>
      <c r="AG1575" s="73"/>
      <c r="AH1575" s="73"/>
      <c r="AI1575" s="73"/>
      <c r="AJ1575" s="73"/>
      <c r="AK1575" s="73"/>
      <c r="AL1575" s="73"/>
      <c r="AM1575" s="73"/>
      <c r="AN1575" s="73"/>
      <c r="AO1575" s="73"/>
      <c r="AP1575" s="73"/>
      <c r="AQ1575" s="73"/>
      <c r="AR1575" s="73"/>
      <c r="AS1575" s="73"/>
      <c r="AT1575" s="73"/>
      <c r="AU1575" s="73"/>
      <c r="AV1575" s="73"/>
      <c r="AW1575" s="73"/>
      <c r="AX1575" s="73"/>
    </row>
    <row r="1576" spans="1:50" ht="15" customHeight="1" x14ac:dyDescent="0.2">
      <c r="A1576" s="24" t="s">
        <v>677</v>
      </c>
      <c r="B1576" s="24" t="s">
        <v>678</v>
      </c>
      <c r="H1576" s="2" t="s">
        <v>33</v>
      </c>
      <c r="I1576" s="243" t="s">
        <v>1009</v>
      </c>
      <c r="K1576" s="3">
        <v>1.59</v>
      </c>
      <c r="L1576" s="3">
        <v>90</v>
      </c>
      <c r="M1576" s="3">
        <v>1.33</v>
      </c>
      <c r="O1576" s="3">
        <v>0.69</v>
      </c>
      <c r="P1576" s="4">
        <f t="shared" ref="P1576:P1579" si="533">AN1576</f>
        <v>0</v>
      </c>
      <c r="Q1576" s="3">
        <v>70</v>
      </c>
      <c r="R1576" s="3">
        <v>43</v>
      </c>
      <c r="S1576" s="3">
        <v>0.64</v>
      </c>
      <c r="AN1576" s="23"/>
    </row>
    <row r="1577" spans="1:50" ht="15" customHeight="1" x14ac:dyDescent="0.2">
      <c r="A1577" s="34" t="s">
        <v>677</v>
      </c>
      <c r="B1577" s="34" t="s">
        <v>678</v>
      </c>
      <c r="C1577" s="33"/>
      <c r="H1577" s="2" t="s">
        <v>33</v>
      </c>
      <c r="I1577" s="245" t="s">
        <v>1009</v>
      </c>
      <c r="J1577" s="36"/>
      <c r="K1577" s="36"/>
      <c r="L1577" s="36">
        <v>116</v>
      </c>
      <c r="M1577" s="36">
        <v>0.93</v>
      </c>
      <c r="N1577" s="36"/>
      <c r="O1577" s="3">
        <v>0.87</v>
      </c>
      <c r="P1577" s="4">
        <f t="shared" si="533"/>
        <v>0</v>
      </c>
      <c r="Q1577" s="36">
        <v>71</v>
      </c>
      <c r="R1577" s="36">
        <v>41</v>
      </c>
      <c r="S1577" s="3">
        <v>0.67</v>
      </c>
      <c r="T1577" s="36"/>
      <c r="U1577" s="36"/>
      <c r="V1577" s="36"/>
      <c r="W1577" s="36"/>
      <c r="X1577" s="36"/>
      <c r="Y1577" s="36"/>
      <c r="Z1577" s="36"/>
      <c r="AA1577" s="36"/>
      <c r="AB1577" s="36"/>
      <c r="AN1577" s="23"/>
    </row>
    <row r="1578" spans="1:50" ht="15" customHeight="1" x14ac:dyDescent="0.2">
      <c r="A1578" s="34" t="s">
        <v>677</v>
      </c>
      <c r="B1578" s="34" t="s">
        <v>678</v>
      </c>
      <c r="C1578" s="33"/>
      <c r="H1578" s="2" t="s">
        <v>33</v>
      </c>
      <c r="I1578" s="245" t="s">
        <v>1009</v>
      </c>
      <c r="J1578" s="36"/>
      <c r="K1578" s="36">
        <v>1.3</v>
      </c>
      <c r="L1578" s="36">
        <v>90</v>
      </c>
      <c r="M1578" s="36">
        <v>1.31</v>
      </c>
      <c r="O1578" s="3">
        <v>1.31</v>
      </c>
      <c r="P1578" s="4">
        <f t="shared" si="533"/>
        <v>0</v>
      </c>
      <c r="Q1578" s="3">
        <v>82</v>
      </c>
      <c r="R1578" s="36">
        <v>42</v>
      </c>
      <c r="S1578" s="3">
        <v>0.78</v>
      </c>
      <c r="T1578" s="36"/>
      <c r="U1578" s="36"/>
      <c r="V1578" s="36"/>
      <c r="W1578" s="36"/>
      <c r="Z1578" s="36"/>
      <c r="AA1578" s="36"/>
      <c r="AB1578" s="36"/>
      <c r="AN1578" s="23"/>
    </row>
    <row r="1579" spans="1:50" ht="15" customHeight="1" x14ac:dyDescent="0.2">
      <c r="A1579" s="24" t="s">
        <v>677</v>
      </c>
      <c r="B1579" s="24" t="s">
        <v>678</v>
      </c>
      <c r="H1579" s="2" t="s">
        <v>33</v>
      </c>
      <c r="I1579" s="243" t="s">
        <v>1009</v>
      </c>
      <c r="P1579" s="4">
        <f t="shared" si="533"/>
        <v>0</v>
      </c>
      <c r="Q1579" s="3">
        <v>89</v>
      </c>
      <c r="R1579" s="3">
        <v>49</v>
      </c>
      <c r="S1579" s="3">
        <v>0.79</v>
      </c>
      <c r="AN1579" s="23"/>
    </row>
    <row r="1580" spans="1:50" ht="15" customHeight="1" x14ac:dyDescent="0.2">
      <c r="A1580" s="55" t="s">
        <v>677</v>
      </c>
      <c r="B1580" s="55" t="s">
        <v>678</v>
      </c>
      <c r="C1580" s="56" t="s">
        <v>0</v>
      </c>
      <c r="H1580" s="2" t="s">
        <v>33</v>
      </c>
      <c r="I1580" s="249" t="s">
        <v>1007</v>
      </c>
      <c r="J1580" s="58">
        <v>89.78</v>
      </c>
      <c r="K1580" s="58"/>
      <c r="L1580" s="58">
        <v>63</v>
      </c>
      <c r="M1580" s="58">
        <v>1.92</v>
      </c>
      <c r="N1580" s="58">
        <v>43</v>
      </c>
      <c r="O1580" s="58">
        <v>0.28999999999999998</v>
      </c>
      <c r="P1580" s="4" t="s">
        <v>0</v>
      </c>
      <c r="Q1580" s="58">
        <v>101</v>
      </c>
      <c r="R1580" s="58">
        <v>36</v>
      </c>
      <c r="S1580" s="58"/>
      <c r="T1580" s="58"/>
      <c r="U1580" s="58"/>
      <c r="V1580" s="58"/>
      <c r="W1580" s="58"/>
      <c r="X1580" s="58"/>
      <c r="Y1580" s="58"/>
      <c r="Z1580" s="58"/>
      <c r="AA1580" s="58"/>
      <c r="AB1580" s="58"/>
    </row>
    <row r="1581" spans="1:50" ht="15" customHeight="1" x14ac:dyDescent="0.2">
      <c r="A1581" s="24" t="s">
        <v>677</v>
      </c>
      <c r="B1581" s="24" t="s">
        <v>678</v>
      </c>
      <c r="H1581" s="2" t="s">
        <v>33</v>
      </c>
      <c r="I1581" s="243" t="s">
        <v>1009</v>
      </c>
      <c r="K1581" s="3">
        <v>1.65</v>
      </c>
      <c r="L1581" s="3">
        <v>188</v>
      </c>
      <c r="M1581" s="3">
        <v>2.36</v>
      </c>
      <c r="O1581" s="3">
        <v>0.73</v>
      </c>
      <c r="P1581" s="4">
        <f t="shared" ref="P1581:P1589" si="534">AN1581</f>
        <v>0</v>
      </c>
      <c r="Q1581" s="3">
        <v>130</v>
      </c>
      <c r="R1581" s="3">
        <v>93</v>
      </c>
      <c r="S1581" s="3">
        <v>2.02</v>
      </c>
      <c r="AN1581" s="23"/>
    </row>
    <row r="1582" spans="1:50" ht="15" customHeight="1" x14ac:dyDescent="0.2">
      <c r="A1582" s="24" t="s">
        <v>677</v>
      </c>
      <c r="B1582" s="24" t="s">
        <v>678</v>
      </c>
      <c r="H1582" s="2" t="s">
        <v>33</v>
      </c>
      <c r="I1582" s="243" t="s">
        <v>1009</v>
      </c>
      <c r="K1582" s="3">
        <v>1.81</v>
      </c>
      <c r="L1582" s="3">
        <v>219</v>
      </c>
      <c r="M1582" s="3">
        <v>2.75</v>
      </c>
      <c r="O1582" s="3">
        <v>0.82</v>
      </c>
      <c r="P1582" s="4">
        <f t="shared" si="534"/>
        <v>0</v>
      </c>
      <c r="Q1582" s="3">
        <v>133</v>
      </c>
      <c r="R1582" s="3">
        <v>111</v>
      </c>
      <c r="S1582" s="3">
        <v>2.62</v>
      </c>
      <c r="AN1582" s="23"/>
    </row>
    <row r="1583" spans="1:50" ht="15" customHeight="1" x14ac:dyDescent="0.2">
      <c r="A1583" s="24" t="s">
        <v>677</v>
      </c>
      <c r="B1583" s="24" t="s">
        <v>678</v>
      </c>
      <c r="H1583" s="2" t="s">
        <v>33</v>
      </c>
      <c r="I1583" s="243" t="s">
        <v>1009</v>
      </c>
      <c r="K1583" s="3">
        <v>2.02</v>
      </c>
      <c r="L1583" s="3">
        <v>218</v>
      </c>
      <c r="M1583" s="3">
        <v>2.56</v>
      </c>
      <c r="O1583" s="3">
        <v>0.72</v>
      </c>
      <c r="P1583" s="4">
        <f t="shared" si="534"/>
        <v>0</v>
      </c>
      <c r="Q1583" s="3">
        <v>142</v>
      </c>
      <c r="R1583" s="3">
        <v>104</v>
      </c>
      <c r="S1583" s="3">
        <v>2.2799999999999998</v>
      </c>
      <c r="AN1583" s="23"/>
    </row>
    <row r="1584" spans="1:50" ht="15" customHeight="1" x14ac:dyDescent="0.2">
      <c r="A1584" s="24" t="s">
        <v>677</v>
      </c>
      <c r="B1584" s="24" t="s">
        <v>678</v>
      </c>
      <c r="H1584" s="2" t="s">
        <v>33</v>
      </c>
      <c r="I1584" s="243" t="s">
        <v>1009</v>
      </c>
      <c r="K1584" s="3">
        <v>1.77</v>
      </c>
      <c r="L1584" s="3">
        <v>222</v>
      </c>
      <c r="M1584" s="3">
        <v>2.68</v>
      </c>
      <c r="O1584" s="3">
        <v>0.68</v>
      </c>
      <c r="P1584" s="4">
        <f t="shared" si="534"/>
        <v>0</v>
      </c>
      <c r="Q1584" s="3">
        <v>148</v>
      </c>
      <c r="R1584" s="3">
        <v>98</v>
      </c>
      <c r="S1584" s="3">
        <v>2.91</v>
      </c>
      <c r="AN1584" s="23"/>
    </row>
    <row r="1585" spans="1:50" ht="15" customHeight="1" x14ac:dyDescent="0.2">
      <c r="A1585" s="24" t="s">
        <v>677</v>
      </c>
      <c r="B1585" s="24" t="s">
        <v>678</v>
      </c>
      <c r="H1585" s="2" t="s">
        <v>33</v>
      </c>
      <c r="I1585" s="243" t="s">
        <v>1009</v>
      </c>
      <c r="K1585" s="3">
        <v>1.78</v>
      </c>
      <c r="L1585" s="3">
        <v>405</v>
      </c>
      <c r="M1585" s="3">
        <v>1.42</v>
      </c>
      <c r="N1585" s="36"/>
      <c r="O1585" s="3">
        <v>0.38</v>
      </c>
      <c r="P1585" s="4">
        <f t="shared" si="534"/>
        <v>0</v>
      </c>
      <c r="Q1585" s="3">
        <v>153</v>
      </c>
      <c r="R1585" s="3">
        <v>91</v>
      </c>
      <c r="S1585" s="3">
        <v>7.39</v>
      </c>
      <c r="X1585" s="36"/>
      <c r="AN1585" s="23"/>
    </row>
    <row r="1586" spans="1:50" ht="15" customHeight="1" x14ac:dyDescent="0.2">
      <c r="A1586" s="24" t="s">
        <v>677</v>
      </c>
      <c r="B1586" s="24" t="s">
        <v>678</v>
      </c>
      <c r="H1586" s="2" t="s">
        <v>33</v>
      </c>
      <c r="I1586" s="243" t="s">
        <v>1009</v>
      </c>
      <c r="K1586" s="3">
        <v>2.23</v>
      </c>
      <c r="L1586" s="3">
        <v>568</v>
      </c>
      <c r="M1586" s="3">
        <v>1.98</v>
      </c>
      <c r="O1586" s="3">
        <v>0.49</v>
      </c>
      <c r="P1586" s="4">
        <f t="shared" si="534"/>
        <v>0</v>
      </c>
      <c r="Q1586" s="3">
        <v>163</v>
      </c>
      <c r="R1586" s="3">
        <v>80</v>
      </c>
      <c r="S1586" s="3">
        <v>6.74</v>
      </c>
      <c r="AN1586" s="23"/>
    </row>
    <row r="1587" spans="1:50" ht="15" customHeight="1" x14ac:dyDescent="0.2">
      <c r="A1587" s="24" t="s">
        <v>677</v>
      </c>
      <c r="B1587" s="24" t="s">
        <v>678</v>
      </c>
      <c r="H1587" s="2" t="s">
        <v>33</v>
      </c>
      <c r="I1587" s="243" t="s">
        <v>1009</v>
      </c>
      <c r="K1587" s="3">
        <v>2.4700000000000002</v>
      </c>
      <c r="L1587" s="3">
        <v>638</v>
      </c>
      <c r="M1587" s="3">
        <v>2.0299999999999998</v>
      </c>
      <c r="O1587" s="3">
        <v>0.2</v>
      </c>
      <c r="P1587" s="4">
        <f t="shared" si="534"/>
        <v>0</v>
      </c>
      <c r="Q1587" s="3">
        <v>167</v>
      </c>
      <c r="R1587" s="3">
        <v>76</v>
      </c>
      <c r="S1587" s="3">
        <v>9.2100000000000009</v>
      </c>
      <c r="AN1587" s="23"/>
    </row>
    <row r="1588" spans="1:50" ht="15" customHeight="1" x14ac:dyDescent="0.2">
      <c r="A1588" s="24" t="s">
        <v>677</v>
      </c>
      <c r="B1588" s="24" t="s">
        <v>678</v>
      </c>
      <c r="H1588" s="2" t="s">
        <v>33</v>
      </c>
      <c r="I1588" s="243" t="s">
        <v>1009</v>
      </c>
      <c r="K1588" s="3">
        <v>1.23</v>
      </c>
      <c r="L1588" s="3">
        <v>169</v>
      </c>
      <c r="M1588" s="3">
        <v>1.84</v>
      </c>
      <c r="O1588" s="3">
        <v>0.56999999999999995</v>
      </c>
      <c r="P1588" s="4">
        <f t="shared" si="534"/>
        <v>0</v>
      </c>
      <c r="Q1588" s="3">
        <v>180</v>
      </c>
      <c r="R1588" s="3">
        <v>104</v>
      </c>
      <c r="S1588" s="3">
        <v>2.16</v>
      </c>
      <c r="AN1588" s="23"/>
    </row>
    <row r="1589" spans="1:50" ht="15" customHeight="1" x14ac:dyDescent="0.2">
      <c r="A1589" s="24" t="s">
        <v>677</v>
      </c>
      <c r="B1589" s="24" t="s">
        <v>678</v>
      </c>
      <c r="H1589" s="2" t="s">
        <v>33</v>
      </c>
      <c r="I1589" s="243" t="s">
        <v>1009</v>
      </c>
      <c r="K1589" s="3">
        <v>1.29</v>
      </c>
      <c r="L1589" s="3">
        <v>392</v>
      </c>
      <c r="M1589" s="3">
        <v>1.45</v>
      </c>
      <c r="O1589" s="3">
        <v>0.35</v>
      </c>
      <c r="P1589" s="4">
        <f t="shared" si="534"/>
        <v>0</v>
      </c>
      <c r="Q1589" s="3">
        <v>234</v>
      </c>
      <c r="R1589" s="3">
        <v>103</v>
      </c>
      <c r="S1589" s="3">
        <v>4.2</v>
      </c>
      <c r="AN1589" s="23"/>
    </row>
    <row r="1590" spans="1:50" s="71" customFormat="1" ht="15" customHeight="1" x14ac:dyDescent="0.2">
      <c r="A1590" s="70" t="s">
        <v>677</v>
      </c>
      <c r="B1590" s="70" t="s">
        <v>678</v>
      </c>
      <c r="C1590" s="71" t="s">
        <v>679</v>
      </c>
      <c r="D1590" s="71" t="s">
        <v>56</v>
      </c>
      <c r="E1590" s="71" t="s">
        <v>42</v>
      </c>
      <c r="F1590" s="71" t="s">
        <v>784</v>
      </c>
      <c r="H1590" s="71" t="s">
        <v>33</v>
      </c>
      <c r="I1590" s="87"/>
      <c r="J1590" s="72">
        <f t="shared" ref="J1590" si="535">AVERAGE(J1576:J1589)</f>
        <v>89.78</v>
      </c>
      <c r="K1590" s="72">
        <f t="shared" ref="K1590:S1590" si="536">AVERAGE(K1576:K1589)</f>
        <v>1.7399999999999998</v>
      </c>
      <c r="L1590" s="72">
        <f t="shared" si="536"/>
        <v>259.84615384615387</v>
      </c>
      <c r="M1590" s="72">
        <f t="shared" si="536"/>
        <v>1.889230769230769</v>
      </c>
      <c r="N1590" s="72">
        <f t="shared" si="536"/>
        <v>43</v>
      </c>
      <c r="O1590" s="72">
        <f t="shared" si="536"/>
        <v>0.62307692307692308</v>
      </c>
      <c r="P1590" s="72">
        <f t="shared" si="536"/>
        <v>0</v>
      </c>
      <c r="Q1590" s="72">
        <f t="shared" si="536"/>
        <v>133.07142857142858</v>
      </c>
      <c r="R1590" s="72">
        <f t="shared" si="536"/>
        <v>76.5</v>
      </c>
      <c r="S1590" s="72">
        <f t="shared" si="536"/>
        <v>3.2623076923076932</v>
      </c>
      <c r="T1590" s="72"/>
      <c r="U1590" s="72"/>
      <c r="V1590" s="72"/>
      <c r="W1590" s="72"/>
      <c r="X1590" s="72"/>
      <c r="Y1590" s="72"/>
      <c r="Z1590" s="72"/>
      <c r="AA1590" s="72"/>
      <c r="AB1590" s="72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</row>
    <row r="1591" spans="1:50" ht="15" customHeight="1" x14ac:dyDescent="0.2">
      <c r="A1591" s="55" t="s">
        <v>677</v>
      </c>
      <c r="B1591" s="55" t="s">
        <v>678</v>
      </c>
      <c r="C1591" s="56" t="s">
        <v>0</v>
      </c>
      <c r="H1591" s="57" t="s">
        <v>27</v>
      </c>
      <c r="I1591" s="249" t="s">
        <v>1007</v>
      </c>
      <c r="J1591" s="58">
        <v>86</v>
      </c>
      <c r="K1591" s="58">
        <v>3.3</v>
      </c>
      <c r="L1591" s="58">
        <v>65</v>
      </c>
      <c r="M1591" s="58">
        <v>1</v>
      </c>
      <c r="N1591" s="58">
        <v>58</v>
      </c>
      <c r="O1591" s="58">
        <v>0.34</v>
      </c>
      <c r="P1591" s="4">
        <f t="shared" ref="P1591:P1595" si="537">AN1591</f>
        <v>0</v>
      </c>
      <c r="Q1591" s="58">
        <v>53</v>
      </c>
      <c r="R1591" s="58">
        <v>33</v>
      </c>
      <c r="S1591" s="58">
        <v>0.49</v>
      </c>
      <c r="T1591" s="58"/>
      <c r="U1591" s="58"/>
      <c r="V1591" s="58"/>
      <c r="W1591" s="58"/>
      <c r="X1591" s="58"/>
      <c r="Y1591" s="58"/>
      <c r="Z1591" s="58"/>
      <c r="AA1591" s="58"/>
      <c r="AB1591" s="58"/>
      <c r="AI1591" s="23"/>
      <c r="AN1591" s="23"/>
    </row>
    <row r="1592" spans="1:50" ht="15" customHeight="1" x14ac:dyDescent="0.2">
      <c r="A1592" s="24" t="s">
        <v>677</v>
      </c>
      <c r="B1592" s="24" t="s">
        <v>678</v>
      </c>
      <c r="C1592" s="2" t="s">
        <v>0</v>
      </c>
      <c r="H1592" s="57" t="s">
        <v>27</v>
      </c>
      <c r="I1592" s="243" t="s">
        <v>1005</v>
      </c>
      <c r="J1592" s="3">
        <v>86</v>
      </c>
      <c r="L1592" s="3">
        <v>65</v>
      </c>
      <c r="M1592" s="3">
        <v>1</v>
      </c>
      <c r="N1592" s="3">
        <v>58</v>
      </c>
      <c r="O1592" s="3">
        <v>0.3</v>
      </c>
      <c r="P1592" s="4">
        <f t="shared" si="537"/>
        <v>0</v>
      </c>
      <c r="Q1592" s="3">
        <v>53</v>
      </c>
      <c r="R1592" s="3">
        <v>33</v>
      </c>
      <c r="AI1592" s="23"/>
      <c r="AN1592" s="23"/>
    </row>
    <row r="1593" spans="1:50" ht="15" customHeight="1" x14ac:dyDescent="0.2">
      <c r="A1593" s="55" t="s">
        <v>677</v>
      </c>
      <c r="B1593" s="55" t="s">
        <v>678</v>
      </c>
      <c r="C1593" s="56" t="s">
        <v>0</v>
      </c>
      <c r="H1593" s="57" t="s">
        <v>27</v>
      </c>
      <c r="I1593" s="249" t="s">
        <v>1007</v>
      </c>
      <c r="J1593" s="58">
        <v>87.85</v>
      </c>
      <c r="K1593" s="58">
        <v>0.4</v>
      </c>
      <c r="L1593" s="58">
        <v>50</v>
      </c>
      <c r="M1593" s="58">
        <v>0.47</v>
      </c>
      <c r="N1593" s="58">
        <v>44</v>
      </c>
      <c r="O1593" s="58">
        <v>0.37</v>
      </c>
      <c r="P1593" s="4">
        <f t="shared" si="537"/>
        <v>0</v>
      </c>
      <c r="Q1593" s="58">
        <v>62</v>
      </c>
      <c r="R1593" s="58">
        <v>18.8</v>
      </c>
      <c r="S1593" s="58"/>
      <c r="T1593" s="58"/>
      <c r="U1593" s="58"/>
      <c r="V1593" s="58"/>
      <c r="W1593" s="58"/>
      <c r="X1593" s="58"/>
      <c r="Y1593" s="58"/>
      <c r="Z1593" s="58"/>
      <c r="AA1593" s="58"/>
      <c r="AB1593" s="58"/>
      <c r="AI1593" s="23"/>
      <c r="AN1593" s="23"/>
    </row>
    <row r="1594" spans="1:50" ht="15" customHeight="1" x14ac:dyDescent="0.2">
      <c r="A1594" s="24" t="s">
        <v>677</v>
      </c>
      <c r="B1594" s="24" t="s">
        <v>678</v>
      </c>
      <c r="C1594" s="2" t="s">
        <v>0</v>
      </c>
      <c r="H1594" s="57" t="s">
        <v>27</v>
      </c>
      <c r="I1594" s="243" t="s">
        <v>1010</v>
      </c>
      <c r="J1594" s="3">
        <v>85.3</v>
      </c>
      <c r="K1594" s="3">
        <v>1.8</v>
      </c>
      <c r="L1594" s="3">
        <v>64</v>
      </c>
      <c r="M1594" s="3">
        <v>1.7</v>
      </c>
      <c r="N1594" s="3">
        <v>54</v>
      </c>
      <c r="P1594" s="4">
        <f t="shared" si="537"/>
        <v>0</v>
      </c>
      <c r="R1594" s="3">
        <v>20</v>
      </c>
      <c r="AI1594" s="23"/>
      <c r="AN1594" s="23"/>
    </row>
    <row r="1595" spans="1:50" ht="15" customHeight="1" x14ac:dyDescent="0.2">
      <c r="A1595" s="24" t="s">
        <v>677</v>
      </c>
      <c r="B1595" s="24" t="s">
        <v>678</v>
      </c>
      <c r="C1595" s="2" t="s">
        <v>0</v>
      </c>
      <c r="H1595" s="57" t="s">
        <v>27</v>
      </c>
      <c r="I1595" s="243" t="s">
        <v>1010</v>
      </c>
      <c r="J1595" s="3">
        <v>88.6</v>
      </c>
      <c r="K1595" s="3">
        <v>1.3</v>
      </c>
      <c r="L1595" s="3">
        <v>56</v>
      </c>
      <c r="M1595" s="3">
        <v>1.1000000000000001</v>
      </c>
      <c r="N1595" s="3">
        <v>44</v>
      </c>
      <c r="P1595" s="4">
        <f t="shared" si="537"/>
        <v>0</v>
      </c>
      <c r="R1595" s="3">
        <v>26</v>
      </c>
      <c r="AI1595" s="23"/>
      <c r="AN1595" s="23"/>
    </row>
    <row r="1596" spans="1:50" s="71" customFormat="1" ht="15" customHeight="1" x14ac:dyDescent="0.2">
      <c r="A1596" s="70" t="s">
        <v>677</v>
      </c>
      <c r="B1596" s="70" t="s">
        <v>678</v>
      </c>
      <c r="C1596" s="71" t="s">
        <v>680</v>
      </c>
      <c r="D1596" s="71" t="s">
        <v>56</v>
      </c>
      <c r="E1596" s="71" t="s">
        <v>42</v>
      </c>
      <c r="F1596" s="71" t="s">
        <v>784</v>
      </c>
      <c r="H1596" s="71" t="s">
        <v>27</v>
      </c>
      <c r="I1596" s="87"/>
      <c r="J1596" s="72">
        <f t="shared" ref="J1596" si="538">AVERAGE(J1591:J1595)</f>
        <v>86.75</v>
      </c>
      <c r="K1596" s="72">
        <f t="shared" ref="K1596:S1596" si="539">AVERAGE(K1591:K1595)</f>
        <v>1.7</v>
      </c>
      <c r="L1596" s="72">
        <f t="shared" si="539"/>
        <v>60</v>
      </c>
      <c r="M1596" s="72">
        <f t="shared" si="539"/>
        <v>1.0539999999999998</v>
      </c>
      <c r="N1596" s="72">
        <f t="shared" si="539"/>
        <v>51.6</v>
      </c>
      <c r="O1596" s="72">
        <f t="shared" si="539"/>
        <v>0.33666666666666667</v>
      </c>
      <c r="P1596" s="72">
        <f t="shared" si="539"/>
        <v>0</v>
      </c>
      <c r="Q1596" s="72">
        <f t="shared" si="539"/>
        <v>56</v>
      </c>
      <c r="R1596" s="72">
        <f t="shared" si="539"/>
        <v>26.160000000000004</v>
      </c>
      <c r="S1596" s="72">
        <f t="shared" si="539"/>
        <v>0.49</v>
      </c>
      <c r="T1596" s="72"/>
      <c r="U1596" s="72"/>
      <c r="V1596" s="72"/>
      <c r="W1596" s="72"/>
      <c r="X1596" s="72"/>
      <c r="Y1596" s="72"/>
      <c r="Z1596" s="72"/>
      <c r="AA1596" s="72"/>
      <c r="AB1596" s="72"/>
      <c r="AC1596" s="73"/>
      <c r="AD1596" s="73"/>
      <c r="AE1596" s="73"/>
      <c r="AF1596" s="73"/>
      <c r="AG1596" s="73"/>
      <c r="AH1596" s="73"/>
      <c r="AI1596" s="73"/>
      <c r="AJ1596" s="73"/>
      <c r="AK1596" s="73"/>
      <c r="AL1596" s="73"/>
      <c r="AM1596" s="73"/>
      <c r="AN1596" s="73"/>
      <c r="AO1596" s="73"/>
      <c r="AP1596" s="73"/>
      <c r="AQ1596" s="73"/>
      <c r="AR1596" s="73"/>
      <c r="AS1596" s="73"/>
      <c r="AT1596" s="73"/>
      <c r="AU1596" s="73"/>
      <c r="AV1596" s="73"/>
      <c r="AW1596" s="73"/>
      <c r="AX1596" s="73"/>
    </row>
    <row r="1597" spans="1:50" ht="15" customHeight="1" x14ac:dyDescent="0.2">
      <c r="A1597" s="55" t="s">
        <v>677</v>
      </c>
      <c r="B1597" s="55" t="s">
        <v>678</v>
      </c>
      <c r="C1597" s="56" t="s">
        <v>0</v>
      </c>
      <c r="F1597" s="57"/>
      <c r="G1597" s="57"/>
      <c r="H1597" s="57" t="s">
        <v>37</v>
      </c>
      <c r="I1597" s="249" t="s">
        <v>1007</v>
      </c>
      <c r="J1597" s="58">
        <v>77.2</v>
      </c>
      <c r="K1597" s="58">
        <v>5</v>
      </c>
      <c r="L1597" s="58">
        <v>126</v>
      </c>
      <c r="M1597" s="58">
        <v>1.1000000000000001</v>
      </c>
      <c r="N1597" s="58">
        <v>51</v>
      </c>
      <c r="O1597" s="58">
        <v>1.01</v>
      </c>
      <c r="P1597" s="4">
        <f t="shared" ref="P1597:P1599" si="540">AN1597</f>
        <v>0</v>
      </c>
      <c r="Q1597" s="58">
        <v>168</v>
      </c>
      <c r="R1597" s="58">
        <v>2.5</v>
      </c>
      <c r="S1597" s="58"/>
      <c r="T1597" s="58"/>
      <c r="U1597" s="58"/>
      <c r="V1597" s="58"/>
      <c r="W1597" s="58"/>
      <c r="X1597" s="58"/>
      <c r="Y1597" s="58"/>
      <c r="Z1597" s="58"/>
      <c r="AA1597" s="58"/>
      <c r="AB1597" s="58"/>
      <c r="AI1597" s="23"/>
      <c r="AN1597" s="23"/>
    </row>
    <row r="1598" spans="1:50" ht="15" customHeight="1" x14ac:dyDescent="0.2">
      <c r="A1598" s="24" t="s">
        <v>677</v>
      </c>
      <c r="B1598" s="24" t="s">
        <v>678</v>
      </c>
      <c r="F1598" s="57"/>
      <c r="G1598" s="57"/>
      <c r="H1598" s="57" t="s">
        <v>37</v>
      </c>
      <c r="I1598" s="243" t="s">
        <v>1005</v>
      </c>
      <c r="J1598" s="3">
        <v>77.2</v>
      </c>
      <c r="K1598" s="3">
        <v>5</v>
      </c>
      <c r="L1598" s="3">
        <v>126</v>
      </c>
      <c r="M1598" s="3">
        <v>1.1000000000000001</v>
      </c>
      <c r="N1598" s="3">
        <v>51</v>
      </c>
      <c r="O1598" s="3">
        <v>1</v>
      </c>
      <c r="P1598" s="4">
        <f t="shared" si="540"/>
        <v>0</v>
      </c>
      <c r="Q1598" s="3">
        <v>168</v>
      </c>
      <c r="R1598" s="3">
        <v>2.5</v>
      </c>
      <c r="AI1598" s="23"/>
      <c r="AN1598" s="23"/>
    </row>
    <row r="1599" spans="1:50" ht="15" customHeight="1" x14ac:dyDescent="0.2">
      <c r="A1599" s="24" t="s">
        <v>677</v>
      </c>
      <c r="B1599" s="24" t="s">
        <v>678</v>
      </c>
      <c r="F1599" s="57"/>
      <c r="G1599" s="57"/>
      <c r="H1599" s="57" t="s">
        <v>37</v>
      </c>
      <c r="I1599" s="243" t="s">
        <v>1010</v>
      </c>
      <c r="J1599" s="3">
        <v>66.8</v>
      </c>
      <c r="K1599" s="3">
        <v>1.8</v>
      </c>
      <c r="L1599" s="3">
        <v>29</v>
      </c>
      <c r="M1599" s="3">
        <v>2.1</v>
      </c>
      <c r="N1599" s="36">
        <v>51</v>
      </c>
      <c r="P1599" s="4">
        <f t="shared" si="540"/>
        <v>0</v>
      </c>
      <c r="R1599" s="3">
        <v>29</v>
      </c>
      <c r="X1599" s="36"/>
      <c r="AI1599" s="23"/>
      <c r="AN1599" s="23"/>
    </row>
    <row r="1600" spans="1:50" s="71" customFormat="1" ht="15" customHeight="1" x14ac:dyDescent="0.2">
      <c r="A1600" s="70" t="s">
        <v>677</v>
      </c>
      <c r="B1600" s="70" t="s">
        <v>678</v>
      </c>
      <c r="C1600" s="71" t="s">
        <v>679</v>
      </c>
      <c r="D1600" s="71" t="s">
        <v>56</v>
      </c>
      <c r="E1600" s="71" t="s">
        <v>42</v>
      </c>
      <c r="F1600" s="71" t="s">
        <v>784</v>
      </c>
      <c r="H1600" s="71" t="s">
        <v>37</v>
      </c>
      <c r="I1600" s="87"/>
      <c r="J1600" s="72">
        <f t="shared" ref="J1600" si="541">AVERAGE(J1597:J1599)</f>
        <v>73.733333333333334</v>
      </c>
      <c r="K1600" s="72">
        <f t="shared" ref="K1600:R1600" si="542">AVERAGE(K1597:K1599)</f>
        <v>3.9333333333333336</v>
      </c>
      <c r="L1600" s="72">
        <f t="shared" si="542"/>
        <v>93.666666666666671</v>
      </c>
      <c r="M1600" s="72">
        <f t="shared" si="542"/>
        <v>1.4333333333333336</v>
      </c>
      <c r="N1600" s="72">
        <f t="shared" si="542"/>
        <v>51</v>
      </c>
      <c r="O1600" s="72">
        <f t="shared" si="542"/>
        <v>1.0049999999999999</v>
      </c>
      <c r="P1600" s="72">
        <f t="shared" si="542"/>
        <v>0</v>
      </c>
      <c r="Q1600" s="72">
        <f t="shared" si="542"/>
        <v>168</v>
      </c>
      <c r="R1600" s="72">
        <f t="shared" si="542"/>
        <v>11.333333333333334</v>
      </c>
      <c r="S1600" s="72"/>
      <c r="T1600" s="72"/>
      <c r="U1600" s="72"/>
      <c r="V1600" s="72"/>
      <c r="W1600" s="72"/>
      <c r="X1600" s="72"/>
      <c r="Y1600" s="72"/>
      <c r="Z1600" s="72"/>
      <c r="AA1600" s="72"/>
      <c r="AB1600" s="72"/>
      <c r="AC1600" s="73"/>
      <c r="AD1600" s="73"/>
      <c r="AE1600" s="73"/>
      <c r="AF1600" s="73"/>
      <c r="AG1600" s="73"/>
      <c r="AH1600" s="73"/>
      <c r="AI1600" s="73"/>
      <c r="AJ1600" s="73"/>
      <c r="AK1600" s="73"/>
      <c r="AL1600" s="73"/>
      <c r="AM1600" s="73"/>
      <c r="AN1600" s="73"/>
      <c r="AO1600" s="73"/>
      <c r="AP1600" s="73"/>
      <c r="AQ1600" s="73"/>
      <c r="AR1600" s="73"/>
      <c r="AS1600" s="73"/>
      <c r="AT1600" s="73"/>
      <c r="AU1600" s="73"/>
      <c r="AV1600" s="73"/>
      <c r="AW1600" s="73"/>
      <c r="AX1600" s="73"/>
    </row>
    <row r="1601" spans="1:50" ht="15" customHeight="1" x14ac:dyDescent="0.2">
      <c r="A1601" s="55" t="s">
        <v>681</v>
      </c>
      <c r="B1601" s="55" t="s">
        <v>682</v>
      </c>
      <c r="C1601" s="56" t="s">
        <v>0</v>
      </c>
      <c r="F1601" s="57"/>
      <c r="G1601" s="57"/>
      <c r="H1601" s="57" t="s">
        <v>33</v>
      </c>
      <c r="I1601" s="249" t="s">
        <v>1007</v>
      </c>
      <c r="J1601" s="58">
        <v>73.319999999999993</v>
      </c>
      <c r="K1601" s="58">
        <v>11</v>
      </c>
      <c r="L1601" s="58">
        <v>363</v>
      </c>
      <c r="M1601" s="58">
        <v>2.63</v>
      </c>
      <c r="N1601" s="58">
        <v>95</v>
      </c>
      <c r="O1601" s="58">
        <v>0.67</v>
      </c>
      <c r="P1601" s="4">
        <f t="shared" ref="P1601:P1602" si="543">AN1601</f>
        <v>0</v>
      </c>
      <c r="Q1601" s="58">
        <v>83</v>
      </c>
      <c r="R1601" s="58">
        <v>11.1</v>
      </c>
      <c r="S1601" s="58">
        <v>2</v>
      </c>
      <c r="T1601" s="58"/>
      <c r="U1601" s="58"/>
      <c r="V1601" s="58"/>
      <c r="W1601" s="58"/>
      <c r="X1601" s="58"/>
      <c r="Y1601" s="58"/>
      <c r="Z1601" s="58"/>
      <c r="AA1601" s="58"/>
      <c r="AB1601" s="58"/>
      <c r="AI1601" s="23"/>
      <c r="AN1601" s="23"/>
    </row>
    <row r="1602" spans="1:50" ht="15" customHeight="1" x14ac:dyDescent="0.2">
      <c r="A1602" s="24" t="s">
        <v>681</v>
      </c>
      <c r="B1602" s="24" t="s">
        <v>682</v>
      </c>
      <c r="H1602" s="2" t="s">
        <v>33</v>
      </c>
      <c r="I1602" s="243" t="s">
        <v>1030</v>
      </c>
      <c r="N1602" s="3">
        <v>95</v>
      </c>
      <c r="P1602" s="4">
        <f t="shared" si="543"/>
        <v>0</v>
      </c>
      <c r="AN1602" s="23"/>
    </row>
    <row r="1603" spans="1:50" s="71" customFormat="1" ht="15" customHeight="1" x14ac:dyDescent="0.2">
      <c r="A1603" s="70" t="s">
        <v>681</v>
      </c>
      <c r="B1603" s="70" t="s">
        <v>682</v>
      </c>
      <c r="C1603" s="71" t="s">
        <v>683</v>
      </c>
      <c r="D1603" s="71" t="s">
        <v>31</v>
      </c>
      <c r="E1603" s="71" t="s">
        <v>42</v>
      </c>
      <c r="F1603" s="71" t="s">
        <v>32</v>
      </c>
      <c r="H1603" s="71" t="s">
        <v>33</v>
      </c>
      <c r="I1603" s="87"/>
      <c r="J1603" s="72">
        <f t="shared" ref="J1603:S1603" si="544">AVERAGE(J1601:J1602)</f>
        <v>73.319999999999993</v>
      </c>
      <c r="K1603" s="72">
        <f t="shared" si="544"/>
        <v>11</v>
      </c>
      <c r="L1603" s="72">
        <f t="shared" si="544"/>
        <v>363</v>
      </c>
      <c r="M1603" s="72">
        <f t="shared" si="544"/>
        <v>2.63</v>
      </c>
      <c r="N1603" s="72">
        <f t="shared" si="544"/>
        <v>95</v>
      </c>
      <c r="O1603" s="72">
        <f t="shared" si="544"/>
        <v>0.67</v>
      </c>
      <c r="P1603" s="72">
        <f t="shared" si="544"/>
        <v>0</v>
      </c>
      <c r="Q1603" s="72">
        <f t="shared" si="544"/>
        <v>83</v>
      </c>
      <c r="R1603" s="72">
        <f t="shared" si="544"/>
        <v>11.1</v>
      </c>
      <c r="S1603" s="72">
        <f t="shared" si="544"/>
        <v>2</v>
      </c>
      <c r="T1603" s="72"/>
      <c r="U1603" s="72"/>
      <c r="V1603" s="72"/>
      <c r="W1603" s="72"/>
      <c r="X1603" s="72"/>
      <c r="Y1603" s="72"/>
      <c r="Z1603" s="72"/>
      <c r="AA1603" s="72"/>
      <c r="AB1603" s="72"/>
      <c r="AC1603" s="73"/>
      <c r="AD1603" s="73"/>
      <c r="AE1603" s="73"/>
      <c r="AF1603" s="73"/>
      <c r="AG1603" s="73"/>
      <c r="AH1603" s="73"/>
      <c r="AI1603" s="73"/>
      <c r="AJ1603" s="73"/>
      <c r="AK1603" s="73"/>
      <c r="AL1603" s="73"/>
      <c r="AM1603" s="73"/>
      <c r="AN1603" s="73"/>
      <c r="AO1603" s="73"/>
      <c r="AP1603" s="73"/>
      <c r="AQ1603" s="73"/>
      <c r="AR1603" s="73"/>
      <c r="AS1603" s="73"/>
      <c r="AT1603" s="73"/>
      <c r="AU1603" s="73"/>
      <c r="AV1603" s="73"/>
      <c r="AW1603" s="73"/>
      <c r="AX1603" s="73"/>
    </row>
    <row r="1604" spans="1:50" s="22" customFormat="1" ht="15" customHeight="1" x14ac:dyDescent="0.2">
      <c r="A1604" s="21" t="s">
        <v>918</v>
      </c>
      <c r="B1604" s="21" t="s">
        <v>919</v>
      </c>
      <c r="D1604" s="2"/>
      <c r="E1604" s="2"/>
      <c r="F1604" s="22" t="s">
        <v>0</v>
      </c>
      <c r="H1604" s="22" t="s">
        <v>187</v>
      </c>
      <c r="I1604" s="65" t="s">
        <v>1038</v>
      </c>
      <c r="J1604" s="4"/>
      <c r="K1604" s="4"/>
      <c r="L1604" s="4">
        <v>15</v>
      </c>
      <c r="M1604" s="4">
        <v>39</v>
      </c>
      <c r="N1604" s="4">
        <v>9</v>
      </c>
      <c r="O1604" s="4"/>
      <c r="P1604" s="4"/>
      <c r="Q1604" s="4"/>
      <c r="R1604" s="4"/>
      <c r="S1604" s="4"/>
      <c r="T1604" s="4"/>
      <c r="U1604" s="4"/>
      <c r="V1604" s="4"/>
      <c r="W1604" s="4"/>
      <c r="X1604" s="4"/>
      <c r="Y1604" s="4"/>
      <c r="Z1604" s="4"/>
      <c r="AA1604" s="4"/>
      <c r="AB1604" s="4"/>
      <c r="AC1604" s="23"/>
      <c r="AD1604" s="23"/>
      <c r="AE1604" s="23"/>
      <c r="AF1604" s="23"/>
      <c r="AG1604" s="23"/>
      <c r="AH1604" s="23"/>
      <c r="AI1604" s="23"/>
      <c r="AJ1604" s="23"/>
      <c r="AK1604" s="23"/>
      <c r="AL1604" s="23"/>
      <c r="AM1604" s="23"/>
      <c r="AN1604" s="23"/>
      <c r="AO1604" s="23"/>
      <c r="AP1604" s="23"/>
      <c r="AQ1604" s="23"/>
      <c r="AR1604" s="23"/>
      <c r="AS1604" s="23"/>
      <c r="AT1604" s="23"/>
      <c r="AU1604" s="23"/>
      <c r="AV1604" s="23"/>
      <c r="AW1604" s="23"/>
      <c r="AX1604" s="23"/>
    </row>
    <row r="1605" spans="1:50" s="71" customFormat="1" ht="15" customHeight="1" x14ac:dyDescent="0.2">
      <c r="A1605" s="70" t="s">
        <v>918</v>
      </c>
      <c r="B1605" s="70" t="s">
        <v>919</v>
      </c>
      <c r="C1605" s="71" t="s">
        <v>920</v>
      </c>
      <c r="D1605" s="71" t="s">
        <v>31</v>
      </c>
      <c r="E1605" s="71" t="s">
        <v>46</v>
      </c>
      <c r="F1605" s="71" t="s">
        <v>782</v>
      </c>
      <c r="H1605" s="71" t="s">
        <v>286</v>
      </c>
      <c r="I1605" s="87"/>
      <c r="J1605" s="72"/>
      <c r="K1605" s="72"/>
      <c r="L1605" s="72">
        <f>L1604</f>
        <v>15</v>
      </c>
      <c r="M1605" s="72">
        <f>M1604</f>
        <v>39</v>
      </c>
      <c r="N1605" s="72">
        <f>N1604</f>
        <v>9</v>
      </c>
      <c r="O1605" s="72"/>
      <c r="P1605" s="72"/>
      <c r="Q1605" s="72"/>
      <c r="R1605" s="72"/>
      <c r="S1605" s="72"/>
      <c r="T1605" s="72"/>
      <c r="U1605" s="72"/>
      <c r="V1605" s="72"/>
      <c r="W1605" s="72"/>
      <c r="X1605" s="72"/>
      <c r="Y1605" s="72"/>
      <c r="Z1605" s="72"/>
      <c r="AA1605" s="72"/>
      <c r="AB1605" s="72"/>
      <c r="AC1605" s="73"/>
      <c r="AD1605" s="73"/>
      <c r="AE1605" s="73"/>
      <c r="AF1605" s="73"/>
      <c r="AG1605" s="73"/>
      <c r="AH1605" s="73"/>
      <c r="AI1605" s="73"/>
      <c r="AJ1605" s="73"/>
      <c r="AK1605" s="73"/>
      <c r="AL1605" s="73"/>
      <c r="AM1605" s="73"/>
      <c r="AN1605" s="73"/>
      <c r="AO1605" s="73"/>
      <c r="AP1605" s="73"/>
      <c r="AQ1605" s="73"/>
      <c r="AR1605" s="73"/>
      <c r="AS1605" s="73"/>
      <c r="AT1605" s="73"/>
      <c r="AU1605" s="73"/>
      <c r="AV1605" s="73"/>
      <c r="AW1605" s="73"/>
      <c r="AX1605" s="73"/>
    </row>
    <row r="1606" spans="1:50" ht="15" customHeight="1" x14ac:dyDescent="0.2">
      <c r="A1606" s="24" t="s">
        <v>684</v>
      </c>
      <c r="B1606" s="24" t="s">
        <v>685</v>
      </c>
      <c r="H1606" s="2" t="s">
        <v>33</v>
      </c>
      <c r="I1606" s="243" t="s">
        <v>1039</v>
      </c>
      <c r="J1606" s="3">
        <v>87</v>
      </c>
      <c r="K1606" s="3">
        <v>2</v>
      </c>
      <c r="L1606" s="3">
        <v>95</v>
      </c>
      <c r="M1606" s="3">
        <v>1.2</v>
      </c>
      <c r="P1606" s="4" t="s">
        <v>0</v>
      </c>
      <c r="R1606" s="3">
        <v>37</v>
      </c>
    </row>
    <row r="1607" spans="1:50" ht="15" customHeight="1" x14ac:dyDescent="0.2">
      <c r="A1607" s="24" t="s">
        <v>684</v>
      </c>
      <c r="B1607" s="24" t="s">
        <v>685</v>
      </c>
      <c r="C1607" s="2" t="s">
        <v>0</v>
      </c>
      <c r="H1607" s="2" t="s">
        <v>33</v>
      </c>
      <c r="I1607" s="243" t="s">
        <v>1027</v>
      </c>
      <c r="J1607" s="3">
        <f>100-12.3</f>
        <v>87.7</v>
      </c>
      <c r="L1607" s="3">
        <v>318</v>
      </c>
      <c r="M1607" s="3">
        <v>6.42</v>
      </c>
      <c r="N1607" s="3">
        <v>55</v>
      </c>
      <c r="O1607" s="3">
        <v>0.56999999999999995</v>
      </c>
      <c r="P1607" s="4" t="s">
        <v>0</v>
      </c>
    </row>
    <row r="1608" spans="1:50" ht="15" customHeight="1" x14ac:dyDescent="0.2">
      <c r="A1608" s="24" t="s">
        <v>684</v>
      </c>
      <c r="B1608" s="24" t="s">
        <v>685</v>
      </c>
      <c r="C1608" s="2" t="s">
        <v>0</v>
      </c>
      <c r="H1608" s="2" t="s">
        <v>33</v>
      </c>
      <c r="I1608" s="243" t="s">
        <v>1027</v>
      </c>
      <c r="J1608" s="3">
        <f>100-10.4</f>
        <v>89.6</v>
      </c>
      <c r="L1608" s="3">
        <v>372</v>
      </c>
      <c r="M1608" s="3">
        <v>2.58</v>
      </c>
      <c r="N1608" s="3">
        <v>104</v>
      </c>
      <c r="O1608" s="3">
        <v>0.34</v>
      </c>
      <c r="P1608" s="4" t="s">
        <v>0</v>
      </c>
    </row>
    <row r="1609" spans="1:50" ht="15" customHeight="1" x14ac:dyDescent="0.2">
      <c r="A1609" s="24" t="s">
        <v>684</v>
      </c>
      <c r="B1609" s="24" t="s">
        <v>685</v>
      </c>
      <c r="C1609" s="2" t="s">
        <v>0</v>
      </c>
      <c r="H1609" s="2" t="s">
        <v>33</v>
      </c>
      <c r="I1609" s="243" t="s">
        <v>1027</v>
      </c>
      <c r="J1609" s="3">
        <f>100-11</f>
        <v>89</v>
      </c>
      <c r="L1609" s="3">
        <v>280</v>
      </c>
      <c r="M1609" s="3">
        <v>0.66</v>
      </c>
      <c r="N1609" s="3">
        <v>53</v>
      </c>
      <c r="O1609" s="3">
        <v>0.32</v>
      </c>
      <c r="P1609" s="4" t="s">
        <v>0</v>
      </c>
    </row>
    <row r="1610" spans="1:50" ht="17" x14ac:dyDescent="0.2">
      <c r="A1610" s="24" t="s">
        <v>684</v>
      </c>
      <c r="B1610" s="24" t="s">
        <v>685</v>
      </c>
      <c r="C1610" s="2" t="s">
        <v>0</v>
      </c>
      <c r="H1610" s="2" t="s">
        <v>33</v>
      </c>
      <c r="I1610" s="243" t="s">
        <v>1040</v>
      </c>
      <c r="K1610" s="3">
        <v>4.5</v>
      </c>
      <c r="L1610" s="3">
        <v>141</v>
      </c>
      <c r="M1610" s="3">
        <v>1.9</v>
      </c>
      <c r="P1610" s="4" t="s">
        <v>0</v>
      </c>
      <c r="R1610" s="3">
        <v>17.899999999999999</v>
      </c>
    </row>
    <row r="1611" spans="1:50" ht="15" customHeight="1" x14ac:dyDescent="0.2">
      <c r="A1611" s="24" t="s">
        <v>684</v>
      </c>
      <c r="B1611" s="24" t="s">
        <v>686</v>
      </c>
      <c r="H1611" s="2" t="s">
        <v>33</v>
      </c>
      <c r="I1611" s="243" t="s">
        <v>1006</v>
      </c>
      <c r="J1611" s="3">
        <v>90</v>
      </c>
      <c r="K1611" s="3">
        <v>1.5755999999999997</v>
      </c>
      <c r="L1611" s="3" t="s">
        <v>55</v>
      </c>
      <c r="M1611" s="3" t="s">
        <v>55</v>
      </c>
      <c r="P1611" s="4" t="s">
        <v>0</v>
      </c>
      <c r="R1611" s="3" t="s">
        <v>55</v>
      </c>
    </row>
    <row r="1612" spans="1:50" ht="15" customHeight="1" x14ac:dyDescent="0.2">
      <c r="A1612" s="24" t="s">
        <v>684</v>
      </c>
      <c r="B1612" s="24" t="s">
        <v>686</v>
      </c>
      <c r="H1612" s="2" t="s">
        <v>33</v>
      </c>
      <c r="I1612" s="243" t="s">
        <v>1010</v>
      </c>
      <c r="J1612" s="3">
        <v>89.9</v>
      </c>
      <c r="K1612" s="3">
        <v>2.1</v>
      </c>
      <c r="L1612" s="3">
        <v>95</v>
      </c>
      <c r="M1612" s="3">
        <v>2</v>
      </c>
      <c r="P1612" s="4" t="s">
        <v>0</v>
      </c>
      <c r="R1612" s="3">
        <v>37</v>
      </c>
    </row>
    <row r="1613" spans="1:50" s="71" customFormat="1" ht="15" customHeight="1" x14ac:dyDescent="0.2">
      <c r="A1613" s="70" t="s">
        <v>684</v>
      </c>
      <c r="B1613" s="70" t="s">
        <v>686</v>
      </c>
      <c r="C1613" s="71" t="s">
        <v>687</v>
      </c>
      <c r="D1613" s="71" t="s">
        <v>31</v>
      </c>
      <c r="E1613" s="71" t="s">
        <v>46</v>
      </c>
      <c r="F1613" s="78" t="s">
        <v>782</v>
      </c>
      <c r="H1613" s="71" t="s">
        <v>33</v>
      </c>
      <c r="I1613" s="87"/>
      <c r="J1613" s="72">
        <f t="shared" ref="J1613:O1613" si="545">AVERAGE(J1606:J1612)</f>
        <v>88.86666666666666</v>
      </c>
      <c r="K1613" s="72">
        <f t="shared" si="545"/>
        <v>2.5438999999999998</v>
      </c>
      <c r="L1613" s="72">
        <f t="shared" si="545"/>
        <v>216.83333333333334</v>
      </c>
      <c r="M1613" s="72">
        <f t="shared" si="545"/>
        <v>2.46</v>
      </c>
      <c r="N1613" s="72">
        <f t="shared" si="545"/>
        <v>70.666666666666671</v>
      </c>
      <c r="O1613" s="72">
        <f t="shared" si="545"/>
        <v>0.41</v>
      </c>
      <c r="P1613" s="72"/>
      <c r="Q1613" s="72"/>
      <c r="R1613" s="72">
        <f>AVERAGE(R1606:R1612)</f>
        <v>30.633333333333336</v>
      </c>
      <c r="S1613" s="72"/>
      <c r="T1613" s="72"/>
      <c r="U1613" s="72"/>
      <c r="V1613" s="72"/>
      <c r="W1613" s="72"/>
      <c r="X1613" s="72"/>
      <c r="Y1613" s="72"/>
      <c r="Z1613" s="72"/>
      <c r="AA1613" s="72"/>
      <c r="AB1613" s="72"/>
      <c r="AC1613" s="73"/>
      <c r="AD1613" s="73"/>
      <c r="AE1613" s="73"/>
      <c r="AF1613" s="73"/>
      <c r="AG1613" s="73"/>
      <c r="AH1613" s="73"/>
      <c r="AI1613" s="73"/>
      <c r="AJ1613" s="73"/>
      <c r="AK1613" s="73"/>
      <c r="AL1613" s="73"/>
      <c r="AM1613" s="73"/>
      <c r="AN1613" s="73"/>
      <c r="AO1613" s="73"/>
      <c r="AP1613" s="73"/>
      <c r="AQ1613" s="73"/>
      <c r="AR1613" s="73"/>
      <c r="AS1613" s="73"/>
      <c r="AT1613" s="73"/>
      <c r="AU1613" s="73"/>
      <c r="AV1613" s="73"/>
      <c r="AW1613" s="73"/>
      <c r="AX1613" s="73"/>
    </row>
    <row r="1614" spans="1:50" ht="15" customHeight="1" x14ac:dyDescent="0.2">
      <c r="A1614" s="24" t="s">
        <v>684</v>
      </c>
      <c r="B1614" s="24" t="s">
        <v>686</v>
      </c>
      <c r="H1614" s="2" t="s">
        <v>33</v>
      </c>
      <c r="I1614" s="243" t="s">
        <v>1010</v>
      </c>
      <c r="J1614" s="3">
        <v>89.5</v>
      </c>
      <c r="K1614" s="3">
        <v>3.2</v>
      </c>
      <c r="L1614" s="3">
        <v>49</v>
      </c>
      <c r="M1614" s="3">
        <v>0.3</v>
      </c>
      <c r="P1614" s="4">
        <f t="shared" ref="P1614:P1615" si="546">AN1614</f>
        <v>0</v>
      </c>
      <c r="R1614" s="3">
        <v>49</v>
      </c>
      <c r="AI1614" s="23"/>
      <c r="AN1614" s="23"/>
    </row>
    <row r="1615" spans="1:50" ht="15" customHeight="1" x14ac:dyDescent="0.2">
      <c r="A1615" s="24" t="s">
        <v>684</v>
      </c>
      <c r="B1615" s="24" t="s">
        <v>686</v>
      </c>
      <c r="H1615" s="2" t="s">
        <v>33</v>
      </c>
      <c r="I1615" s="243" t="s">
        <v>1006</v>
      </c>
      <c r="J1615" s="3">
        <v>90</v>
      </c>
      <c r="K1615" s="3">
        <v>0.29399999999999993</v>
      </c>
      <c r="L1615" s="3">
        <v>4.7144999999999992</v>
      </c>
      <c r="M1615" s="3">
        <v>0.26249999999999996</v>
      </c>
      <c r="P1615" s="4">
        <f t="shared" si="546"/>
        <v>0</v>
      </c>
      <c r="R1615" s="3">
        <v>2.3624999999999998</v>
      </c>
      <c r="AE1615" s="23"/>
      <c r="AN1615" s="23"/>
    </row>
    <row r="1616" spans="1:50" s="71" customFormat="1" ht="15" customHeight="1" x14ac:dyDescent="0.2">
      <c r="A1616" s="70" t="s">
        <v>684</v>
      </c>
      <c r="B1616" s="70" t="s">
        <v>686</v>
      </c>
      <c r="C1616" s="71" t="s">
        <v>687</v>
      </c>
      <c r="D1616" s="71" t="s">
        <v>31</v>
      </c>
      <c r="E1616" s="71" t="s">
        <v>46</v>
      </c>
      <c r="F1616" s="78" t="s">
        <v>782</v>
      </c>
      <c r="H1616" s="71" t="s">
        <v>33</v>
      </c>
      <c r="I1616" s="87"/>
      <c r="J1616" s="72">
        <f t="shared" ref="J1616" si="547">AVERAGE(J1614:J1615)</f>
        <v>89.75</v>
      </c>
      <c r="K1616" s="72">
        <f>AVERAGE(K1614:K1615)</f>
        <v>1.7470000000000001</v>
      </c>
      <c r="L1616" s="72">
        <f>AVERAGE(L1614:L1615)</f>
        <v>26.857250000000001</v>
      </c>
      <c r="M1616" s="72">
        <f>AVERAGE(M1614:M1615)</f>
        <v>0.28125</v>
      </c>
      <c r="N1616" s="72"/>
      <c r="O1616" s="72"/>
      <c r="P1616" s="72">
        <f>AVERAGE(P1614:P1615)</f>
        <v>0</v>
      </c>
      <c r="Q1616" s="72"/>
      <c r="R1616" s="72">
        <f>AVERAGE(R1614:R1615)</f>
        <v>25.681249999999999</v>
      </c>
      <c r="S1616" s="72"/>
      <c r="T1616" s="72"/>
      <c r="U1616" s="72"/>
      <c r="V1616" s="72"/>
      <c r="W1616" s="72"/>
      <c r="X1616" s="72"/>
      <c r="Y1616" s="72"/>
      <c r="Z1616" s="72"/>
      <c r="AA1616" s="72"/>
      <c r="AB1616" s="72"/>
      <c r="AC1616" s="73"/>
      <c r="AD1616" s="73"/>
      <c r="AE1616" s="73"/>
      <c r="AF1616" s="73"/>
      <c r="AG1616" s="73"/>
      <c r="AH1616" s="73"/>
      <c r="AI1616" s="73"/>
      <c r="AJ1616" s="73"/>
      <c r="AK1616" s="73"/>
      <c r="AL1616" s="73"/>
      <c r="AM1616" s="73"/>
      <c r="AN1616" s="73"/>
      <c r="AO1616" s="73"/>
      <c r="AP1616" s="73"/>
      <c r="AQ1616" s="73"/>
      <c r="AR1616" s="73"/>
      <c r="AS1616" s="73"/>
      <c r="AT1616" s="73"/>
      <c r="AU1616" s="73"/>
      <c r="AV1616" s="73"/>
      <c r="AW1616" s="73"/>
      <c r="AX1616" s="73"/>
    </row>
    <row r="1617" spans="1:50" s="22" customFormat="1" ht="15" customHeight="1" x14ac:dyDescent="0.2">
      <c r="A1617" s="21" t="s">
        <v>749</v>
      </c>
      <c r="B1617" s="21" t="s">
        <v>893</v>
      </c>
      <c r="D1617" s="2"/>
      <c r="E1617" s="2"/>
      <c r="F1617" s="26"/>
      <c r="H1617" s="22" t="s">
        <v>286</v>
      </c>
      <c r="I1617" s="65" t="s">
        <v>1026</v>
      </c>
      <c r="J1617" s="4">
        <v>78.2</v>
      </c>
      <c r="K1617" s="4">
        <v>1.21</v>
      </c>
      <c r="L1617" s="4">
        <v>47</v>
      </c>
      <c r="M1617" s="4">
        <v>0.5</v>
      </c>
      <c r="N1617" s="4">
        <v>24</v>
      </c>
      <c r="O1617" s="4">
        <v>0.33</v>
      </c>
      <c r="P1617" s="4">
        <v>3.7999999999999999E-2</v>
      </c>
      <c r="Q1617" s="4">
        <v>0.9</v>
      </c>
      <c r="R1617" s="4">
        <v>15</v>
      </c>
      <c r="S1617" s="4"/>
      <c r="T1617" s="4"/>
      <c r="U1617" s="4"/>
      <c r="V1617" s="4"/>
      <c r="W1617" s="4"/>
      <c r="X1617" s="4"/>
      <c r="Y1617" s="4"/>
      <c r="Z1617" s="4"/>
      <c r="AA1617" s="4"/>
      <c r="AB1617" s="4"/>
      <c r="AC1617" s="23"/>
      <c r="AD1617" s="23"/>
      <c r="AE1617" s="23"/>
      <c r="AF1617" s="23"/>
      <c r="AG1617" s="23"/>
      <c r="AH1617" s="23"/>
      <c r="AI1617" s="23"/>
      <c r="AJ1617" s="23"/>
      <c r="AK1617" s="23"/>
      <c r="AL1617" s="23"/>
      <c r="AM1617" s="23"/>
      <c r="AN1617" s="23"/>
      <c r="AO1617" s="23"/>
      <c r="AP1617" s="23"/>
      <c r="AQ1617" s="23"/>
      <c r="AR1617" s="23"/>
      <c r="AS1617" s="23"/>
      <c r="AT1617" s="23"/>
      <c r="AU1617" s="23"/>
      <c r="AV1617" s="23"/>
      <c r="AW1617" s="23"/>
      <c r="AX1617" s="23"/>
    </row>
    <row r="1618" spans="1:50" s="22" customFormat="1" ht="15" customHeight="1" x14ac:dyDescent="0.2">
      <c r="A1618" s="21" t="s">
        <v>749</v>
      </c>
      <c r="B1618" s="21" t="s">
        <v>893</v>
      </c>
      <c r="D1618" s="2"/>
      <c r="E1618" s="2"/>
      <c r="F1618" s="26"/>
      <c r="H1618" s="22" t="s">
        <v>286</v>
      </c>
      <c r="I1618" s="65" t="s">
        <v>1026</v>
      </c>
      <c r="J1618" s="4">
        <v>68.7</v>
      </c>
      <c r="K1618" s="4">
        <v>1.06</v>
      </c>
      <c r="L1618" s="4">
        <v>15.53</v>
      </c>
      <c r="M1618" s="4">
        <v>0.27</v>
      </c>
      <c r="N1618" s="4">
        <v>21.35</v>
      </c>
      <c r="O1618" s="4">
        <v>0.34</v>
      </c>
      <c r="P1618" s="4">
        <f>0.97/1000</f>
        <v>9.6999999999999994E-4</v>
      </c>
      <c r="Q1618" s="4">
        <v>27.81</v>
      </c>
      <c r="R1618" s="4">
        <v>20.39</v>
      </c>
      <c r="S1618" s="4"/>
      <c r="T1618" s="4"/>
      <c r="U1618" s="4"/>
      <c r="V1618" s="4"/>
      <c r="W1618" s="4"/>
      <c r="X1618" s="4"/>
      <c r="Y1618" s="4"/>
      <c r="Z1618" s="4"/>
      <c r="AA1618" s="4"/>
      <c r="AB1618" s="4"/>
      <c r="AC1618" s="23"/>
      <c r="AD1618" s="23"/>
      <c r="AE1618" s="23"/>
      <c r="AF1618" s="23"/>
      <c r="AG1618" s="23"/>
      <c r="AH1618" s="23"/>
      <c r="AI1618" s="23"/>
      <c r="AJ1618" s="23"/>
      <c r="AK1618" s="23"/>
      <c r="AL1618" s="23"/>
      <c r="AM1618" s="23"/>
      <c r="AN1618" s="23"/>
      <c r="AO1618" s="23"/>
      <c r="AP1618" s="23"/>
      <c r="AQ1618" s="23"/>
      <c r="AR1618" s="23"/>
      <c r="AS1618" s="23"/>
      <c r="AT1618" s="23"/>
      <c r="AU1618" s="23"/>
      <c r="AV1618" s="23"/>
      <c r="AW1618" s="23"/>
      <c r="AX1618" s="23"/>
    </row>
    <row r="1619" spans="1:50" s="71" customFormat="1" ht="15" customHeight="1" x14ac:dyDescent="0.2">
      <c r="A1619" s="70" t="s">
        <v>749</v>
      </c>
      <c r="B1619" s="70" t="s">
        <v>893</v>
      </c>
      <c r="C1619" s="71" t="s">
        <v>752</v>
      </c>
      <c r="D1619" s="71" t="s">
        <v>31</v>
      </c>
      <c r="E1619" s="71" t="s">
        <v>32</v>
      </c>
      <c r="F1619" s="78" t="s">
        <v>888</v>
      </c>
      <c r="H1619" s="71" t="s">
        <v>751</v>
      </c>
      <c r="I1619" s="87"/>
      <c r="J1619" s="72">
        <f t="shared" ref="J1619:R1619" si="548">AVERAGE(J1617:J1618)</f>
        <v>73.45</v>
      </c>
      <c r="K1619" s="72">
        <f t="shared" si="548"/>
        <v>1.135</v>
      </c>
      <c r="L1619" s="72">
        <f t="shared" si="548"/>
        <v>31.265000000000001</v>
      </c>
      <c r="M1619" s="72">
        <f t="shared" si="548"/>
        <v>0.38500000000000001</v>
      </c>
      <c r="N1619" s="72">
        <f t="shared" si="548"/>
        <v>22.675000000000001</v>
      </c>
      <c r="O1619" s="72">
        <f t="shared" si="548"/>
        <v>0.33500000000000002</v>
      </c>
      <c r="P1619" s="72">
        <f t="shared" si="548"/>
        <v>1.9484999999999999E-2</v>
      </c>
      <c r="Q1619" s="72">
        <f t="shared" si="548"/>
        <v>14.354999999999999</v>
      </c>
      <c r="R1619" s="72">
        <f t="shared" si="548"/>
        <v>17.695</v>
      </c>
      <c r="S1619" s="72"/>
      <c r="T1619" s="72"/>
      <c r="U1619" s="72"/>
      <c r="V1619" s="72"/>
      <c r="W1619" s="72"/>
      <c r="X1619" s="72"/>
      <c r="Y1619" s="72"/>
      <c r="Z1619" s="72"/>
      <c r="AA1619" s="72"/>
      <c r="AB1619" s="72"/>
      <c r="AC1619" s="73"/>
      <c r="AD1619" s="73"/>
      <c r="AE1619" s="73"/>
      <c r="AF1619" s="73"/>
      <c r="AG1619" s="73"/>
      <c r="AH1619" s="73"/>
      <c r="AI1619" s="73"/>
      <c r="AJ1619" s="73"/>
      <c r="AK1619" s="73"/>
      <c r="AL1619" s="73"/>
      <c r="AM1619" s="73"/>
      <c r="AN1619" s="73"/>
      <c r="AO1619" s="73"/>
      <c r="AP1619" s="73"/>
      <c r="AQ1619" s="73"/>
      <c r="AR1619" s="73"/>
      <c r="AS1619" s="73"/>
      <c r="AT1619" s="73"/>
      <c r="AU1619" s="73"/>
      <c r="AV1619" s="73"/>
      <c r="AW1619" s="73"/>
      <c r="AX1619" s="73"/>
    </row>
    <row r="1620" spans="1:50" ht="51" x14ac:dyDescent="0.2">
      <c r="A1620" s="24" t="s">
        <v>749</v>
      </c>
      <c r="B1620" s="24" t="s">
        <v>750</v>
      </c>
      <c r="H1620" s="2" t="s">
        <v>751</v>
      </c>
      <c r="I1620" s="243" t="s">
        <v>1028</v>
      </c>
      <c r="J1620" s="3">
        <v>83.2</v>
      </c>
      <c r="L1620" s="3">
        <v>34</v>
      </c>
      <c r="M1620" s="3">
        <v>1.4</v>
      </c>
      <c r="P1620" s="4" t="s">
        <v>0</v>
      </c>
      <c r="R1620" s="3">
        <v>393</v>
      </c>
    </row>
    <row r="1621" spans="1:50" s="71" customFormat="1" ht="15" customHeight="1" x14ac:dyDescent="0.2">
      <c r="A1621" s="70" t="s">
        <v>749</v>
      </c>
      <c r="B1621" s="70" t="s">
        <v>750</v>
      </c>
      <c r="C1621" s="71" t="s">
        <v>752</v>
      </c>
      <c r="D1621" s="71" t="s">
        <v>31</v>
      </c>
      <c r="E1621" s="71" t="s">
        <v>32</v>
      </c>
      <c r="F1621" s="71" t="s">
        <v>888</v>
      </c>
      <c r="H1621" s="71" t="s">
        <v>751</v>
      </c>
      <c r="I1621" s="87"/>
      <c r="J1621" s="72">
        <f>J1620</f>
        <v>83.2</v>
      </c>
      <c r="K1621" s="72"/>
      <c r="L1621" s="72">
        <f>L1620</f>
        <v>34</v>
      </c>
      <c r="M1621" s="72">
        <f>M1620</f>
        <v>1.4</v>
      </c>
      <c r="N1621" s="72"/>
      <c r="O1621" s="72"/>
      <c r="P1621" s="72"/>
      <c r="Q1621" s="72"/>
      <c r="R1621" s="72">
        <f>R1620</f>
        <v>393</v>
      </c>
      <c r="S1621" s="72"/>
      <c r="T1621" s="72"/>
      <c r="U1621" s="72"/>
      <c r="V1621" s="72"/>
      <c r="W1621" s="72"/>
      <c r="X1621" s="72"/>
      <c r="Y1621" s="72"/>
      <c r="Z1621" s="72"/>
      <c r="AA1621" s="72"/>
      <c r="AB1621" s="72"/>
      <c r="AC1621" s="73"/>
      <c r="AD1621" s="73"/>
      <c r="AE1621" s="73"/>
      <c r="AF1621" s="73"/>
      <c r="AG1621" s="73"/>
      <c r="AH1621" s="73"/>
      <c r="AI1621" s="73"/>
      <c r="AJ1621" s="73"/>
      <c r="AK1621" s="73"/>
      <c r="AL1621" s="73"/>
      <c r="AM1621" s="73"/>
      <c r="AN1621" s="73"/>
      <c r="AO1621" s="73"/>
      <c r="AP1621" s="73"/>
      <c r="AQ1621" s="73"/>
      <c r="AR1621" s="73"/>
      <c r="AS1621" s="73"/>
      <c r="AT1621" s="73"/>
      <c r="AU1621" s="73"/>
      <c r="AV1621" s="73"/>
      <c r="AW1621" s="73"/>
      <c r="AX1621" s="73"/>
    </row>
    <row r="1622" spans="1:50" ht="15" customHeight="1" x14ac:dyDescent="0.2">
      <c r="A1622" s="55" t="s">
        <v>688</v>
      </c>
      <c r="B1622" s="55" t="s">
        <v>689</v>
      </c>
      <c r="C1622" s="56" t="s">
        <v>0</v>
      </c>
      <c r="F1622" s="57"/>
      <c r="G1622" s="57"/>
      <c r="H1622" s="57" t="s">
        <v>37</v>
      </c>
      <c r="I1622" s="249" t="s">
        <v>1007</v>
      </c>
      <c r="J1622" s="58">
        <v>75.959999999999994</v>
      </c>
      <c r="K1622" s="58">
        <v>2.7</v>
      </c>
      <c r="L1622" s="58">
        <v>2</v>
      </c>
      <c r="M1622" s="58">
        <v>0.52</v>
      </c>
      <c r="N1622" s="58">
        <v>37</v>
      </c>
      <c r="O1622" s="58">
        <v>0.45</v>
      </c>
      <c r="P1622" s="4">
        <f t="shared" ref="P1622:P1623" si="549">AN1622</f>
        <v>0</v>
      </c>
      <c r="Q1622" s="58">
        <v>5.5E-2</v>
      </c>
      <c r="R1622" s="58">
        <v>6.8</v>
      </c>
      <c r="S1622" s="58">
        <v>7.0000000000000007E-2</v>
      </c>
      <c r="T1622" s="58"/>
      <c r="U1622" s="58"/>
      <c r="V1622" s="58"/>
      <c r="W1622" s="58"/>
      <c r="X1622" s="58"/>
      <c r="Y1622" s="58"/>
      <c r="Z1622" s="58"/>
      <c r="AA1622" s="58"/>
      <c r="AB1622" s="58"/>
      <c r="AI1622" s="23"/>
      <c r="AN1622" s="23"/>
    </row>
    <row r="1623" spans="1:50" ht="15" customHeight="1" x14ac:dyDescent="0.2">
      <c r="A1623" s="55" t="s">
        <v>688</v>
      </c>
      <c r="B1623" s="55" t="s">
        <v>689</v>
      </c>
      <c r="C1623" s="56" t="s">
        <v>0</v>
      </c>
      <c r="F1623" s="57"/>
      <c r="G1623" s="57"/>
      <c r="H1623" s="57" t="s">
        <v>37</v>
      </c>
      <c r="I1623" s="249" t="s">
        <v>1007</v>
      </c>
      <c r="J1623" s="58">
        <v>76.05</v>
      </c>
      <c r="K1623" s="58">
        <v>2</v>
      </c>
      <c r="L1623" s="58">
        <v>2</v>
      </c>
      <c r="M1623" s="58">
        <v>0.52</v>
      </c>
      <c r="N1623" s="58">
        <v>37</v>
      </c>
      <c r="O1623" s="58">
        <v>0.46</v>
      </c>
      <c r="P1623" s="4">
        <f t="shared" si="549"/>
        <v>0</v>
      </c>
      <c r="Q1623" s="58">
        <v>42</v>
      </c>
      <c r="R1623" s="58">
        <v>6.8</v>
      </c>
      <c r="S1623" s="58">
        <v>7.0000000000000007E-2</v>
      </c>
      <c r="T1623" s="58"/>
      <c r="U1623" s="58"/>
      <c r="V1623" s="58"/>
      <c r="W1623" s="58"/>
      <c r="X1623" s="58"/>
      <c r="Y1623" s="58"/>
      <c r="Z1623" s="58"/>
      <c r="AA1623" s="58"/>
      <c r="AB1623" s="58"/>
      <c r="AI1623" s="23"/>
      <c r="AN1623" s="23"/>
    </row>
    <row r="1624" spans="1:50" ht="15" customHeight="1" x14ac:dyDescent="0.2">
      <c r="A1624" s="24" t="s">
        <v>690</v>
      </c>
      <c r="B1624" s="24" t="s">
        <v>689</v>
      </c>
      <c r="F1624" s="57"/>
      <c r="G1624" s="57"/>
      <c r="H1624" s="57" t="s">
        <v>37</v>
      </c>
      <c r="I1624" s="243" t="s">
        <v>1010</v>
      </c>
      <c r="J1624" s="3">
        <v>75.3</v>
      </c>
      <c r="K1624" s="3">
        <v>0.75</v>
      </c>
      <c r="L1624" s="3">
        <v>35</v>
      </c>
      <c r="M1624" s="3">
        <v>1.1000000000000001</v>
      </c>
      <c r="N1624" s="3">
        <v>45</v>
      </c>
      <c r="P1624" s="4" t="s">
        <v>0</v>
      </c>
      <c r="R1624" s="3">
        <v>12</v>
      </c>
    </row>
    <row r="1625" spans="1:50" s="71" customFormat="1" ht="15" customHeight="1" x14ac:dyDescent="0.2">
      <c r="A1625" s="70" t="s">
        <v>690</v>
      </c>
      <c r="B1625" s="70" t="s">
        <v>689</v>
      </c>
      <c r="C1625" s="71" t="s">
        <v>691</v>
      </c>
      <c r="D1625" s="71" t="s">
        <v>56</v>
      </c>
      <c r="E1625" s="71" t="s">
        <v>46</v>
      </c>
      <c r="F1625" s="71" t="s">
        <v>885</v>
      </c>
      <c r="H1625" s="71" t="s">
        <v>37</v>
      </c>
      <c r="I1625" s="87"/>
      <c r="J1625" s="72">
        <f t="shared" ref="J1625" si="550">AVERAGE(J1622:J1624)</f>
        <v>75.77</v>
      </c>
      <c r="K1625" s="72">
        <f t="shared" ref="K1625:S1625" si="551">AVERAGE(K1622:K1624)</f>
        <v>1.8166666666666667</v>
      </c>
      <c r="L1625" s="72">
        <f t="shared" si="551"/>
        <v>13</v>
      </c>
      <c r="M1625" s="72">
        <f t="shared" si="551"/>
        <v>0.71333333333333337</v>
      </c>
      <c r="N1625" s="72">
        <f t="shared" si="551"/>
        <v>39.666666666666664</v>
      </c>
      <c r="O1625" s="72">
        <f t="shared" si="551"/>
        <v>0.45500000000000002</v>
      </c>
      <c r="P1625" s="72">
        <f t="shared" si="551"/>
        <v>0</v>
      </c>
      <c r="Q1625" s="72">
        <f t="shared" si="551"/>
        <v>21.0275</v>
      </c>
      <c r="R1625" s="72">
        <f t="shared" si="551"/>
        <v>8.5333333333333332</v>
      </c>
      <c r="S1625" s="72">
        <f t="shared" si="551"/>
        <v>7.0000000000000007E-2</v>
      </c>
      <c r="T1625" s="72"/>
      <c r="U1625" s="72"/>
      <c r="V1625" s="72"/>
      <c r="W1625" s="72"/>
      <c r="X1625" s="72"/>
      <c r="Y1625" s="72"/>
      <c r="Z1625" s="72"/>
      <c r="AA1625" s="72"/>
      <c r="AB1625" s="72"/>
      <c r="AC1625" s="73"/>
      <c r="AD1625" s="73"/>
      <c r="AE1625" s="73"/>
      <c r="AF1625" s="73"/>
      <c r="AG1625" s="73"/>
      <c r="AH1625" s="73"/>
      <c r="AI1625" s="73"/>
      <c r="AJ1625" s="73"/>
      <c r="AK1625" s="73"/>
      <c r="AL1625" s="73"/>
      <c r="AM1625" s="73"/>
      <c r="AN1625" s="73"/>
      <c r="AO1625" s="73"/>
      <c r="AP1625" s="73"/>
      <c r="AQ1625" s="73"/>
      <c r="AR1625" s="73"/>
      <c r="AS1625" s="73"/>
      <c r="AT1625" s="73"/>
      <c r="AU1625" s="73"/>
      <c r="AV1625" s="73"/>
      <c r="AW1625" s="73"/>
      <c r="AX1625" s="73"/>
    </row>
    <row r="1626" spans="1:50" s="22" customFormat="1" ht="14" customHeight="1" x14ac:dyDescent="0.2">
      <c r="A1626" s="21" t="s">
        <v>692</v>
      </c>
      <c r="B1626" s="21" t="s">
        <v>693</v>
      </c>
      <c r="C1626" s="22" t="s">
        <v>0</v>
      </c>
      <c r="D1626" s="2"/>
      <c r="E1626" s="2"/>
      <c r="H1626" s="22" t="s">
        <v>131</v>
      </c>
      <c r="I1626" s="65" t="s">
        <v>1022</v>
      </c>
      <c r="J1626" s="4">
        <v>97.1</v>
      </c>
      <c r="K1626" s="4">
        <v>1.1000000000000001</v>
      </c>
      <c r="L1626" s="4">
        <v>11</v>
      </c>
      <c r="M1626" s="4">
        <v>0.3</v>
      </c>
      <c r="N1626" s="4">
        <v>7</v>
      </c>
      <c r="O1626" s="4">
        <v>0.3</v>
      </c>
      <c r="P1626" s="4" t="s">
        <v>0</v>
      </c>
      <c r="Q1626" s="4">
        <v>13</v>
      </c>
      <c r="R1626" s="4">
        <v>1</v>
      </c>
      <c r="S1626" s="4">
        <v>0.4</v>
      </c>
      <c r="T1626" s="4"/>
      <c r="U1626" s="4"/>
      <c r="V1626" s="4"/>
      <c r="W1626" s="4"/>
      <c r="X1626" s="4"/>
      <c r="Y1626" s="4"/>
      <c r="Z1626" s="4"/>
      <c r="AA1626" s="4"/>
      <c r="AB1626" s="4"/>
      <c r="AC1626" s="23"/>
      <c r="AD1626" s="23"/>
      <c r="AE1626" s="23"/>
      <c r="AF1626" s="23"/>
      <c r="AG1626" s="23"/>
      <c r="AH1626" s="23"/>
      <c r="AI1626" s="23"/>
      <c r="AJ1626" s="23"/>
      <c r="AK1626" s="23"/>
      <c r="AL1626" s="23"/>
      <c r="AM1626" s="23"/>
      <c r="AN1626" s="23"/>
      <c r="AO1626" s="23"/>
      <c r="AP1626" s="23"/>
      <c r="AQ1626" s="23"/>
      <c r="AR1626" s="23"/>
      <c r="AS1626" s="23"/>
      <c r="AT1626" s="23"/>
      <c r="AU1626" s="23"/>
      <c r="AV1626" s="23"/>
      <c r="AW1626" s="23"/>
      <c r="AX1626" s="23"/>
    </row>
    <row r="1627" spans="1:50" s="71" customFormat="1" ht="15" customHeight="1" x14ac:dyDescent="0.2">
      <c r="A1627" s="70" t="s">
        <v>692</v>
      </c>
      <c r="B1627" s="70" t="s">
        <v>693</v>
      </c>
      <c r="C1627" s="71" t="s">
        <v>694</v>
      </c>
      <c r="D1627" s="71" t="s">
        <v>31</v>
      </c>
      <c r="E1627" s="71" t="s">
        <v>46</v>
      </c>
      <c r="F1627" s="78" t="s">
        <v>782</v>
      </c>
      <c r="H1627" s="71" t="s">
        <v>131</v>
      </c>
      <c r="I1627" s="87"/>
      <c r="J1627" s="72">
        <f t="shared" ref="J1627" si="552">J1626</f>
        <v>97.1</v>
      </c>
      <c r="K1627" s="72">
        <f>K1626</f>
        <v>1.1000000000000001</v>
      </c>
      <c r="L1627" s="72">
        <f>L1626</f>
        <v>11</v>
      </c>
      <c r="M1627" s="72">
        <f>M1626</f>
        <v>0.3</v>
      </c>
      <c r="N1627" s="72">
        <f>N1626</f>
        <v>7</v>
      </c>
      <c r="O1627" s="72">
        <f>O1626</f>
        <v>0.3</v>
      </c>
      <c r="P1627" s="72"/>
      <c r="Q1627" s="72">
        <f>Q1626</f>
        <v>13</v>
      </c>
      <c r="R1627" s="72">
        <f>R1626</f>
        <v>1</v>
      </c>
      <c r="S1627" s="72">
        <f>S1626</f>
        <v>0.4</v>
      </c>
      <c r="T1627" s="72"/>
      <c r="U1627" s="72"/>
      <c r="V1627" s="72"/>
      <c r="W1627" s="72"/>
      <c r="X1627" s="72"/>
      <c r="Y1627" s="72"/>
      <c r="Z1627" s="72"/>
      <c r="AA1627" s="72"/>
      <c r="AB1627" s="72"/>
      <c r="AC1627" s="73"/>
      <c r="AD1627" s="73"/>
      <c r="AE1627" s="73"/>
      <c r="AF1627" s="73"/>
      <c r="AG1627" s="73"/>
      <c r="AH1627" s="73"/>
      <c r="AI1627" s="73"/>
      <c r="AJ1627" s="73"/>
      <c r="AK1627" s="73"/>
      <c r="AL1627" s="73"/>
      <c r="AM1627" s="73"/>
      <c r="AN1627" s="73"/>
      <c r="AO1627" s="73"/>
      <c r="AP1627" s="73"/>
      <c r="AQ1627" s="73"/>
      <c r="AR1627" s="73"/>
      <c r="AS1627" s="73"/>
      <c r="AT1627" s="73"/>
      <c r="AU1627" s="73"/>
      <c r="AV1627" s="73"/>
      <c r="AW1627" s="73"/>
      <c r="AX1627" s="73"/>
    </row>
    <row r="1628" spans="1:50" s="22" customFormat="1" ht="15" customHeight="1" x14ac:dyDescent="0.2">
      <c r="A1628" s="21" t="s">
        <v>692</v>
      </c>
      <c r="B1628" s="21" t="s">
        <v>693</v>
      </c>
      <c r="C1628" s="22" t="s">
        <v>0</v>
      </c>
      <c r="D1628" s="2"/>
      <c r="E1628" s="2"/>
      <c r="H1628" s="22" t="s">
        <v>166</v>
      </c>
      <c r="I1628" s="65" t="s">
        <v>1022</v>
      </c>
      <c r="J1628" s="4">
        <v>95.6</v>
      </c>
      <c r="K1628" s="4">
        <v>2.1</v>
      </c>
      <c r="L1628" s="4">
        <v>25</v>
      </c>
      <c r="M1628" s="4">
        <v>0.5</v>
      </c>
      <c r="N1628" s="4">
        <v>30</v>
      </c>
      <c r="O1628" s="4">
        <v>0.4</v>
      </c>
      <c r="P1628" s="4" t="s">
        <v>0</v>
      </c>
      <c r="Q1628" s="4">
        <v>25</v>
      </c>
      <c r="R1628" s="4">
        <v>2</v>
      </c>
      <c r="S1628" s="4">
        <v>1.4</v>
      </c>
      <c r="T1628" s="4"/>
      <c r="U1628" s="4"/>
      <c r="V1628" s="4"/>
      <c r="W1628" s="4"/>
      <c r="X1628" s="4"/>
      <c r="Y1628" s="4"/>
      <c r="Z1628" s="4"/>
      <c r="AA1628" s="4"/>
      <c r="AB1628" s="4"/>
      <c r="AC1628" s="23"/>
      <c r="AD1628" s="23"/>
      <c r="AE1628" s="23"/>
      <c r="AF1628" s="23"/>
      <c r="AG1628" s="23"/>
      <c r="AH1628" s="23"/>
      <c r="AI1628" s="23"/>
      <c r="AJ1628" s="23"/>
      <c r="AK1628" s="23"/>
      <c r="AL1628" s="23"/>
      <c r="AM1628" s="23"/>
      <c r="AN1628" s="23"/>
      <c r="AO1628" s="23"/>
      <c r="AP1628" s="23"/>
      <c r="AQ1628" s="23"/>
      <c r="AR1628" s="23"/>
      <c r="AS1628" s="23"/>
      <c r="AT1628" s="23"/>
      <c r="AU1628" s="23"/>
      <c r="AV1628" s="23"/>
      <c r="AW1628" s="23"/>
      <c r="AX1628" s="23"/>
    </row>
    <row r="1629" spans="1:50" s="22" customFormat="1" ht="15" customHeight="1" x14ac:dyDescent="0.2">
      <c r="A1629" s="21" t="s">
        <v>692</v>
      </c>
      <c r="B1629" s="21" t="s">
        <v>693</v>
      </c>
      <c r="C1629" s="22" t="s">
        <v>0</v>
      </c>
      <c r="D1629" s="2"/>
      <c r="E1629" s="2"/>
      <c r="H1629" s="22" t="s">
        <v>166</v>
      </c>
      <c r="I1629" s="65" t="s">
        <v>1006</v>
      </c>
      <c r="J1629" s="4">
        <v>94</v>
      </c>
      <c r="K1629" s="4">
        <v>1.6994000000000014</v>
      </c>
      <c r="L1629" s="4">
        <v>33.002000000000031</v>
      </c>
      <c r="M1629" s="4">
        <v>0.5974000000000006</v>
      </c>
      <c r="N1629" s="4"/>
      <c r="O1629" s="4"/>
      <c r="P1629" s="4">
        <f t="shared" ref="P1629" si="553">AN1629</f>
        <v>0</v>
      </c>
      <c r="Q1629" s="4"/>
      <c r="R1629" s="4">
        <v>4.9996000000000045</v>
      </c>
      <c r="S1629" s="4"/>
      <c r="T1629" s="4"/>
      <c r="U1629" s="4"/>
      <c r="V1629" s="4"/>
      <c r="W1629" s="4"/>
      <c r="X1629" s="4"/>
      <c r="Y1629" s="4"/>
      <c r="Z1629" s="4"/>
      <c r="AA1629" s="4"/>
      <c r="AB1629" s="4"/>
      <c r="AC1629" s="23"/>
      <c r="AD1629" s="23"/>
      <c r="AE1629" s="23"/>
      <c r="AF1629" s="23"/>
      <c r="AG1629" s="23"/>
      <c r="AH1629" s="23"/>
      <c r="AI1629" s="23"/>
      <c r="AJ1629" s="23"/>
      <c r="AK1629" s="23"/>
      <c r="AL1629" s="23"/>
      <c r="AM1629" s="23"/>
      <c r="AN1629" s="23"/>
      <c r="AO1629" s="23"/>
      <c r="AP1629" s="23"/>
      <c r="AQ1629" s="23"/>
      <c r="AR1629" s="23"/>
      <c r="AS1629" s="23"/>
      <c r="AT1629" s="23"/>
      <c r="AU1629" s="23"/>
      <c r="AV1629" s="23"/>
      <c r="AW1629" s="23"/>
      <c r="AX1629" s="23"/>
    </row>
    <row r="1630" spans="1:50" s="71" customFormat="1" ht="15" customHeight="1" x14ac:dyDescent="0.2">
      <c r="A1630" s="70" t="s">
        <v>692</v>
      </c>
      <c r="B1630" s="70" t="s">
        <v>693</v>
      </c>
      <c r="C1630" s="71" t="s">
        <v>694</v>
      </c>
      <c r="D1630" s="71" t="s">
        <v>31</v>
      </c>
      <c r="E1630" s="71" t="s">
        <v>46</v>
      </c>
      <c r="F1630" s="78" t="s">
        <v>782</v>
      </c>
      <c r="H1630" s="71" t="s">
        <v>166</v>
      </c>
      <c r="I1630" s="87"/>
      <c r="J1630" s="72">
        <f t="shared" ref="J1630" si="554">AVERAGE(J1628:J1629)</f>
        <v>94.8</v>
      </c>
      <c r="K1630" s="72">
        <f t="shared" ref="K1630:S1630" si="555">AVERAGE(K1628:K1629)</f>
        <v>1.8997000000000006</v>
      </c>
      <c r="L1630" s="72">
        <f t="shared" si="555"/>
        <v>29.001000000000015</v>
      </c>
      <c r="M1630" s="72">
        <f t="shared" si="555"/>
        <v>0.5487000000000003</v>
      </c>
      <c r="N1630" s="72">
        <f t="shared" si="555"/>
        <v>30</v>
      </c>
      <c r="O1630" s="72">
        <f t="shared" si="555"/>
        <v>0.4</v>
      </c>
      <c r="P1630" s="72">
        <f t="shared" si="555"/>
        <v>0</v>
      </c>
      <c r="Q1630" s="72">
        <f t="shared" si="555"/>
        <v>25</v>
      </c>
      <c r="R1630" s="72">
        <f t="shared" si="555"/>
        <v>3.4998000000000022</v>
      </c>
      <c r="S1630" s="72">
        <f t="shared" si="555"/>
        <v>1.4</v>
      </c>
      <c r="T1630" s="72"/>
      <c r="U1630" s="72"/>
      <c r="V1630" s="72"/>
      <c r="W1630" s="72"/>
      <c r="X1630" s="72"/>
      <c r="Y1630" s="72"/>
      <c r="Z1630" s="72"/>
      <c r="AA1630" s="72"/>
      <c r="AB1630" s="72"/>
      <c r="AC1630" s="73"/>
      <c r="AD1630" s="73"/>
      <c r="AE1630" s="73"/>
      <c r="AF1630" s="73"/>
      <c r="AG1630" s="73"/>
      <c r="AH1630" s="73"/>
      <c r="AI1630" s="73"/>
      <c r="AJ1630" s="73"/>
      <c r="AK1630" s="73"/>
      <c r="AL1630" s="73"/>
      <c r="AM1630" s="73"/>
      <c r="AN1630" s="73"/>
      <c r="AO1630" s="73"/>
      <c r="AP1630" s="73"/>
      <c r="AQ1630" s="73"/>
      <c r="AR1630" s="73"/>
      <c r="AS1630" s="73"/>
      <c r="AT1630" s="73"/>
      <c r="AU1630" s="73"/>
      <c r="AV1630" s="73"/>
      <c r="AW1630" s="73"/>
      <c r="AX1630" s="73"/>
    </row>
    <row r="1631" spans="1:50" s="22" customFormat="1" ht="15" customHeight="1" x14ac:dyDescent="0.2">
      <c r="A1631" s="24" t="s">
        <v>695</v>
      </c>
      <c r="B1631" s="24" t="s">
        <v>572</v>
      </c>
      <c r="C1631" s="2"/>
      <c r="D1631" s="2"/>
      <c r="E1631" s="2"/>
      <c r="F1631" s="2"/>
      <c r="G1631" s="2"/>
      <c r="H1631" s="2" t="s">
        <v>33</v>
      </c>
      <c r="I1631" s="65" t="s">
        <v>1022</v>
      </c>
      <c r="J1631" s="4">
        <v>93.5</v>
      </c>
      <c r="K1631" s="4">
        <v>2.2999999999999998</v>
      </c>
      <c r="L1631" s="4">
        <v>2</v>
      </c>
      <c r="M1631" s="4">
        <v>0.2</v>
      </c>
      <c r="N1631" s="4">
        <v>8</v>
      </c>
      <c r="O1631" s="4">
        <v>0.2</v>
      </c>
      <c r="P1631" s="4" t="s">
        <v>0</v>
      </c>
      <c r="Q1631" s="4">
        <v>43</v>
      </c>
      <c r="R1631" s="4">
        <v>6</v>
      </c>
      <c r="S1631" s="4">
        <v>0</v>
      </c>
      <c r="T1631" s="4"/>
      <c r="U1631" s="4"/>
      <c r="V1631" s="4"/>
      <c r="W1631" s="4"/>
      <c r="X1631" s="4"/>
      <c r="Y1631" s="4"/>
      <c r="Z1631" s="4"/>
      <c r="AA1631" s="4"/>
      <c r="AB1631" s="4"/>
      <c r="AC1631" s="23"/>
      <c r="AD1631" s="23"/>
      <c r="AE1631" s="23"/>
      <c r="AF1631" s="23"/>
      <c r="AG1631" s="23"/>
      <c r="AH1631" s="23"/>
      <c r="AI1631" s="23"/>
      <c r="AJ1631" s="23"/>
      <c r="AK1631" s="23"/>
      <c r="AL1631" s="23"/>
      <c r="AM1631" s="23"/>
      <c r="AN1631" s="23"/>
      <c r="AO1631" s="23"/>
      <c r="AP1631" s="23"/>
      <c r="AQ1631" s="23"/>
      <c r="AR1631" s="23"/>
      <c r="AS1631" s="23"/>
      <c r="AT1631" s="23"/>
      <c r="AU1631" s="23"/>
      <c r="AV1631" s="23"/>
      <c r="AW1631" s="23"/>
      <c r="AX1631" s="23"/>
    </row>
    <row r="1632" spans="1:50" ht="15" customHeight="1" x14ac:dyDescent="0.2">
      <c r="A1632" s="24" t="s">
        <v>695</v>
      </c>
      <c r="B1632" s="24" t="s">
        <v>572</v>
      </c>
      <c r="H1632" s="2" t="s">
        <v>33</v>
      </c>
      <c r="I1632" s="243" t="s">
        <v>1010</v>
      </c>
      <c r="J1632" s="3">
        <v>92.6</v>
      </c>
      <c r="K1632" s="3">
        <v>1</v>
      </c>
      <c r="L1632" s="3">
        <v>5</v>
      </c>
      <c r="M1632" s="3">
        <v>0.6</v>
      </c>
      <c r="P1632" s="4" t="s">
        <v>0</v>
      </c>
      <c r="R1632" s="3">
        <v>2</v>
      </c>
    </row>
    <row r="1633" spans="1:50" ht="15" customHeight="1" x14ac:dyDescent="0.2">
      <c r="A1633" s="24" t="s">
        <v>695</v>
      </c>
      <c r="B1633" s="24" t="s">
        <v>572</v>
      </c>
      <c r="H1633" s="2" t="s">
        <v>33</v>
      </c>
      <c r="I1633" s="243" t="s">
        <v>1004</v>
      </c>
      <c r="J1633" s="3">
        <v>78.5</v>
      </c>
      <c r="L1633" s="3">
        <v>21</v>
      </c>
      <c r="P1633" s="4" t="s">
        <v>0</v>
      </c>
      <c r="R1633" s="3">
        <v>2</v>
      </c>
    </row>
    <row r="1634" spans="1:50" s="71" customFormat="1" ht="15" customHeight="1" x14ac:dyDescent="0.2">
      <c r="A1634" s="70" t="s">
        <v>695</v>
      </c>
      <c r="B1634" s="70" t="s">
        <v>572</v>
      </c>
      <c r="C1634" s="71" t="s">
        <v>696</v>
      </c>
      <c r="D1634" s="71" t="s">
        <v>31</v>
      </c>
      <c r="E1634" s="71" t="s">
        <v>46</v>
      </c>
      <c r="F1634" s="71" t="s">
        <v>885</v>
      </c>
      <c r="G1634" s="71" t="s">
        <v>71</v>
      </c>
      <c r="H1634" s="71" t="s">
        <v>33</v>
      </c>
      <c r="I1634" s="87"/>
      <c r="J1634" s="72">
        <f t="shared" ref="J1634" si="556">AVERAGE(J1631:J1633)</f>
        <v>88.2</v>
      </c>
      <c r="K1634" s="72">
        <f>AVERAGE(K1631:K1633)</f>
        <v>1.65</v>
      </c>
      <c r="L1634" s="72">
        <f>AVERAGE(L1631:L1633)</f>
        <v>9.3333333333333339</v>
      </c>
      <c r="M1634" s="72">
        <f>AVERAGE(M1631:M1633)</f>
        <v>0.4</v>
      </c>
      <c r="N1634" s="72">
        <f>AVERAGE(N1631:N1633)</f>
        <v>8</v>
      </c>
      <c r="O1634" s="72">
        <f>AVERAGE(O1631:O1633)</f>
        <v>0.2</v>
      </c>
      <c r="P1634" s="72"/>
      <c r="Q1634" s="72">
        <f>AVERAGE(Q1631:Q1633)</f>
        <v>43</v>
      </c>
      <c r="R1634" s="72">
        <f>AVERAGE(R1631:R1633)</f>
        <v>3.3333333333333335</v>
      </c>
      <c r="S1634" s="72">
        <f>AVERAGE(S1631:S1633)</f>
        <v>0</v>
      </c>
      <c r="T1634" s="72"/>
      <c r="U1634" s="72"/>
      <c r="V1634" s="72"/>
      <c r="W1634" s="72"/>
      <c r="X1634" s="72"/>
      <c r="Y1634" s="72"/>
      <c r="Z1634" s="72"/>
      <c r="AA1634" s="72"/>
      <c r="AB1634" s="72"/>
      <c r="AC1634" s="73"/>
      <c r="AD1634" s="73"/>
      <c r="AE1634" s="73"/>
      <c r="AF1634" s="73"/>
      <c r="AG1634" s="73"/>
      <c r="AH1634" s="73"/>
      <c r="AI1634" s="73"/>
      <c r="AJ1634" s="73"/>
      <c r="AK1634" s="73"/>
      <c r="AL1634" s="73"/>
      <c r="AM1634" s="73"/>
      <c r="AN1634" s="73"/>
      <c r="AO1634" s="73"/>
      <c r="AP1634" s="73"/>
      <c r="AQ1634" s="73"/>
      <c r="AR1634" s="73"/>
      <c r="AS1634" s="73"/>
      <c r="AT1634" s="73"/>
      <c r="AU1634" s="73"/>
      <c r="AV1634" s="73"/>
      <c r="AW1634" s="73"/>
      <c r="AX1634" s="73"/>
    </row>
    <row r="1635" spans="1:50" x14ac:dyDescent="0.2">
      <c r="P1635" s="4" t="s">
        <v>0</v>
      </c>
    </row>
    <row r="1636" spans="1:50" x14ac:dyDescent="0.2">
      <c r="A1636" s="24" t="s">
        <v>0</v>
      </c>
      <c r="P1636" s="4" t="s">
        <v>0</v>
      </c>
    </row>
    <row r="1637" spans="1:50" x14ac:dyDescent="0.2">
      <c r="P1637" s="4" t="s">
        <v>0</v>
      </c>
    </row>
    <row r="1638" spans="1:50" x14ac:dyDescent="0.2">
      <c r="P1638" s="4" t="s">
        <v>0</v>
      </c>
    </row>
    <row r="1639" spans="1:50" x14ac:dyDescent="0.2">
      <c r="P1639" s="4" t="s">
        <v>0</v>
      </c>
    </row>
    <row r="1640" spans="1:50" x14ac:dyDescent="0.2">
      <c r="P1640" s="4" t="s">
        <v>0</v>
      </c>
    </row>
    <row r="1641" spans="1:50" x14ac:dyDescent="0.2">
      <c r="P1641" s="4" t="s">
        <v>0</v>
      </c>
    </row>
    <row r="1642" spans="1:50" x14ac:dyDescent="0.2">
      <c r="P1642" s="4" t="s">
        <v>0</v>
      </c>
    </row>
    <row r="1643" spans="1:50" x14ac:dyDescent="0.2">
      <c r="P1643" s="4" t="s">
        <v>0</v>
      </c>
    </row>
    <row r="1644" spans="1:50" x14ac:dyDescent="0.2">
      <c r="P1644" s="4" t="s">
        <v>0</v>
      </c>
    </row>
    <row r="1645" spans="1:50" x14ac:dyDescent="0.2">
      <c r="P1645" s="4" t="s">
        <v>0</v>
      </c>
    </row>
    <row r="1646" spans="1:50" x14ac:dyDescent="0.2">
      <c r="P1646" s="4" t="s">
        <v>0</v>
      </c>
    </row>
    <row r="1647" spans="1:50" x14ac:dyDescent="0.2">
      <c r="P1647" s="4" t="s">
        <v>0</v>
      </c>
    </row>
    <row r="1648" spans="1:50" x14ac:dyDescent="0.2">
      <c r="P1648" s="4" t="s">
        <v>0</v>
      </c>
    </row>
    <row r="1649" spans="16:16" x14ac:dyDescent="0.2">
      <c r="P1649" s="4" t="s">
        <v>0</v>
      </c>
    </row>
    <row r="1650" spans="16:16" x14ac:dyDescent="0.2">
      <c r="P1650" s="4" t="s">
        <v>0</v>
      </c>
    </row>
    <row r="1651" spans="16:16" x14ac:dyDescent="0.2">
      <c r="P1651" s="4" t="s">
        <v>0</v>
      </c>
    </row>
    <row r="1652" spans="16:16" x14ac:dyDescent="0.2">
      <c r="P1652" s="4" t="s">
        <v>0</v>
      </c>
    </row>
    <row r="1653" spans="16:16" x14ac:dyDescent="0.2">
      <c r="P1653" s="4" t="s">
        <v>0</v>
      </c>
    </row>
    <row r="1654" spans="16:16" x14ac:dyDescent="0.2">
      <c r="P1654" s="4" t="s">
        <v>0</v>
      </c>
    </row>
    <row r="1655" spans="16:16" x14ac:dyDescent="0.2">
      <c r="P1655" s="4" t="s">
        <v>0</v>
      </c>
    </row>
    <row r="1656" spans="16:16" x14ac:dyDescent="0.2">
      <c r="P1656" s="4" t="s">
        <v>0</v>
      </c>
    </row>
    <row r="1657" spans="16:16" x14ac:dyDescent="0.2">
      <c r="P1657" s="4" t="s">
        <v>0</v>
      </c>
    </row>
    <row r="1658" spans="16:16" x14ac:dyDescent="0.2">
      <c r="P1658" s="4" t="s">
        <v>0</v>
      </c>
    </row>
    <row r="1659" spans="16:16" x14ac:dyDescent="0.2">
      <c r="P1659" s="4" t="s">
        <v>0</v>
      </c>
    </row>
    <row r="1660" spans="16:16" x14ac:dyDescent="0.2">
      <c r="P1660" s="4" t="s">
        <v>0</v>
      </c>
    </row>
    <row r="1661" spans="16:16" x14ac:dyDescent="0.2">
      <c r="P1661" s="4" t="s">
        <v>0</v>
      </c>
    </row>
    <row r="1662" spans="16:16" x14ac:dyDescent="0.2">
      <c r="P1662" s="4" t="s">
        <v>0</v>
      </c>
    </row>
    <row r="1663" spans="16:16" x14ac:dyDescent="0.2">
      <c r="P1663" s="4" t="s">
        <v>0</v>
      </c>
    </row>
    <row r="1664" spans="16:16" x14ac:dyDescent="0.2">
      <c r="P1664" s="4" t="s">
        <v>0</v>
      </c>
    </row>
    <row r="1665" spans="16:16" x14ac:dyDescent="0.2">
      <c r="P1665" s="4" t="s">
        <v>0</v>
      </c>
    </row>
    <row r="1666" spans="16:16" x14ac:dyDescent="0.2">
      <c r="P1666" s="4" t="s">
        <v>0</v>
      </c>
    </row>
    <row r="1667" spans="16:16" x14ac:dyDescent="0.2">
      <c r="P1667" s="4" t="s">
        <v>0</v>
      </c>
    </row>
    <row r="1668" spans="16:16" x14ac:dyDescent="0.2">
      <c r="P1668" s="4" t="s">
        <v>0</v>
      </c>
    </row>
    <row r="1669" spans="16:16" x14ac:dyDescent="0.2">
      <c r="P1669" s="4" t="s">
        <v>0</v>
      </c>
    </row>
    <row r="1670" spans="16:16" x14ac:dyDescent="0.2">
      <c r="P1670" s="4" t="s">
        <v>0</v>
      </c>
    </row>
    <row r="1671" spans="16:16" x14ac:dyDescent="0.2">
      <c r="P1671" s="4" t="s">
        <v>0</v>
      </c>
    </row>
    <row r="1672" spans="16:16" x14ac:dyDescent="0.2">
      <c r="P1672" s="4" t="s">
        <v>0</v>
      </c>
    </row>
    <row r="1673" spans="16:16" x14ac:dyDescent="0.2">
      <c r="P1673" s="4" t="s">
        <v>0</v>
      </c>
    </row>
    <row r="1674" spans="16:16" x14ac:dyDescent="0.2">
      <c r="P1674" s="4" t="s">
        <v>0</v>
      </c>
    </row>
    <row r="1675" spans="16:16" x14ac:dyDescent="0.2">
      <c r="P1675" s="4" t="s">
        <v>0</v>
      </c>
    </row>
    <row r="1676" spans="16:16" x14ac:dyDescent="0.2">
      <c r="P1676" s="4" t="s">
        <v>0</v>
      </c>
    </row>
    <row r="1677" spans="16:16" x14ac:dyDescent="0.2">
      <c r="P1677" s="4" t="s">
        <v>0</v>
      </c>
    </row>
    <row r="1678" spans="16:16" x14ac:dyDescent="0.2">
      <c r="P1678" s="4" t="s">
        <v>0</v>
      </c>
    </row>
    <row r="1679" spans="16:16" x14ac:dyDescent="0.2">
      <c r="P1679" s="4" t="s">
        <v>0</v>
      </c>
    </row>
    <row r="1680" spans="16:16" x14ac:dyDescent="0.2">
      <c r="P1680" s="4" t="s">
        <v>0</v>
      </c>
    </row>
    <row r="1681" spans="16:16" x14ac:dyDescent="0.2">
      <c r="P1681" s="4" t="s">
        <v>0</v>
      </c>
    </row>
    <row r="1682" spans="16:16" x14ac:dyDescent="0.2">
      <c r="P1682" s="4" t="s">
        <v>0</v>
      </c>
    </row>
    <row r="1683" spans="16:16" x14ac:dyDescent="0.2">
      <c r="P1683" s="4" t="s">
        <v>0</v>
      </c>
    </row>
    <row r="1684" spans="16:16" x14ac:dyDescent="0.2">
      <c r="P1684" s="4" t="s">
        <v>0</v>
      </c>
    </row>
    <row r="1685" spans="16:16" x14ac:dyDescent="0.2">
      <c r="P1685" s="4" t="s">
        <v>0</v>
      </c>
    </row>
    <row r="1686" spans="16:16" x14ac:dyDescent="0.2">
      <c r="P1686" s="4" t="s">
        <v>0</v>
      </c>
    </row>
    <row r="1687" spans="16:16" x14ac:dyDescent="0.2">
      <c r="P1687" s="4" t="s">
        <v>0</v>
      </c>
    </row>
    <row r="1688" spans="16:16" x14ac:dyDescent="0.2">
      <c r="P1688" s="4" t="s">
        <v>0</v>
      </c>
    </row>
    <row r="1689" spans="16:16" x14ac:dyDescent="0.2">
      <c r="P1689" s="4" t="s">
        <v>0</v>
      </c>
    </row>
    <row r="1690" spans="16:16" x14ac:dyDescent="0.2">
      <c r="P1690" s="4" t="s">
        <v>0</v>
      </c>
    </row>
    <row r="1691" spans="16:16" x14ac:dyDescent="0.2">
      <c r="P1691" s="4" t="s">
        <v>0</v>
      </c>
    </row>
    <row r="1692" spans="16:16" x14ac:dyDescent="0.2">
      <c r="P1692" s="4" t="s">
        <v>0</v>
      </c>
    </row>
    <row r="1693" spans="16:16" x14ac:dyDescent="0.2">
      <c r="P1693" s="4" t="s">
        <v>0</v>
      </c>
    </row>
    <row r="1694" spans="16:16" x14ac:dyDescent="0.2">
      <c r="P1694" s="4" t="s">
        <v>0</v>
      </c>
    </row>
    <row r="1695" spans="16:16" x14ac:dyDescent="0.2">
      <c r="P1695" s="4" t="s">
        <v>0</v>
      </c>
    </row>
    <row r="1696" spans="16:16" x14ac:dyDescent="0.2">
      <c r="P1696" s="4" t="s">
        <v>0</v>
      </c>
    </row>
    <row r="1697" spans="16:16" x14ac:dyDescent="0.2">
      <c r="P1697" s="4" t="s">
        <v>0</v>
      </c>
    </row>
    <row r="1698" spans="16:16" x14ac:dyDescent="0.2">
      <c r="P1698" s="4" t="s">
        <v>0</v>
      </c>
    </row>
    <row r="1699" spans="16:16" x14ac:dyDescent="0.2">
      <c r="P1699" s="4" t="s">
        <v>0</v>
      </c>
    </row>
    <row r="1700" spans="16:16" x14ac:dyDescent="0.2">
      <c r="P1700" s="4" t="s">
        <v>0</v>
      </c>
    </row>
    <row r="1701" spans="16:16" x14ac:dyDescent="0.2">
      <c r="P1701" s="4" t="s">
        <v>0</v>
      </c>
    </row>
    <row r="1702" spans="16:16" x14ac:dyDescent="0.2">
      <c r="P1702" s="4" t="s">
        <v>0</v>
      </c>
    </row>
    <row r="1703" spans="16:16" x14ac:dyDescent="0.2">
      <c r="P1703" s="4" t="s">
        <v>0</v>
      </c>
    </row>
    <row r="1704" spans="16:16" x14ac:dyDescent="0.2">
      <c r="P1704" s="4" t="s">
        <v>0</v>
      </c>
    </row>
    <row r="1705" spans="16:16" x14ac:dyDescent="0.2">
      <c r="P1705" s="4" t="s">
        <v>0</v>
      </c>
    </row>
    <row r="1706" spans="16:16" x14ac:dyDescent="0.2">
      <c r="P1706" s="4" t="s">
        <v>0</v>
      </c>
    </row>
    <row r="1707" spans="16:16" x14ac:dyDescent="0.2">
      <c r="P1707" s="4" t="s">
        <v>0</v>
      </c>
    </row>
    <row r="1708" spans="16:16" x14ac:dyDescent="0.2">
      <c r="P1708" s="4" t="s">
        <v>0</v>
      </c>
    </row>
    <row r="1709" spans="16:16" x14ac:dyDescent="0.2">
      <c r="P1709" s="4" t="s">
        <v>0</v>
      </c>
    </row>
    <row r="1710" spans="16:16" x14ac:dyDescent="0.2">
      <c r="P1710" s="4" t="s">
        <v>0</v>
      </c>
    </row>
    <row r="1711" spans="16:16" x14ac:dyDescent="0.2">
      <c r="P1711" s="4" t="s">
        <v>0</v>
      </c>
    </row>
    <row r="1712" spans="16:16" x14ac:dyDescent="0.2">
      <c r="P1712" s="4" t="s">
        <v>0</v>
      </c>
    </row>
    <row r="1713" spans="16:16" x14ac:dyDescent="0.2">
      <c r="P1713" s="4" t="s">
        <v>0</v>
      </c>
    </row>
    <row r="1714" spans="16:16" x14ac:dyDescent="0.2">
      <c r="P1714" s="4" t="s">
        <v>0</v>
      </c>
    </row>
    <row r="1715" spans="16:16" x14ac:dyDescent="0.2">
      <c r="P1715" s="4" t="s">
        <v>0</v>
      </c>
    </row>
    <row r="1716" spans="16:16" x14ac:dyDescent="0.2">
      <c r="P1716" s="4" t="s">
        <v>0</v>
      </c>
    </row>
    <row r="1717" spans="16:16" x14ac:dyDescent="0.2">
      <c r="P1717" s="4" t="s">
        <v>0</v>
      </c>
    </row>
    <row r="1718" spans="16:16" x14ac:dyDescent="0.2">
      <c r="P1718" s="4" t="s">
        <v>0</v>
      </c>
    </row>
    <row r="1719" spans="16:16" x14ac:dyDescent="0.2">
      <c r="P1719" s="4" t="s">
        <v>0</v>
      </c>
    </row>
    <row r="1720" spans="16:16" x14ac:dyDescent="0.2">
      <c r="P1720" s="4" t="s">
        <v>0</v>
      </c>
    </row>
    <row r="1721" spans="16:16" x14ac:dyDescent="0.2">
      <c r="P1721" s="4" t="s">
        <v>0</v>
      </c>
    </row>
    <row r="1722" spans="16:16" x14ac:dyDescent="0.2">
      <c r="P1722" s="4" t="s">
        <v>0</v>
      </c>
    </row>
    <row r="1723" spans="16:16" x14ac:dyDescent="0.2">
      <c r="P1723" s="4" t="s">
        <v>0</v>
      </c>
    </row>
    <row r="1724" spans="16:16" x14ac:dyDescent="0.2">
      <c r="P1724" s="4" t="s">
        <v>0</v>
      </c>
    </row>
    <row r="1725" spans="16:16" x14ac:dyDescent="0.2">
      <c r="P1725" s="4" t="s">
        <v>0</v>
      </c>
    </row>
    <row r="1726" spans="16:16" x14ac:dyDescent="0.2">
      <c r="P1726" s="4" t="s">
        <v>0</v>
      </c>
    </row>
    <row r="1727" spans="16:16" x14ac:dyDescent="0.2">
      <c r="P1727" s="4" t="s">
        <v>0</v>
      </c>
    </row>
    <row r="1728" spans="16:16" x14ac:dyDescent="0.2">
      <c r="P1728" s="4" t="s">
        <v>0</v>
      </c>
    </row>
    <row r="1729" spans="16:16" x14ac:dyDescent="0.2">
      <c r="P1729" s="4" t="s">
        <v>0</v>
      </c>
    </row>
  </sheetData>
  <sortState xmlns:xlrd2="http://schemas.microsoft.com/office/spreadsheetml/2017/richdata2" ref="A463:AX481">
    <sortCondition ref="I463:I48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5E0B7-570F-C243-8557-3F6CFFFC4B67}">
  <dimension ref="A1:S60"/>
  <sheetViews>
    <sheetView zoomScale="120" zoomScaleNormal="120" workbookViewId="0">
      <selection activeCell="E10" sqref="E10"/>
    </sheetView>
  </sheetViews>
  <sheetFormatPr baseColWidth="10" defaultColWidth="10.83203125" defaultRowHeight="16" x14ac:dyDescent="0.2"/>
  <cols>
    <col min="1" max="1" width="17.33203125" style="147" customWidth="1"/>
    <col min="2" max="2" width="14.33203125" style="147" customWidth="1"/>
    <col min="3" max="3" width="12.6640625" style="1" customWidth="1"/>
    <col min="4" max="7" width="10.83203125" style="1"/>
    <col min="8" max="9" width="10.83203125" style="32"/>
    <col min="10" max="19" width="10.83203125" style="150"/>
    <col min="20" max="16384" width="10.83203125" style="1"/>
  </cols>
  <sheetData>
    <row r="1" spans="1:19" s="263" customFormat="1" ht="17" x14ac:dyDescent="0.2">
      <c r="A1" s="260" t="s">
        <v>1044</v>
      </c>
      <c r="B1" s="261"/>
      <c r="C1" s="262" t="s">
        <v>0</v>
      </c>
      <c r="D1" s="263" t="s">
        <v>0</v>
      </c>
      <c r="E1" s="264"/>
      <c r="F1" s="264"/>
      <c r="G1" s="264"/>
      <c r="H1" s="265"/>
      <c r="I1" s="266"/>
      <c r="J1" s="267" t="s">
        <v>0</v>
      </c>
      <c r="K1" s="267" t="s">
        <v>0</v>
      </c>
      <c r="L1" s="268"/>
      <c r="M1" s="268"/>
      <c r="N1" s="267" t="s">
        <v>0</v>
      </c>
      <c r="O1" s="268"/>
      <c r="P1" s="268"/>
      <c r="Q1" s="267" t="s">
        <v>0</v>
      </c>
      <c r="R1" s="268"/>
      <c r="S1" s="268"/>
    </row>
    <row r="2" spans="1:19" s="142" customFormat="1" ht="49" customHeight="1" x14ac:dyDescent="0.2">
      <c r="A2" s="137" t="s">
        <v>1</v>
      </c>
      <c r="B2" s="137" t="s">
        <v>2</v>
      </c>
      <c r="C2" s="137" t="s">
        <v>3</v>
      </c>
      <c r="D2" s="137" t="s">
        <v>4</v>
      </c>
      <c r="E2" s="137" t="s">
        <v>5</v>
      </c>
      <c r="F2" s="137" t="s">
        <v>6</v>
      </c>
      <c r="G2" s="137" t="s">
        <v>7</v>
      </c>
      <c r="H2" s="137" t="s">
        <v>931</v>
      </c>
      <c r="I2" s="137" t="s">
        <v>932</v>
      </c>
      <c r="J2" s="138" t="s">
        <v>9</v>
      </c>
      <c r="K2" s="139" t="s">
        <v>10</v>
      </c>
      <c r="L2" s="139" t="s">
        <v>11</v>
      </c>
      <c r="M2" s="139" t="s">
        <v>12</v>
      </c>
      <c r="N2" s="140" t="s">
        <v>13</v>
      </c>
      <c r="O2" s="139" t="s">
        <v>14</v>
      </c>
      <c r="P2" s="141" t="s">
        <v>933</v>
      </c>
      <c r="Q2" s="139" t="s">
        <v>15</v>
      </c>
      <c r="R2" s="139" t="s">
        <v>16</v>
      </c>
      <c r="S2" s="139" t="s">
        <v>890</v>
      </c>
    </row>
    <row r="3" spans="1:19" s="142" customFormat="1" ht="15.75" customHeight="1" x14ac:dyDescent="0.2">
      <c r="A3" s="143"/>
      <c r="B3" s="143"/>
      <c r="C3" s="144"/>
      <c r="D3" s="144"/>
      <c r="E3" s="144"/>
      <c r="F3" s="144"/>
      <c r="G3" s="144"/>
      <c r="H3" s="144"/>
      <c r="I3" s="143"/>
      <c r="J3" s="145" t="s">
        <v>18</v>
      </c>
      <c r="K3" s="145" t="s">
        <v>18</v>
      </c>
      <c r="L3" s="145" t="s">
        <v>19</v>
      </c>
      <c r="M3" s="145" t="s">
        <v>19</v>
      </c>
      <c r="N3" s="146" t="s">
        <v>19</v>
      </c>
      <c r="O3" s="145" t="s">
        <v>19</v>
      </c>
      <c r="P3" s="174" t="s">
        <v>934</v>
      </c>
      <c r="Q3" s="145" t="s">
        <v>21</v>
      </c>
      <c r="R3" s="145" t="s">
        <v>19</v>
      </c>
      <c r="S3" s="145" t="s">
        <v>22</v>
      </c>
    </row>
    <row r="4" spans="1:19" ht="34" x14ac:dyDescent="0.2">
      <c r="A4" s="31" t="s">
        <v>23</v>
      </c>
      <c r="B4" s="31" t="s">
        <v>24</v>
      </c>
      <c r="C4" s="1" t="s">
        <v>29</v>
      </c>
      <c r="D4" s="1" t="s">
        <v>25</v>
      </c>
      <c r="E4" s="1" t="s">
        <v>26</v>
      </c>
      <c r="F4" s="1" t="s">
        <v>935</v>
      </c>
      <c r="G4" s="1" t="s">
        <v>27</v>
      </c>
      <c r="H4" s="32" t="s">
        <v>936</v>
      </c>
      <c r="I4" s="32">
        <v>13</v>
      </c>
      <c r="J4" s="3">
        <v>88.47999999999999</v>
      </c>
      <c r="K4" s="3">
        <v>1.0699230769230768</v>
      </c>
      <c r="L4" s="3">
        <v>69.307446153846158</v>
      </c>
      <c r="M4" s="3">
        <v>0.95533846153846147</v>
      </c>
      <c r="N4" s="3">
        <v>51.5</v>
      </c>
      <c r="O4" s="3">
        <v>0.41</v>
      </c>
      <c r="P4" s="3">
        <v>2.4087500000000001E-2</v>
      </c>
      <c r="Q4" s="3">
        <v>34.75</v>
      </c>
      <c r="R4" s="3">
        <v>31.000191666666666</v>
      </c>
      <c r="S4" s="3">
        <v>0.44625000000000004</v>
      </c>
    </row>
    <row r="5" spans="1:19" ht="17" x14ac:dyDescent="0.2">
      <c r="A5" s="31" t="s">
        <v>51</v>
      </c>
      <c r="B5" s="31" t="s">
        <v>53</v>
      </c>
      <c r="C5" s="1" t="s">
        <v>54</v>
      </c>
      <c r="D5" s="1" t="s">
        <v>25</v>
      </c>
      <c r="E5" s="1" t="s">
        <v>46</v>
      </c>
      <c r="F5" s="1" t="s">
        <v>935</v>
      </c>
      <c r="G5" s="1" t="s">
        <v>131</v>
      </c>
      <c r="H5" s="32" t="s">
        <v>937</v>
      </c>
      <c r="I5" s="32">
        <v>5</v>
      </c>
      <c r="J5" s="3">
        <v>84.716666666666669</v>
      </c>
      <c r="K5" s="3">
        <v>1.9451600000000002</v>
      </c>
      <c r="L5" s="3">
        <v>59.934733333333327</v>
      </c>
      <c r="M5" s="3">
        <v>1.5229999999999999</v>
      </c>
      <c r="N5" s="3">
        <v>23.366666666666664</v>
      </c>
      <c r="O5" s="3">
        <v>0.436</v>
      </c>
      <c r="P5" s="3">
        <v>7.3004166666666662E-2</v>
      </c>
      <c r="Q5" s="3">
        <v>145</v>
      </c>
      <c r="R5" s="3">
        <v>13.785966666666665</v>
      </c>
      <c r="S5" s="3">
        <v>0.05</v>
      </c>
    </row>
    <row r="6" spans="1:19" ht="17" x14ac:dyDescent="0.2">
      <c r="A6" s="31" t="s">
        <v>51</v>
      </c>
      <c r="B6" s="31" t="s">
        <v>60</v>
      </c>
      <c r="C6" s="1" t="s">
        <v>938</v>
      </c>
      <c r="D6" s="1" t="s">
        <v>25</v>
      </c>
      <c r="E6" s="1" t="s">
        <v>46</v>
      </c>
      <c r="F6" s="1" t="s">
        <v>935</v>
      </c>
      <c r="G6" s="1" t="s">
        <v>131</v>
      </c>
      <c r="H6" s="32" t="s">
        <v>937</v>
      </c>
      <c r="I6" s="32">
        <v>7</v>
      </c>
      <c r="J6" s="3">
        <v>91</v>
      </c>
      <c r="K6" s="3">
        <v>1.0833333333333335</v>
      </c>
      <c r="L6" s="3">
        <v>70.857142857142861</v>
      </c>
      <c r="M6" s="3">
        <v>1.4633333333333332</v>
      </c>
      <c r="N6" s="3">
        <v>23</v>
      </c>
      <c r="O6" s="3">
        <v>0.34199999999999997</v>
      </c>
      <c r="P6" s="3">
        <v>3.3666666666666671E-2</v>
      </c>
      <c r="Q6" s="3">
        <v>16</v>
      </c>
      <c r="R6" s="3">
        <v>30.857142857142858</v>
      </c>
      <c r="S6" s="3">
        <v>0.22499999999999998</v>
      </c>
    </row>
    <row r="7" spans="1:19" ht="17" x14ac:dyDescent="0.2">
      <c r="A7" s="31" t="s">
        <v>107</v>
      </c>
      <c r="B7" s="31" t="s">
        <v>108</v>
      </c>
      <c r="C7" s="1" t="s">
        <v>109</v>
      </c>
      <c r="D7" s="1" t="s">
        <v>31</v>
      </c>
      <c r="E7" s="1" t="s">
        <v>46</v>
      </c>
      <c r="F7" s="1" t="s">
        <v>935</v>
      </c>
      <c r="G7" s="1" t="s">
        <v>131</v>
      </c>
      <c r="H7" s="32" t="s">
        <v>937</v>
      </c>
      <c r="I7" s="32">
        <v>9</v>
      </c>
      <c r="J7" s="3">
        <v>92.42</v>
      </c>
      <c r="K7" s="3">
        <v>0.95985555555555535</v>
      </c>
      <c r="L7" s="3">
        <v>22.800369999999994</v>
      </c>
      <c r="M7" s="3">
        <v>1.1175599999999997</v>
      </c>
      <c r="N7" s="3">
        <v>16.333333333333332</v>
      </c>
      <c r="O7" s="3">
        <v>0.46800000000000003</v>
      </c>
      <c r="P7" s="3">
        <v>4.1058333333333329E-2</v>
      </c>
      <c r="Q7" s="3">
        <v>80</v>
      </c>
      <c r="R7" s="3">
        <v>24.844977777777771</v>
      </c>
      <c r="S7" s="3">
        <v>1.5649999999999999</v>
      </c>
    </row>
    <row r="8" spans="1:19" ht="34" x14ac:dyDescent="0.2">
      <c r="A8" s="31" t="s">
        <v>164</v>
      </c>
      <c r="B8" s="31" t="s">
        <v>45</v>
      </c>
      <c r="C8" s="1" t="s">
        <v>939</v>
      </c>
      <c r="D8" s="1" t="s">
        <v>56</v>
      </c>
      <c r="E8" s="1" t="s">
        <v>46</v>
      </c>
      <c r="F8" s="1" t="s">
        <v>935</v>
      </c>
      <c r="G8" s="1" t="s">
        <v>166</v>
      </c>
      <c r="H8" s="32" t="s">
        <v>936</v>
      </c>
      <c r="I8" s="32">
        <v>7</v>
      </c>
      <c r="J8" s="3">
        <v>89.65</v>
      </c>
      <c r="K8" s="3">
        <v>1.2671428571428571</v>
      </c>
      <c r="L8" s="3">
        <v>54.442857142857143</v>
      </c>
      <c r="M8" s="3">
        <v>1.0471428571428569</v>
      </c>
      <c r="N8" s="3">
        <v>24</v>
      </c>
      <c r="O8" s="3">
        <v>0.55833333333333346</v>
      </c>
      <c r="P8" s="3">
        <v>7.0321310116086236E-2</v>
      </c>
      <c r="Q8" s="3">
        <v>71</v>
      </c>
      <c r="R8" s="3">
        <v>94.171428571428578</v>
      </c>
      <c r="S8" s="3">
        <v>0.87999999999999989</v>
      </c>
    </row>
    <row r="9" spans="1:19" ht="17" x14ac:dyDescent="0.2">
      <c r="A9" s="31" t="s">
        <v>164</v>
      </c>
      <c r="B9" s="31" t="s">
        <v>45</v>
      </c>
      <c r="C9" s="1" t="s">
        <v>179</v>
      </c>
      <c r="D9" s="1" t="s">
        <v>56</v>
      </c>
      <c r="E9" s="1" t="s">
        <v>46</v>
      </c>
      <c r="F9" s="1" t="s">
        <v>935</v>
      </c>
      <c r="G9" s="1" t="s">
        <v>940</v>
      </c>
      <c r="H9" s="32" t="s">
        <v>937</v>
      </c>
      <c r="I9" s="32">
        <v>13</v>
      </c>
      <c r="J9" s="3">
        <v>91.712499999999991</v>
      </c>
      <c r="K9" s="3">
        <v>1.1546153846153844</v>
      </c>
      <c r="L9" s="3">
        <v>48.284615384615385</v>
      </c>
      <c r="M9" s="3">
        <v>0.73583333333333334</v>
      </c>
      <c r="N9" s="3">
        <v>17.714285714285715</v>
      </c>
      <c r="O9" s="3">
        <v>0.26666666666666666</v>
      </c>
      <c r="P9" s="3">
        <v>1.9977093698175789E-2</v>
      </c>
      <c r="Q9" s="3">
        <v>49.5</v>
      </c>
      <c r="R9" s="3">
        <v>46.661538461538463</v>
      </c>
      <c r="S9" s="3">
        <v>0.20250000000000004</v>
      </c>
    </row>
    <row r="10" spans="1:19" ht="34" x14ac:dyDescent="0.2">
      <c r="A10" s="31" t="s">
        <v>164</v>
      </c>
      <c r="B10" s="31" t="s">
        <v>45</v>
      </c>
      <c r="C10" s="1" t="s">
        <v>180</v>
      </c>
      <c r="D10" s="1" t="s">
        <v>56</v>
      </c>
      <c r="E10" s="1" t="s">
        <v>46</v>
      </c>
      <c r="F10" s="1" t="s">
        <v>935</v>
      </c>
      <c r="G10" s="1" t="s">
        <v>166</v>
      </c>
      <c r="H10" s="32" t="s">
        <v>936</v>
      </c>
      <c r="I10" s="32">
        <v>8</v>
      </c>
      <c r="J10" s="3">
        <v>91</v>
      </c>
      <c r="K10" s="3">
        <v>1.3549999999999998</v>
      </c>
      <c r="L10" s="3">
        <v>26</v>
      </c>
      <c r="M10" s="3">
        <v>0.8500000000000002</v>
      </c>
      <c r="N10" s="3">
        <v>18.333333333333332</v>
      </c>
      <c r="O10" s="3">
        <v>0.36857142857142861</v>
      </c>
      <c r="P10" s="3">
        <v>3.298645660585959E-3</v>
      </c>
      <c r="Q10" s="3">
        <v>57</v>
      </c>
      <c r="R10" s="3">
        <v>85.662500000000009</v>
      </c>
      <c r="S10" s="3">
        <v>0.16344999999999998</v>
      </c>
    </row>
    <row r="11" spans="1:19" ht="17" x14ac:dyDescent="0.2">
      <c r="A11" s="31" t="s">
        <v>164</v>
      </c>
      <c r="B11" s="31" t="s">
        <v>45</v>
      </c>
      <c r="C11" s="1" t="s">
        <v>175</v>
      </c>
      <c r="D11" s="1" t="s">
        <v>25</v>
      </c>
      <c r="E11" s="1" t="s">
        <v>46</v>
      </c>
      <c r="F11" s="1" t="s">
        <v>935</v>
      </c>
      <c r="G11" s="1" t="s">
        <v>105</v>
      </c>
      <c r="H11" s="32" t="s">
        <v>937</v>
      </c>
      <c r="I11" s="32">
        <v>10</v>
      </c>
      <c r="J11" s="3">
        <v>87.56</v>
      </c>
      <c r="K11" s="3">
        <v>1.6049999999999998</v>
      </c>
      <c r="L11" s="3">
        <v>238.7</v>
      </c>
      <c r="M11" s="3">
        <v>1.5509999999999999</v>
      </c>
      <c r="N11" s="3">
        <v>51.75</v>
      </c>
      <c r="O11" s="3">
        <v>0.32124999999999998</v>
      </c>
      <c r="P11" s="3">
        <v>0.2635935634328358</v>
      </c>
      <c r="Q11" s="3">
        <v>99.333333333333329</v>
      </c>
      <c r="R11" s="3">
        <v>91.33</v>
      </c>
      <c r="S11" s="3">
        <v>1.51</v>
      </c>
    </row>
    <row r="12" spans="1:19" ht="17" x14ac:dyDescent="0.2">
      <c r="A12" s="31" t="s">
        <v>164</v>
      </c>
      <c r="B12" s="31" t="s">
        <v>162</v>
      </c>
      <c r="C12" s="1" t="s">
        <v>941</v>
      </c>
      <c r="D12" s="1" t="s">
        <v>56</v>
      </c>
      <c r="E12" s="1" t="s">
        <v>46</v>
      </c>
      <c r="F12" s="1" t="s">
        <v>935</v>
      </c>
      <c r="G12" s="1" t="s">
        <v>105</v>
      </c>
      <c r="H12" s="32" t="s">
        <v>937</v>
      </c>
      <c r="I12" s="32">
        <v>34</v>
      </c>
      <c r="J12" s="3">
        <v>93.237500000000011</v>
      </c>
      <c r="K12" s="3">
        <v>0.69828571428571451</v>
      </c>
      <c r="L12" s="3">
        <v>136.32777777777778</v>
      </c>
      <c r="M12" s="3">
        <v>1.2313888888888889</v>
      </c>
      <c r="N12" s="3">
        <v>23.857142857142858</v>
      </c>
      <c r="O12" s="3">
        <v>0.22967741935483874</v>
      </c>
      <c r="P12" s="3">
        <v>0.18336100515938825</v>
      </c>
      <c r="Q12" s="3">
        <v>73.857142857142861</v>
      </c>
      <c r="R12" s="3">
        <v>55.25714285714286</v>
      </c>
      <c r="S12" s="3">
        <v>0.84576923076923083</v>
      </c>
    </row>
    <row r="13" spans="1:19" ht="34" x14ac:dyDescent="0.2">
      <c r="A13" s="31" t="s">
        <v>208</v>
      </c>
      <c r="B13" s="31" t="s">
        <v>205</v>
      </c>
      <c r="C13" s="1" t="s">
        <v>206</v>
      </c>
      <c r="D13" s="1" t="s">
        <v>25</v>
      </c>
      <c r="E13" s="1" t="s">
        <v>26</v>
      </c>
      <c r="F13" s="1" t="s">
        <v>935</v>
      </c>
      <c r="G13" s="1" t="s">
        <v>28</v>
      </c>
      <c r="H13" s="32" t="s">
        <v>936</v>
      </c>
      <c r="I13" s="32">
        <v>17</v>
      </c>
      <c r="J13" s="3">
        <v>87.691111111111113</v>
      </c>
      <c r="K13" s="3">
        <v>1.3384210526315787</v>
      </c>
      <c r="L13" s="3">
        <v>17.49476842105263</v>
      </c>
      <c r="M13" s="3">
        <v>1.1298111111111111</v>
      </c>
      <c r="N13" s="3">
        <v>17.333333333333332</v>
      </c>
      <c r="O13" s="3">
        <v>0.2446153846153846</v>
      </c>
      <c r="P13" s="3">
        <v>0.11407912494817578</v>
      </c>
      <c r="Q13" s="3">
        <v>24.333333333333332</v>
      </c>
      <c r="R13" s="3">
        <v>116.79510526315789</v>
      </c>
      <c r="S13" s="3">
        <v>2.1209090909090911</v>
      </c>
    </row>
    <row r="14" spans="1:19" ht="34" x14ac:dyDescent="0.2">
      <c r="A14" s="31" t="s">
        <v>272</v>
      </c>
      <c r="B14" s="31" t="s">
        <v>277</v>
      </c>
      <c r="C14" s="1" t="s">
        <v>280</v>
      </c>
      <c r="D14" s="1" t="s">
        <v>56</v>
      </c>
      <c r="E14" s="1" t="s">
        <v>42</v>
      </c>
      <c r="F14" s="1" t="s">
        <v>935</v>
      </c>
      <c r="G14" s="1" t="s">
        <v>28</v>
      </c>
      <c r="H14" s="32" t="s">
        <v>936</v>
      </c>
      <c r="I14" s="32">
        <v>12</v>
      </c>
      <c r="J14" s="3">
        <v>95.833333333333329</v>
      </c>
      <c r="K14" s="3">
        <v>0.40416666666666662</v>
      </c>
      <c r="L14" s="3">
        <v>22.516666666666666</v>
      </c>
      <c r="M14" s="3">
        <v>0.70909090909090911</v>
      </c>
      <c r="N14" s="3">
        <v>12.666666666666666</v>
      </c>
      <c r="O14" s="3">
        <v>0.23300000000000004</v>
      </c>
      <c r="P14" s="3">
        <v>9.6763207770670465E-3</v>
      </c>
      <c r="Q14" s="3"/>
      <c r="R14" s="3">
        <v>10.9</v>
      </c>
      <c r="S14" s="3">
        <v>0.11222222222222225</v>
      </c>
    </row>
    <row r="15" spans="1:19" ht="34" x14ac:dyDescent="0.2">
      <c r="A15" s="31" t="s">
        <v>281</v>
      </c>
      <c r="B15" s="31" t="s">
        <v>79</v>
      </c>
      <c r="C15" s="1" t="s">
        <v>942</v>
      </c>
      <c r="D15" s="1" t="s">
        <v>56</v>
      </c>
      <c r="E15" s="1" t="s">
        <v>42</v>
      </c>
      <c r="F15" s="1" t="s">
        <v>935</v>
      </c>
      <c r="G15" s="1" t="s">
        <v>28</v>
      </c>
      <c r="H15" s="32" t="s">
        <v>936</v>
      </c>
      <c r="I15" s="32">
        <v>5</v>
      </c>
      <c r="J15" s="3"/>
      <c r="K15" s="3">
        <v>0.85499999999999998</v>
      </c>
      <c r="L15" s="3">
        <v>19</v>
      </c>
      <c r="M15" s="3">
        <v>0.46666666666666662</v>
      </c>
      <c r="N15" s="3">
        <v>18.5</v>
      </c>
      <c r="O15" s="3">
        <v>0.28999999999999998</v>
      </c>
      <c r="P15" s="3">
        <v>8.9000414593698174E-3</v>
      </c>
      <c r="Q15" s="3">
        <v>17</v>
      </c>
      <c r="R15" s="3">
        <v>14.866666666666665</v>
      </c>
      <c r="S15" s="3">
        <v>0.23833333333333331</v>
      </c>
    </row>
    <row r="16" spans="1:19" ht="34" x14ac:dyDescent="0.2">
      <c r="A16" s="31" t="s">
        <v>281</v>
      </c>
      <c r="B16" s="31" t="s">
        <v>79</v>
      </c>
      <c r="C16" s="1" t="s">
        <v>287</v>
      </c>
      <c r="D16" s="1" t="s">
        <v>56</v>
      </c>
      <c r="E16" s="1" t="s">
        <v>42</v>
      </c>
      <c r="F16" s="1" t="s">
        <v>935</v>
      </c>
      <c r="G16" s="1" t="s">
        <v>28</v>
      </c>
      <c r="H16" s="32" t="s">
        <v>936</v>
      </c>
      <c r="I16" s="32">
        <v>5</v>
      </c>
      <c r="J16" s="3"/>
      <c r="K16" s="3">
        <v>1.5925000000000002</v>
      </c>
      <c r="L16" s="3">
        <v>36.625</v>
      </c>
      <c r="M16" s="3">
        <v>0.67874999999999996</v>
      </c>
      <c r="N16" s="3">
        <v>24.5</v>
      </c>
      <c r="O16" s="3">
        <v>0.16166666666666665</v>
      </c>
      <c r="P16" s="3">
        <v>0.17970837479270316</v>
      </c>
      <c r="Q16" s="3">
        <v>29.25</v>
      </c>
      <c r="R16" s="3">
        <v>17.25</v>
      </c>
      <c r="S16" s="3">
        <v>1.06</v>
      </c>
    </row>
    <row r="17" spans="1:19" ht="34" x14ac:dyDescent="0.2">
      <c r="A17" s="31" t="s">
        <v>298</v>
      </c>
      <c r="B17" s="31" t="s">
        <v>302</v>
      </c>
      <c r="C17" s="1" t="s">
        <v>303</v>
      </c>
      <c r="D17" s="1" t="s">
        <v>31</v>
      </c>
      <c r="E17" s="1" t="s">
        <v>46</v>
      </c>
      <c r="F17" s="1" t="s">
        <v>935</v>
      </c>
      <c r="G17" s="1" t="s">
        <v>166</v>
      </c>
      <c r="H17" s="32" t="s">
        <v>936</v>
      </c>
      <c r="I17" s="32">
        <v>7</v>
      </c>
      <c r="J17" s="3">
        <v>83.637500000000003</v>
      </c>
      <c r="K17" s="3">
        <v>3.5757250000000003</v>
      </c>
      <c r="L17" s="3">
        <v>63.249325000000013</v>
      </c>
      <c r="M17" s="3">
        <v>1.3334374999999998</v>
      </c>
      <c r="N17" s="3">
        <v>42.333333333333336</v>
      </c>
      <c r="O17" s="3">
        <v>0.49</v>
      </c>
      <c r="P17" s="3">
        <v>0.55353333333333343</v>
      </c>
      <c r="Q17" s="3">
        <v>68</v>
      </c>
      <c r="R17" s="3">
        <v>7.7173333333333325</v>
      </c>
      <c r="S17" s="3">
        <v>0.19</v>
      </c>
    </row>
    <row r="18" spans="1:19" ht="17" x14ac:dyDescent="0.2">
      <c r="A18" s="31" t="s">
        <v>385</v>
      </c>
      <c r="B18" s="31" t="s">
        <v>331</v>
      </c>
      <c r="C18" s="1" t="s">
        <v>387</v>
      </c>
      <c r="D18" s="1" t="s">
        <v>56</v>
      </c>
      <c r="E18" s="1" t="s">
        <v>46</v>
      </c>
      <c r="F18" s="1" t="s">
        <v>935</v>
      </c>
      <c r="G18" s="1" t="s">
        <v>105</v>
      </c>
      <c r="H18" s="32" t="s">
        <v>937</v>
      </c>
      <c r="I18" s="32">
        <v>19</v>
      </c>
      <c r="J18" s="3">
        <v>95.037000000000006</v>
      </c>
      <c r="K18" s="3">
        <v>0.70263157894736827</v>
      </c>
      <c r="L18" s="3">
        <v>37.421052631578945</v>
      </c>
      <c r="M18" s="3">
        <v>1.0152631578947371</v>
      </c>
      <c r="N18" s="3">
        <v>12.9</v>
      </c>
      <c r="O18" s="3">
        <v>0.17071428571428568</v>
      </c>
      <c r="P18" s="3">
        <v>0.11845855721393037</v>
      </c>
      <c r="Q18" s="3">
        <v>62.4</v>
      </c>
      <c r="R18" s="3">
        <v>8.7252631578947373</v>
      </c>
      <c r="S18" s="3">
        <v>0.36230769230769233</v>
      </c>
    </row>
    <row r="19" spans="1:19" ht="34" x14ac:dyDescent="0.2">
      <c r="A19" s="31" t="s">
        <v>500</v>
      </c>
      <c r="B19" s="31" t="s">
        <v>88</v>
      </c>
      <c r="C19" s="1" t="s">
        <v>501</v>
      </c>
      <c r="D19" s="1" t="s">
        <v>31</v>
      </c>
      <c r="E19" s="1" t="s">
        <v>32</v>
      </c>
      <c r="F19" s="1" t="s">
        <v>935</v>
      </c>
      <c r="G19" s="1" t="s">
        <v>28</v>
      </c>
      <c r="H19" s="32" t="s">
        <v>936</v>
      </c>
      <c r="I19" s="32">
        <v>7</v>
      </c>
      <c r="J19" s="3">
        <v>76.412307692307692</v>
      </c>
      <c r="K19" s="3">
        <v>2.7969666666666666</v>
      </c>
      <c r="L19" s="3">
        <v>11.847207692307689</v>
      </c>
      <c r="M19" s="3">
        <v>0.69093076923076935</v>
      </c>
      <c r="N19" s="3">
        <v>26.166666666666668</v>
      </c>
      <c r="O19" s="3">
        <v>0.55999999999999994</v>
      </c>
      <c r="P19" s="3">
        <v>1.3962870370370369E-2</v>
      </c>
      <c r="Q19" s="3">
        <v>53.5</v>
      </c>
      <c r="R19" s="3">
        <v>13.305861538461537</v>
      </c>
      <c r="S19" s="3">
        <v>1.4500000000000002</v>
      </c>
    </row>
    <row r="20" spans="1:19" ht="34" x14ac:dyDescent="0.2">
      <c r="A20" s="31" t="s">
        <v>505</v>
      </c>
      <c r="B20" s="31" t="s">
        <v>146</v>
      </c>
      <c r="C20" s="1" t="s">
        <v>943</v>
      </c>
      <c r="D20" s="1" t="s">
        <v>25</v>
      </c>
      <c r="E20" s="1" t="s">
        <v>42</v>
      </c>
      <c r="F20" s="1" t="s">
        <v>935</v>
      </c>
      <c r="G20" s="1" t="s">
        <v>28</v>
      </c>
      <c r="H20" s="32" t="s">
        <v>936</v>
      </c>
      <c r="I20" s="32">
        <v>3</v>
      </c>
      <c r="J20" s="3">
        <v>90.49666666666667</v>
      </c>
      <c r="K20" s="3">
        <v>2.4333333333333331</v>
      </c>
      <c r="L20" s="3">
        <v>41.333333333333336</v>
      </c>
      <c r="M20" s="3">
        <v>0.9900000000000001</v>
      </c>
      <c r="N20" s="3">
        <v>28</v>
      </c>
      <c r="O20" s="3">
        <v>0.24</v>
      </c>
      <c r="P20" s="3">
        <v>2.2466666666666666E-2</v>
      </c>
      <c r="Q20" s="3">
        <v>35</v>
      </c>
      <c r="R20" s="3">
        <v>15.833333333333334</v>
      </c>
      <c r="S20" s="3">
        <v>0.41</v>
      </c>
    </row>
    <row r="21" spans="1:19" ht="34" x14ac:dyDescent="0.2">
      <c r="A21" s="31" t="s">
        <v>525</v>
      </c>
      <c r="B21" s="31" t="s">
        <v>398</v>
      </c>
      <c r="C21" s="1" t="s">
        <v>526</v>
      </c>
      <c r="D21" s="1" t="s">
        <v>56</v>
      </c>
      <c r="E21" s="1" t="s">
        <v>42</v>
      </c>
      <c r="F21" s="1" t="s">
        <v>935</v>
      </c>
      <c r="G21" s="1" t="s">
        <v>27</v>
      </c>
      <c r="H21" s="32" t="s">
        <v>936</v>
      </c>
      <c r="I21" s="32">
        <v>1</v>
      </c>
      <c r="J21" s="3">
        <v>88.245000000000005</v>
      </c>
      <c r="K21" s="3">
        <v>2.2000000000000002</v>
      </c>
      <c r="L21" s="3">
        <v>46.5</v>
      </c>
      <c r="M21" s="3">
        <v>1.69</v>
      </c>
      <c r="N21" s="3">
        <v>24</v>
      </c>
      <c r="O21" s="3">
        <v>0.27</v>
      </c>
      <c r="P21" s="3">
        <v>3.73E-2</v>
      </c>
      <c r="Q21" s="3">
        <v>42</v>
      </c>
      <c r="R21" s="3">
        <v>56</v>
      </c>
      <c r="S21" s="3">
        <v>0.39</v>
      </c>
    </row>
    <row r="22" spans="1:19" ht="34" x14ac:dyDescent="0.2">
      <c r="A22" s="31" t="s">
        <v>601</v>
      </c>
      <c r="B22" s="31" t="s">
        <v>614</v>
      </c>
      <c r="C22" s="1" t="s">
        <v>615</v>
      </c>
      <c r="D22" s="1" t="s">
        <v>25</v>
      </c>
      <c r="E22" s="1" t="s">
        <v>46</v>
      </c>
      <c r="F22" s="1" t="s">
        <v>935</v>
      </c>
      <c r="G22" s="1" t="s">
        <v>28</v>
      </c>
      <c r="H22" s="32" t="s">
        <v>936</v>
      </c>
      <c r="I22" s="32">
        <v>16</v>
      </c>
      <c r="J22" s="3">
        <v>94.316000000000003</v>
      </c>
      <c r="K22" s="3">
        <v>0.56352941176470595</v>
      </c>
      <c r="L22" s="3">
        <v>12.823529411764707</v>
      </c>
      <c r="M22" s="3">
        <v>0.60875000000000001</v>
      </c>
      <c r="N22" s="3">
        <v>11.25</v>
      </c>
      <c r="O22" s="3">
        <v>0.20333333333333339</v>
      </c>
      <c r="P22" s="3">
        <v>5.9944332260267283E-2</v>
      </c>
      <c r="Q22" s="3">
        <v>16.8</v>
      </c>
      <c r="R22" s="3">
        <v>20.688235294117646</v>
      </c>
      <c r="S22" s="3">
        <v>1.4746153846153844</v>
      </c>
    </row>
    <row r="23" spans="1:19" ht="34" x14ac:dyDescent="0.2">
      <c r="A23" s="31" t="s">
        <v>601</v>
      </c>
      <c r="B23" s="31" t="s">
        <v>618</v>
      </c>
      <c r="C23" s="1" t="s">
        <v>619</v>
      </c>
      <c r="D23" s="1" t="s">
        <v>25</v>
      </c>
      <c r="E23" s="1" t="s">
        <v>46</v>
      </c>
      <c r="F23" s="1" t="s">
        <v>935</v>
      </c>
      <c r="G23" s="1" t="s">
        <v>28</v>
      </c>
      <c r="H23" s="32" t="s">
        <v>936</v>
      </c>
      <c r="I23" s="32">
        <v>8</v>
      </c>
      <c r="J23" s="3">
        <v>92.166666666666671</v>
      </c>
      <c r="K23" s="3">
        <v>1.17875</v>
      </c>
      <c r="L23" s="3">
        <v>14.5</v>
      </c>
      <c r="M23" s="3">
        <v>0.75857142857142856</v>
      </c>
      <c r="N23" s="3">
        <v>15</v>
      </c>
      <c r="O23" s="3">
        <v>0.20400000000000001</v>
      </c>
      <c r="P23" s="3">
        <v>9.1459369817578769E-4</v>
      </c>
      <c r="Q23" s="3">
        <v>13.5</v>
      </c>
      <c r="R23" s="3">
        <v>5.65</v>
      </c>
      <c r="S23" s="3">
        <v>0.10499999999999998</v>
      </c>
    </row>
    <row r="24" spans="1:19" ht="17" x14ac:dyDescent="0.2">
      <c r="A24" s="31" t="s">
        <v>633</v>
      </c>
      <c r="B24" s="31" t="s">
        <v>45</v>
      </c>
      <c r="C24" s="1" t="s">
        <v>634</v>
      </c>
      <c r="D24" s="1" t="s">
        <v>56</v>
      </c>
      <c r="E24" s="1" t="s">
        <v>46</v>
      </c>
      <c r="F24" s="1" t="s">
        <v>935</v>
      </c>
      <c r="G24" s="1" t="s">
        <v>105</v>
      </c>
      <c r="H24" s="32" t="s">
        <v>937</v>
      </c>
      <c r="I24" s="32">
        <v>5</v>
      </c>
      <c r="J24" s="3">
        <v>91.2</v>
      </c>
      <c r="K24" s="3">
        <v>0.95600000000000007</v>
      </c>
      <c r="L24" s="3">
        <v>88.4</v>
      </c>
      <c r="M24" s="3">
        <v>2.1060000000000003</v>
      </c>
      <c r="N24" s="3">
        <v>85.5</v>
      </c>
      <c r="O24" s="3">
        <v>0.48666666666666664</v>
      </c>
      <c r="P24" s="3">
        <v>0.36230126036484245</v>
      </c>
      <c r="Q24" s="3">
        <v>194</v>
      </c>
      <c r="R24" s="3">
        <v>35.22</v>
      </c>
      <c r="S24" s="3">
        <v>1.7066666666666668</v>
      </c>
    </row>
    <row r="25" spans="1:19" ht="34" x14ac:dyDescent="0.2">
      <c r="A25" s="31" t="s">
        <v>688</v>
      </c>
      <c r="B25" s="31" t="s">
        <v>689</v>
      </c>
      <c r="C25" s="1" t="s">
        <v>691</v>
      </c>
      <c r="D25" s="1" t="s">
        <v>56</v>
      </c>
      <c r="E25" s="1" t="s">
        <v>46</v>
      </c>
      <c r="F25" s="1" t="s">
        <v>935</v>
      </c>
      <c r="G25" s="1" t="s">
        <v>37</v>
      </c>
      <c r="H25" s="32" t="s">
        <v>936</v>
      </c>
      <c r="I25" s="32">
        <v>3</v>
      </c>
      <c r="J25" s="3">
        <v>75.77</v>
      </c>
      <c r="K25" s="3">
        <v>1.8166666666666667</v>
      </c>
      <c r="L25" s="3">
        <v>13</v>
      </c>
      <c r="M25" s="3">
        <v>0.71333333333333337</v>
      </c>
      <c r="N25" s="3">
        <v>39.666666666666664</v>
      </c>
      <c r="O25" s="3">
        <v>0.45500000000000002</v>
      </c>
      <c r="P25" s="3">
        <v>5.8249999999999994E-3</v>
      </c>
      <c r="Q25" s="3">
        <v>21.0275</v>
      </c>
      <c r="R25" s="3">
        <v>8.5333333333333332</v>
      </c>
      <c r="S25" s="3">
        <v>7.0000000000000007E-2</v>
      </c>
    </row>
    <row r="26" spans="1:19" ht="17" x14ac:dyDescent="0.2">
      <c r="I26" s="148" t="s">
        <v>944</v>
      </c>
      <c r="J26" s="3"/>
      <c r="K26" s="3">
        <f>MIN(K4:K25)</f>
        <v>0.40416666666666662</v>
      </c>
      <c r="L26" s="3">
        <f t="shared" ref="L26:S26" si="0">MIN(L4:L25)</f>
        <v>11.847207692307689</v>
      </c>
      <c r="M26" s="3">
        <f t="shared" si="0"/>
        <v>0.46666666666666662</v>
      </c>
      <c r="N26" s="3">
        <f t="shared" si="0"/>
        <v>11.25</v>
      </c>
      <c r="O26" s="3">
        <f t="shared" si="0"/>
        <v>0.16166666666666665</v>
      </c>
      <c r="P26" s="3">
        <f t="shared" si="0"/>
        <v>9.1459369817578769E-4</v>
      </c>
      <c r="Q26" s="3">
        <f t="shared" si="0"/>
        <v>13.5</v>
      </c>
      <c r="R26" s="3">
        <f t="shared" si="0"/>
        <v>5.65</v>
      </c>
      <c r="S26" s="3">
        <f t="shared" si="0"/>
        <v>0.05</v>
      </c>
    </row>
    <row r="27" spans="1:19" ht="17" x14ac:dyDescent="0.2">
      <c r="I27" s="148" t="s">
        <v>945</v>
      </c>
      <c r="J27" s="3"/>
      <c r="K27" s="3">
        <f t="shared" ref="K27:S27" si="1">MAX(K4:K25)</f>
        <v>3.5757250000000003</v>
      </c>
      <c r="L27" s="3">
        <f t="shared" si="1"/>
        <v>238.7</v>
      </c>
      <c r="M27" s="3">
        <f t="shared" si="1"/>
        <v>2.1060000000000003</v>
      </c>
      <c r="N27" s="3">
        <f t="shared" si="1"/>
        <v>85.5</v>
      </c>
      <c r="O27" s="3">
        <f t="shared" si="1"/>
        <v>0.55999999999999994</v>
      </c>
      <c r="P27" s="3">
        <f t="shared" si="1"/>
        <v>0.55353333333333343</v>
      </c>
      <c r="Q27" s="3">
        <f t="shared" si="1"/>
        <v>194</v>
      </c>
      <c r="R27" s="3">
        <f t="shared" si="1"/>
        <v>116.79510526315789</v>
      </c>
      <c r="S27" s="3">
        <f t="shared" si="1"/>
        <v>2.1209090909090911</v>
      </c>
    </row>
    <row r="28" spans="1:19" ht="17" x14ac:dyDescent="0.2">
      <c r="I28" s="149" t="s">
        <v>946</v>
      </c>
      <c r="J28" s="3"/>
      <c r="K28" s="3">
        <f t="shared" ref="K28:S28" si="2">K27-K26</f>
        <v>3.1715583333333335</v>
      </c>
      <c r="L28" s="3">
        <f t="shared" si="2"/>
        <v>226.85279230769231</v>
      </c>
      <c r="M28" s="3">
        <f t="shared" si="2"/>
        <v>1.6393333333333338</v>
      </c>
      <c r="N28" s="3">
        <f t="shared" si="2"/>
        <v>74.25</v>
      </c>
      <c r="O28" s="3">
        <f t="shared" si="2"/>
        <v>0.39833333333333332</v>
      </c>
      <c r="P28" s="3">
        <f t="shared" si="2"/>
        <v>0.55261873963515762</v>
      </c>
      <c r="Q28" s="3">
        <f t="shared" si="2"/>
        <v>180.5</v>
      </c>
      <c r="R28" s="3">
        <f t="shared" si="2"/>
        <v>111.14510526315789</v>
      </c>
      <c r="S28" s="3">
        <f t="shared" si="2"/>
        <v>2.0709090909090913</v>
      </c>
    </row>
    <row r="29" spans="1:19" x14ac:dyDescent="0.2">
      <c r="I29" s="149"/>
    </row>
    <row r="30" spans="1:19" ht="51" x14ac:dyDescent="0.2">
      <c r="I30" s="149"/>
      <c r="K30" s="208" t="s">
        <v>10</v>
      </c>
      <c r="L30" s="208" t="s">
        <v>11</v>
      </c>
      <c r="M30" s="208" t="s">
        <v>12</v>
      </c>
      <c r="N30" s="9" t="s">
        <v>13</v>
      </c>
      <c r="O30" s="208" t="s">
        <v>14</v>
      </c>
      <c r="P30" s="209" t="s">
        <v>933</v>
      </c>
      <c r="Q30" s="208" t="s">
        <v>15</v>
      </c>
      <c r="R30" s="208" t="s">
        <v>16</v>
      </c>
      <c r="S30" s="208" t="s">
        <v>890</v>
      </c>
    </row>
    <row r="31" spans="1:19" ht="34" x14ac:dyDescent="0.2">
      <c r="H31" s="151" t="s">
        <v>947</v>
      </c>
      <c r="I31" s="151" t="s">
        <v>948</v>
      </c>
      <c r="J31" s="152"/>
      <c r="K31" s="210">
        <v>0</v>
      </c>
      <c r="L31" s="210">
        <v>0</v>
      </c>
      <c r="M31" s="210">
        <v>0</v>
      </c>
      <c r="N31" s="210">
        <v>0</v>
      </c>
      <c r="O31" s="210">
        <v>0</v>
      </c>
      <c r="P31" s="210">
        <v>0</v>
      </c>
      <c r="Q31" s="210">
        <v>0</v>
      </c>
      <c r="R31" s="210">
        <v>0</v>
      </c>
      <c r="S31" s="210">
        <v>0</v>
      </c>
    </row>
    <row r="32" spans="1:19" ht="51" x14ac:dyDescent="0.2">
      <c r="H32" s="151" t="s">
        <v>949</v>
      </c>
      <c r="I32" s="151" t="s">
        <v>950</v>
      </c>
      <c r="J32" s="152"/>
      <c r="K32" s="210">
        <f>K26-0.01</f>
        <v>0.39416666666666661</v>
      </c>
      <c r="L32" s="210">
        <f t="shared" ref="L32:S32" si="3">L26-0.01</f>
        <v>11.83720769230769</v>
      </c>
      <c r="M32" s="210">
        <f t="shared" si="3"/>
        <v>0.45666666666666661</v>
      </c>
      <c r="N32" s="210">
        <f t="shared" si="3"/>
        <v>11.24</v>
      </c>
      <c r="O32" s="210">
        <f t="shared" si="3"/>
        <v>0.15166666666666664</v>
      </c>
      <c r="P32" s="210">
        <f t="shared" si="3"/>
        <v>-9.0854063018242122E-3</v>
      </c>
      <c r="Q32" s="210">
        <f t="shared" si="3"/>
        <v>13.49</v>
      </c>
      <c r="R32" s="210">
        <f t="shared" si="3"/>
        <v>5.6400000000000006</v>
      </c>
      <c r="S32" s="210">
        <f t="shared" si="3"/>
        <v>0.04</v>
      </c>
    </row>
    <row r="33" spans="7:19" ht="17" x14ac:dyDescent="0.2">
      <c r="G33" s="153">
        <v>1</v>
      </c>
      <c r="H33" s="154" t="s">
        <v>951</v>
      </c>
      <c r="I33" s="154" t="s">
        <v>952</v>
      </c>
      <c r="J33" s="155"/>
      <c r="K33" s="211">
        <f>K26</f>
        <v>0.40416666666666662</v>
      </c>
      <c r="L33" s="211">
        <f t="shared" ref="L33:S33" si="4">L26</f>
        <v>11.847207692307689</v>
      </c>
      <c r="M33" s="211">
        <f t="shared" si="4"/>
        <v>0.46666666666666662</v>
      </c>
      <c r="N33" s="211">
        <f t="shared" si="4"/>
        <v>11.25</v>
      </c>
      <c r="O33" s="211">
        <f t="shared" si="4"/>
        <v>0.16166666666666665</v>
      </c>
      <c r="P33" s="211">
        <f t="shared" si="4"/>
        <v>9.1459369817578769E-4</v>
      </c>
      <c r="Q33" s="211">
        <f t="shared" si="4"/>
        <v>13.5</v>
      </c>
      <c r="R33" s="211">
        <f t="shared" si="4"/>
        <v>5.65</v>
      </c>
      <c r="S33" s="211">
        <f t="shared" si="4"/>
        <v>0.05</v>
      </c>
    </row>
    <row r="34" spans="7:19" ht="17" x14ac:dyDescent="0.2">
      <c r="G34" s="153">
        <v>2</v>
      </c>
      <c r="H34" s="154" t="s">
        <v>951</v>
      </c>
      <c r="I34" s="154" t="s">
        <v>953</v>
      </c>
      <c r="J34" s="155"/>
      <c r="K34" s="211">
        <f>K26+(K28*0.33)</f>
        <v>1.4507809166666668</v>
      </c>
      <c r="L34" s="211">
        <f t="shared" ref="L34:S34" si="5">L26+(L28*0.33)</f>
        <v>86.708629153846161</v>
      </c>
      <c r="M34" s="211">
        <f t="shared" si="5"/>
        <v>1.0076466666666668</v>
      </c>
      <c r="N34" s="211">
        <f t="shared" si="5"/>
        <v>35.752499999999998</v>
      </c>
      <c r="O34" s="211">
        <f t="shared" si="5"/>
        <v>0.29311666666666669</v>
      </c>
      <c r="P34" s="211">
        <f t="shared" si="5"/>
        <v>0.18327877777777782</v>
      </c>
      <c r="Q34" s="211">
        <f t="shared" si="5"/>
        <v>73.064999999999998</v>
      </c>
      <c r="R34" s="211">
        <f t="shared" si="5"/>
        <v>42.327884736842101</v>
      </c>
      <c r="S34" s="211">
        <f t="shared" si="5"/>
        <v>0.73340000000000016</v>
      </c>
    </row>
    <row r="35" spans="7:19" ht="17" x14ac:dyDescent="0.2">
      <c r="G35" s="153">
        <v>3</v>
      </c>
      <c r="H35" s="156" t="s">
        <v>954</v>
      </c>
      <c r="I35" s="156" t="s">
        <v>955</v>
      </c>
      <c r="J35" s="157"/>
      <c r="K35" s="212">
        <f>K34+0.01</f>
        <v>1.4607809166666668</v>
      </c>
      <c r="L35" s="212">
        <f t="shared" ref="L35:S35" si="6">L34+0.01</f>
        <v>86.718629153846166</v>
      </c>
      <c r="M35" s="212">
        <f t="shared" si="6"/>
        <v>1.0176466666666668</v>
      </c>
      <c r="N35" s="212">
        <f t="shared" si="6"/>
        <v>35.762499999999996</v>
      </c>
      <c r="O35" s="212">
        <f t="shared" si="6"/>
        <v>0.3031166666666667</v>
      </c>
      <c r="P35" s="212">
        <f t="shared" si="6"/>
        <v>0.19327877777777783</v>
      </c>
      <c r="Q35" s="212">
        <f t="shared" si="6"/>
        <v>73.075000000000003</v>
      </c>
      <c r="R35" s="212">
        <f t="shared" si="6"/>
        <v>42.337884736842099</v>
      </c>
      <c r="S35" s="212">
        <f t="shared" si="6"/>
        <v>0.74340000000000017</v>
      </c>
    </row>
    <row r="36" spans="7:19" ht="17" x14ac:dyDescent="0.2">
      <c r="G36" s="153">
        <v>4</v>
      </c>
      <c r="H36" s="156" t="s">
        <v>954</v>
      </c>
      <c r="I36" s="156" t="s">
        <v>956</v>
      </c>
      <c r="J36" s="157"/>
      <c r="K36" s="212">
        <f>K26+(K28*0.66)</f>
        <v>2.4973951666666672</v>
      </c>
      <c r="L36" s="212">
        <f t="shared" ref="L36:S36" si="7">L26+(L28*0.66)</f>
        <v>161.57005061538462</v>
      </c>
      <c r="M36" s="212">
        <f t="shared" si="7"/>
        <v>1.5486266666666668</v>
      </c>
      <c r="N36" s="212">
        <f t="shared" si="7"/>
        <v>60.255000000000003</v>
      </c>
      <c r="O36" s="212">
        <f t="shared" si="7"/>
        <v>0.42456666666666665</v>
      </c>
      <c r="P36" s="212">
        <f t="shared" si="7"/>
        <v>0.36564296185737988</v>
      </c>
      <c r="Q36" s="212">
        <f t="shared" si="7"/>
        <v>132.63</v>
      </c>
      <c r="R36" s="212">
        <f t="shared" si="7"/>
        <v>79.005769473684211</v>
      </c>
      <c r="S36" s="212">
        <f t="shared" si="7"/>
        <v>1.4168000000000003</v>
      </c>
    </row>
    <row r="37" spans="7:19" ht="17" x14ac:dyDescent="0.2">
      <c r="G37" s="153">
        <v>5</v>
      </c>
      <c r="H37" s="158" t="s">
        <v>957</v>
      </c>
      <c r="I37" s="158" t="s">
        <v>958</v>
      </c>
      <c r="J37" s="159"/>
      <c r="K37" s="213">
        <f>K36+0.01</f>
        <v>2.507395166666667</v>
      </c>
      <c r="L37" s="213">
        <f t="shared" ref="L37:S37" si="8">L36+0.01</f>
        <v>161.58005061538461</v>
      </c>
      <c r="M37" s="213">
        <f t="shared" si="8"/>
        <v>1.5586266666666668</v>
      </c>
      <c r="N37" s="213">
        <f t="shared" si="8"/>
        <v>60.265000000000001</v>
      </c>
      <c r="O37" s="213">
        <f t="shared" si="8"/>
        <v>0.43456666666666666</v>
      </c>
      <c r="P37" s="213">
        <f t="shared" si="8"/>
        <v>0.37564296185737989</v>
      </c>
      <c r="Q37" s="213">
        <f t="shared" si="8"/>
        <v>132.63999999999999</v>
      </c>
      <c r="R37" s="213">
        <f t="shared" si="8"/>
        <v>79.015769473684216</v>
      </c>
      <c r="S37" s="213">
        <f t="shared" si="8"/>
        <v>1.4268000000000003</v>
      </c>
    </row>
    <row r="38" spans="7:19" ht="34" x14ac:dyDescent="0.2">
      <c r="G38" s="153">
        <v>6</v>
      </c>
      <c r="H38" s="158" t="s">
        <v>957</v>
      </c>
      <c r="I38" s="158" t="s">
        <v>959</v>
      </c>
      <c r="J38" s="159"/>
      <c r="K38" s="214">
        <f t="shared" ref="K38:R38" si="9">K26+(K28)</f>
        <v>3.5757250000000003</v>
      </c>
      <c r="L38" s="214">
        <f t="shared" si="9"/>
        <v>238.7</v>
      </c>
      <c r="M38" s="214">
        <f t="shared" si="9"/>
        <v>2.1060000000000003</v>
      </c>
      <c r="N38" s="214">
        <f t="shared" si="9"/>
        <v>85.5</v>
      </c>
      <c r="O38" s="214">
        <f t="shared" si="9"/>
        <v>0.55999999999999994</v>
      </c>
      <c r="P38" s="214">
        <f t="shared" si="9"/>
        <v>0.55353333333333343</v>
      </c>
      <c r="Q38" s="214">
        <f t="shared" si="9"/>
        <v>194</v>
      </c>
      <c r="R38" s="214">
        <f t="shared" si="9"/>
        <v>116.79510526315789</v>
      </c>
      <c r="S38" s="214">
        <v>2.54</v>
      </c>
    </row>
    <row r="39" spans="7:19" ht="17" x14ac:dyDescent="0.2">
      <c r="G39" s="153">
        <v>7</v>
      </c>
      <c r="H39" s="160" t="s">
        <v>960</v>
      </c>
      <c r="I39" s="160" t="s">
        <v>961</v>
      </c>
      <c r="J39" s="161"/>
      <c r="K39" s="215">
        <f t="shared" ref="K39:S39" si="10">K38+0.01</f>
        <v>3.5857250000000001</v>
      </c>
      <c r="L39" s="215">
        <f t="shared" si="10"/>
        <v>238.70999999999998</v>
      </c>
      <c r="M39" s="215">
        <f t="shared" si="10"/>
        <v>2.1160000000000001</v>
      </c>
      <c r="N39" s="215">
        <f t="shared" si="10"/>
        <v>85.51</v>
      </c>
      <c r="O39" s="215">
        <f t="shared" si="10"/>
        <v>0.56999999999999995</v>
      </c>
      <c r="P39" s="215">
        <f t="shared" si="10"/>
        <v>0.56353333333333344</v>
      </c>
      <c r="Q39" s="215">
        <f t="shared" si="10"/>
        <v>194.01</v>
      </c>
      <c r="R39" s="215">
        <f t="shared" si="10"/>
        <v>116.8051052631579</v>
      </c>
      <c r="S39" s="215">
        <f t="shared" si="10"/>
        <v>2.5499999999999998</v>
      </c>
    </row>
    <row r="40" spans="7:19" ht="17" x14ac:dyDescent="0.2">
      <c r="G40" s="153">
        <v>8</v>
      </c>
      <c r="H40" s="160" t="s">
        <v>960</v>
      </c>
      <c r="I40" s="160" t="s">
        <v>961</v>
      </c>
      <c r="J40" s="161"/>
      <c r="K40" s="216">
        <f t="shared" ref="K40:S40" si="11">K38*2</f>
        <v>7.1514500000000005</v>
      </c>
      <c r="L40" s="216">
        <f t="shared" si="11"/>
        <v>477.4</v>
      </c>
      <c r="M40" s="216">
        <f t="shared" si="11"/>
        <v>4.2120000000000006</v>
      </c>
      <c r="N40" s="216">
        <f t="shared" si="11"/>
        <v>171</v>
      </c>
      <c r="O40" s="216">
        <f t="shared" si="11"/>
        <v>1.1199999999999999</v>
      </c>
      <c r="P40" s="216">
        <f t="shared" si="11"/>
        <v>1.1070666666666669</v>
      </c>
      <c r="Q40" s="216">
        <f t="shared" si="11"/>
        <v>388</v>
      </c>
      <c r="R40" s="216">
        <f t="shared" si="11"/>
        <v>233.59021052631579</v>
      </c>
      <c r="S40" s="216">
        <f t="shared" si="11"/>
        <v>5.08</v>
      </c>
    </row>
    <row r="41" spans="7:19" ht="34" x14ac:dyDescent="0.2">
      <c r="G41" s="153">
        <v>9</v>
      </c>
      <c r="H41" s="162" t="s">
        <v>962</v>
      </c>
      <c r="I41" s="163" t="s">
        <v>963</v>
      </c>
      <c r="J41" s="164"/>
      <c r="K41" s="217">
        <f t="shared" ref="K41:S41" si="12">K40+0.01</f>
        <v>7.1614500000000003</v>
      </c>
      <c r="L41" s="217">
        <f t="shared" si="12"/>
        <v>477.40999999999997</v>
      </c>
      <c r="M41" s="217">
        <f t="shared" si="12"/>
        <v>4.2220000000000004</v>
      </c>
      <c r="N41" s="217">
        <f t="shared" si="12"/>
        <v>171.01</v>
      </c>
      <c r="O41" s="217">
        <f t="shared" si="12"/>
        <v>1.1299999999999999</v>
      </c>
      <c r="P41" s="217">
        <f t="shared" si="12"/>
        <v>1.1170666666666669</v>
      </c>
      <c r="Q41" s="217">
        <f t="shared" si="12"/>
        <v>388.01</v>
      </c>
      <c r="R41" s="217">
        <f t="shared" si="12"/>
        <v>233.60021052631578</v>
      </c>
      <c r="S41" s="217">
        <f t="shared" si="12"/>
        <v>5.09</v>
      </c>
    </row>
    <row r="42" spans="7:19" x14ac:dyDescent="0.2">
      <c r="I42" s="149"/>
    </row>
    <row r="43" spans="7:19" x14ac:dyDescent="0.2">
      <c r="I43" s="149"/>
    </row>
    <row r="44" spans="7:19" x14ac:dyDescent="0.2">
      <c r="I44" s="149"/>
    </row>
    <row r="45" spans="7:19" x14ac:dyDescent="0.2">
      <c r="I45" s="149"/>
    </row>
    <row r="46" spans="7:19" x14ac:dyDescent="0.2">
      <c r="I46" s="149"/>
    </row>
    <row r="49" spans="1:19" s="166" customFormat="1" x14ac:dyDescent="0.2">
      <c r="A49" s="165" t="s">
        <v>964</v>
      </c>
      <c r="B49" s="165"/>
      <c r="H49" s="148"/>
      <c r="I49" s="148"/>
      <c r="J49" s="150"/>
      <c r="K49" s="167"/>
      <c r="L49" s="167"/>
      <c r="M49" s="167"/>
      <c r="N49" s="167"/>
      <c r="O49" s="167"/>
      <c r="P49" s="167"/>
      <c r="Q49" s="167"/>
      <c r="R49" s="167"/>
      <c r="S49" s="167"/>
    </row>
    <row r="50" spans="1:19" s="168" customFormat="1" ht="17" x14ac:dyDescent="0.2">
      <c r="A50" s="31" t="s">
        <v>281</v>
      </c>
      <c r="B50" s="31" t="s">
        <v>285</v>
      </c>
      <c r="C50" s="1"/>
      <c r="D50" s="1" t="s">
        <v>56</v>
      </c>
      <c r="E50" s="1" t="s">
        <v>42</v>
      </c>
      <c r="F50" s="1"/>
      <c r="G50" s="1" t="s">
        <v>28</v>
      </c>
      <c r="H50" s="243" t="s">
        <v>0</v>
      </c>
      <c r="I50" s="243"/>
      <c r="J50" s="150">
        <v>88</v>
      </c>
      <c r="K50" s="150">
        <v>2.37</v>
      </c>
      <c r="L50" s="150">
        <v>11.5</v>
      </c>
      <c r="M50" s="150">
        <v>0.56499999999999995</v>
      </c>
      <c r="N50" s="150">
        <v>19</v>
      </c>
      <c r="O50" s="150">
        <v>0.20500000000000002</v>
      </c>
      <c r="P50" s="150">
        <v>4.0808499170812605E-2</v>
      </c>
      <c r="Q50" s="150">
        <v>14</v>
      </c>
      <c r="R50" s="150">
        <v>10</v>
      </c>
      <c r="S50" s="150">
        <v>0.67999999999999994</v>
      </c>
    </row>
    <row r="51" spans="1:19" s="168" customFormat="1" x14ac:dyDescent="0.2">
      <c r="A51" s="31" t="s">
        <v>281</v>
      </c>
      <c r="B51" s="31" t="s">
        <v>288</v>
      </c>
      <c r="C51" s="1"/>
      <c r="D51" s="1" t="s">
        <v>56</v>
      </c>
      <c r="E51" s="1" t="s">
        <v>42</v>
      </c>
      <c r="F51" s="1"/>
      <c r="G51" s="1" t="s">
        <v>28</v>
      </c>
      <c r="H51" s="243"/>
      <c r="I51" s="243"/>
      <c r="J51" s="150">
        <v>86.4</v>
      </c>
      <c r="K51" s="150">
        <v>2</v>
      </c>
      <c r="L51" s="150">
        <v>48</v>
      </c>
      <c r="M51" s="150">
        <v>0.7</v>
      </c>
      <c r="N51" s="150">
        <v>34</v>
      </c>
      <c r="O51" s="150">
        <v>0.15</v>
      </c>
      <c r="P51" s="150">
        <v>0.53149999999999997</v>
      </c>
      <c r="Q51" s="150">
        <v>27</v>
      </c>
      <c r="R51" s="150">
        <v>21</v>
      </c>
      <c r="S51" s="150">
        <v>1.44</v>
      </c>
    </row>
    <row r="52" spans="1:19" s="168" customFormat="1" ht="17" x14ac:dyDescent="0.2">
      <c r="A52" s="31" t="s">
        <v>281</v>
      </c>
      <c r="B52" s="31" t="s">
        <v>289</v>
      </c>
      <c r="C52" s="32" t="s">
        <v>0</v>
      </c>
      <c r="D52" s="1" t="s">
        <v>56</v>
      </c>
      <c r="E52" s="1" t="s">
        <v>42</v>
      </c>
      <c r="F52" s="1"/>
      <c r="G52" s="1" t="s">
        <v>28</v>
      </c>
      <c r="H52" s="243" t="s">
        <v>0</v>
      </c>
      <c r="I52" s="243"/>
      <c r="J52" s="150">
        <v>89.59</v>
      </c>
      <c r="K52" s="150">
        <v>1.35</v>
      </c>
      <c r="L52" s="150">
        <v>27.5</v>
      </c>
      <c r="M52" s="150">
        <v>0.75</v>
      </c>
      <c r="N52" s="150">
        <v>21</v>
      </c>
      <c r="O52" s="150">
        <v>0.13</v>
      </c>
      <c r="P52" s="150">
        <v>4.9175000000000003E-2</v>
      </c>
      <c r="Q52" s="150">
        <v>17</v>
      </c>
      <c r="R52" s="150">
        <v>10</v>
      </c>
      <c r="S52" s="150"/>
    </row>
    <row r="53" spans="1:19" s="168" customFormat="1" ht="17" x14ac:dyDescent="0.2">
      <c r="A53" s="31" t="s">
        <v>281</v>
      </c>
      <c r="B53" s="31" t="s">
        <v>130</v>
      </c>
      <c r="C53" s="32" t="s">
        <v>0</v>
      </c>
      <c r="D53" s="1" t="s">
        <v>56</v>
      </c>
      <c r="E53" s="1" t="s">
        <v>42</v>
      </c>
      <c r="F53" s="1"/>
      <c r="G53" s="1" t="s">
        <v>28</v>
      </c>
      <c r="H53" s="243" t="s">
        <v>0</v>
      </c>
      <c r="I53" s="243"/>
      <c r="J53" s="150">
        <v>93.65</v>
      </c>
      <c r="K53" s="150">
        <v>0.65</v>
      </c>
      <c r="L53" s="150">
        <v>59.5</v>
      </c>
      <c r="M53" s="150">
        <v>0.7</v>
      </c>
      <c r="N53" s="150">
        <v>24</v>
      </c>
      <c r="O53" s="150"/>
      <c r="P53" s="150">
        <v>9.7350000000000006E-2</v>
      </c>
      <c r="Q53" s="150">
        <v>59</v>
      </c>
      <c r="R53" s="150">
        <v>28</v>
      </c>
      <c r="S53" s="150"/>
    </row>
    <row r="54" spans="1:19" s="171" customFormat="1" x14ac:dyDescent="0.2">
      <c r="A54" s="169" t="s">
        <v>860</v>
      </c>
      <c r="B54" s="169"/>
      <c r="C54" s="112"/>
      <c r="D54" s="112"/>
      <c r="E54" s="112"/>
      <c r="F54" s="112"/>
      <c r="G54" s="112"/>
      <c r="H54" s="269"/>
      <c r="I54" s="269"/>
      <c r="J54" s="150"/>
      <c r="K54" s="170">
        <f t="shared" ref="K54:S54" si="13">AVERAGE(K50:K53)</f>
        <v>1.5925000000000002</v>
      </c>
      <c r="L54" s="170">
        <f t="shared" si="13"/>
        <v>36.625</v>
      </c>
      <c r="M54" s="170">
        <f t="shared" si="13"/>
        <v>0.67874999999999996</v>
      </c>
      <c r="N54" s="170">
        <f t="shared" si="13"/>
        <v>24.5</v>
      </c>
      <c r="O54" s="170">
        <f t="shared" si="13"/>
        <v>0.16166666666666665</v>
      </c>
      <c r="P54" s="170">
        <f t="shared" si="13"/>
        <v>0.17970837479270316</v>
      </c>
      <c r="Q54" s="170">
        <f t="shared" si="13"/>
        <v>29.25</v>
      </c>
      <c r="R54" s="170">
        <f t="shared" si="13"/>
        <v>17.25</v>
      </c>
      <c r="S54" s="170">
        <f t="shared" si="13"/>
        <v>1.06</v>
      </c>
    </row>
    <row r="55" spans="1:19" s="168" customFormat="1" x14ac:dyDescent="0.2">
      <c r="A55" s="31"/>
      <c r="B55" s="31"/>
      <c r="C55" s="1"/>
      <c r="D55" s="1"/>
      <c r="E55" s="1"/>
      <c r="F55" s="1"/>
      <c r="G55" s="1"/>
      <c r="H55" s="243"/>
      <c r="I55" s="243"/>
      <c r="J55" s="150"/>
      <c r="K55" s="1"/>
      <c r="L55" s="1"/>
      <c r="M55" s="1"/>
      <c r="N55" s="1"/>
      <c r="O55" s="150"/>
      <c r="P55" s="150"/>
      <c r="Q55" s="1"/>
      <c r="R55" s="1"/>
      <c r="S55" s="106"/>
    </row>
    <row r="56" spans="1:19" s="166" customFormat="1" x14ac:dyDescent="0.2">
      <c r="A56" s="165" t="s">
        <v>965</v>
      </c>
      <c r="B56" s="165"/>
      <c r="H56" s="148"/>
      <c r="I56" s="148"/>
      <c r="J56" s="150"/>
      <c r="K56" s="167"/>
      <c r="L56" s="167"/>
      <c r="M56" s="167"/>
      <c r="N56" s="167"/>
      <c r="O56" s="167"/>
      <c r="P56" s="167"/>
      <c r="Q56" s="167"/>
      <c r="R56" s="167"/>
      <c r="S56" s="167"/>
    </row>
    <row r="57" spans="1:19" s="168" customFormat="1" ht="17" x14ac:dyDescent="0.2">
      <c r="A57" s="31" t="s">
        <v>281</v>
      </c>
      <c r="B57" s="31" t="s">
        <v>285</v>
      </c>
      <c r="C57" s="1" t="s">
        <v>0</v>
      </c>
      <c r="D57" s="1" t="s">
        <v>56</v>
      </c>
      <c r="E57" s="1" t="s">
        <v>42</v>
      </c>
      <c r="F57" s="1"/>
      <c r="G57" s="1" t="s">
        <v>27</v>
      </c>
      <c r="H57" s="243" t="s">
        <v>0</v>
      </c>
      <c r="I57" s="243"/>
      <c r="J57" s="150"/>
      <c r="K57" s="150">
        <v>0.69</v>
      </c>
      <c r="L57" s="150">
        <v>20</v>
      </c>
      <c r="M57" s="150">
        <v>0.56999999999999995</v>
      </c>
      <c r="N57" s="150"/>
      <c r="O57" s="150"/>
      <c r="P57" s="150">
        <v>4.9751243781094526E-3</v>
      </c>
      <c r="Q57" s="150">
        <v>10</v>
      </c>
      <c r="R57" s="150">
        <v>8</v>
      </c>
      <c r="S57" s="150">
        <v>0.47</v>
      </c>
    </row>
    <row r="58" spans="1:19" s="173" customFormat="1" ht="17" x14ac:dyDescent="0.2">
      <c r="A58" s="51" t="s">
        <v>281</v>
      </c>
      <c r="B58" s="51" t="s">
        <v>289</v>
      </c>
      <c r="C58" s="45" t="s">
        <v>0</v>
      </c>
      <c r="D58" s="172" t="s">
        <v>56</v>
      </c>
      <c r="E58" s="172" t="s">
        <v>42</v>
      </c>
      <c r="F58" s="172"/>
      <c r="G58" s="1" t="s">
        <v>27</v>
      </c>
      <c r="H58" s="248" t="s">
        <v>0</v>
      </c>
      <c r="I58" s="248"/>
      <c r="J58" s="150">
        <v>94.14500000000001</v>
      </c>
      <c r="K58" s="150">
        <v>0.82499999999999996</v>
      </c>
      <c r="L58" s="150">
        <v>19</v>
      </c>
      <c r="M58" s="150">
        <v>0.435</v>
      </c>
      <c r="N58" s="150">
        <v>18.5</v>
      </c>
      <c r="O58" s="150"/>
      <c r="P58" s="150">
        <v>1.2975E-2</v>
      </c>
      <c r="Q58" s="150"/>
      <c r="R58" s="150">
        <v>18.45</v>
      </c>
      <c r="S58" s="150">
        <v>0.12</v>
      </c>
    </row>
    <row r="59" spans="1:19" s="168" customFormat="1" ht="17" x14ac:dyDescent="0.2">
      <c r="A59" s="31" t="s">
        <v>281</v>
      </c>
      <c r="B59" s="31" t="s">
        <v>79</v>
      </c>
      <c r="C59" s="32" t="s">
        <v>0</v>
      </c>
      <c r="D59" s="1" t="s">
        <v>56</v>
      </c>
      <c r="E59" s="1" t="s">
        <v>42</v>
      </c>
      <c r="F59" s="1"/>
      <c r="G59" s="1" t="s">
        <v>27</v>
      </c>
      <c r="H59" s="243" t="s">
        <v>0</v>
      </c>
      <c r="I59" s="243"/>
      <c r="J59" s="150">
        <v>94.449999999999989</v>
      </c>
      <c r="K59" s="150">
        <v>1.05</v>
      </c>
      <c r="L59" s="150">
        <v>18</v>
      </c>
      <c r="M59" s="150">
        <v>0.39500000000000002</v>
      </c>
      <c r="N59" s="150">
        <v>18.5</v>
      </c>
      <c r="O59" s="150">
        <v>0.28999999999999998</v>
      </c>
      <c r="P59" s="150">
        <v>8.7500000000000008E-3</v>
      </c>
      <c r="Q59" s="150">
        <v>24</v>
      </c>
      <c r="R59" s="150">
        <v>18.149999999999999</v>
      </c>
      <c r="S59" s="150">
        <v>0.125</v>
      </c>
    </row>
    <row r="60" spans="1:19" s="166" customFormat="1" x14ac:dyDescent="0.2">
      <c r="A60" s="165" t="s">
        <v>860</v>
      </c>
      <c r="B60" s="165"/>
      <c r="H60" s="148"/>
      <c r="I60" s="148"/>
      <c r="J60" s="150"/>
      <c r="K60" s="167">
        <f t="shared" ref="K60:S60" si="14">AVERAGE(K57:K59)</f>
        <v>0.85499999999999998</v>
      </c>
      <c r="L60" s="167">
        <f t="shared" si="14"/>
        <v>19</v>
      </c>
      <c r="M60" s="167">
        <f t="shared" si="14"/>
        <v>0.46666666666666662</v>
      </c>
      <c r="N60" s="167">
        <f t="shared" si="14"/>
        <v>18.5</v>
      </c>
      <c r="O60" s="167">
        <f t="shared" si="14"/>
        <v>0.28999999999999998</v>
      </c>
      <c r="P60" s="167">
        <f t="shared" si="14"/>
        <v>8.9000414593698174E-3</v>
      </c>
      <c r="Q60" s="167">
        <f t="shared" si="14"/>
        <v>17</v>
      </c>
      <c r="R60" s="167">
        <f t="shared" si="14"/>
        <v>14.866666666666665</v>
      </c>
      <c r="S60" s="167">
        <f t="shared" si="14"/>
        <v>0.23833333333333331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 and Ranking</vt:lpstr>
      <vt:lpstr>Ranking by Plant Form</vt:lpstr>
      <vt:lpstr>Summary by Plant Form</vt:lpstr>
      <vt:lpstr>Meta-analysis</vt:lpstr>
      <vt:lpstr>Reference Crops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Toensmeier</dc:creator>
  <cp:lastModifiedBy>Rafter Ferguson</cp:lastModifiedBy>
  <dcterms:created xsi:type="dcterms:W3CDTF">2018-09-15T21:42:16Z</dcterms:created>
  <dcterms:modified xsi:type="dcterms:W3CDTF">2020-05-28T03:14:23Z</dcterms:modified>
</cp:coreProperties>
</file>