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20"/>
  </bookViews>
  <sheets>
    <sheet name="Experiment with mobile ferret" sheetId="1" r:id="rId1"/>
  </sheets>
  <definedNames>
    <definedName name="_xlnm._FilterDatabase" localSheetId="0" hidden="1">'Experiment with mobile ferret'!$A$1:$BA$37</definedName>
  </definedNames>
  <calcPr calcId="152511"/>
</workbook>
</file>

<file path=xl/calcChain.xml><?xml version="1.0" encoding="utf-8"?>
<calcChain xmlns="http://schemas.openxmlformats.org/spreadsheetml/2006/main">
  <c r="Y2" i="1" l="1"/>
  <c r="AA2" i="1"/>
  <c r="Y3" i="1"/>
  <c r="AA3" i="1"/>
  <c r="Y4" i="1"/>
  <c r="AA4" i="1"/>
  <c r="Y5" i="1"/>
  <c r="AA5" i="1"/>
  <c r="Y6" i="1"/>
  <c r="AA6" i="1"/>
  <c r="Y7" i="1"/>
  <c r="AA7" i="1"/>
  <c r="Y8" i="1"/>
  <c r="AA8" i="1"/>
  <c r="Y9" i="1"/>
  <c r="AA9" i="1"/>
  <c r="Y10" i="1"/>
  <c r="AA10" i="1"/>
  <c r="Y11" i="1"/>
  <c r="Y12" i="1"/>
  <c r="Z12" i="1"/>
  <c r="AA12" i="1"/>
  <c r="Y13" i="1"/>
  <c r="AA13" i="1"/>
  <c r="Y14" i="1"/>
  <c r="AA14" i="1"/>
  <c r="Y15" i="1"/>
  <c r="AA15" i="1"/>
  <c r="Y16" i="1"/>
  <c r="AA16" i="1"/>
  <c r="Y17" i="1"/>
  <c r="AA17" i="1"/>
  <c r="Y18" i="1"/>
  <c r="AA18" i="1"/>
  <c r="Y19" i="1"/>
  <c r="Y20" i="1"/>
  <c r="AA20" i="1"/>
  <c r="Y21" i="1"/>
  <c r="AA21" i="1"/>
  <c r="Y22" i="1"/>
  <c r="AA22" i="1"/>
  <c r="Y23" i="1"/>
  <c r="AA23" i="1"/>
  <c r="Y24" i="1"/>
  <c r="AA24" i="1"/>
  <c r="Y25" i="1"/>
  <c r="AA25" i="1"/>
  <c r="Y26" i="1"/>
  <c r="Z26" i="1"/>
  <c r="AA26" i="1"/>
  <c r="Y27" i="1"/>
  <c r="Y28" i="1"/>
  <c r="AA28" i="1"/>
  <c r="Y29" i="1"/>
  <c r="AA29" i="1"/>
  <c r="Y30" i="1"/>
  <c r="AA30" i="1"/>
  <c r="Y31" i="1"/>
  <c r="AA31" i="1"/>
  <c r="Y32" i="1"/>
  <c r="AA32" i="1"/>
  <c r="Y33" i="1"/>
  <c r="AA33" i="1"/>
  <c r="N36" i="1" l="1"/>
  <c r="AD33" i="1"/>
  <c r="N33" i="1"/>
  <c r="N32" i="1"/>
  <c r="AD31" i="1"/>
  <c r="AD30" i="1"/>
  <c r="AD29" i="1"/>
  <c r="N29" i="1"/>
  <c r="AD28" i="1"/>
  <c r="N28" i="1"/>
  <c r="N26" i="1"/>
  <c r="AD25" i="1"/>
  <c r="N25" i="1"/>
  <c r="AD24" i="1"/>
  <c r="N24" i="1"/>
  <c r="AD23" i="1"/>
  <c r="AD22" i="1"/>
  <c r="N22" i="1"/>
  <c r="N21" i="1"/>
  <c r="N19" i="1"/>
  <c r="N18" i="1"/>
  <c r="AD17" i="1"/>
  <c r="N17" i="1"/>
  <c r="AD15" i="1"/>
  <c r="N15" i="1"/>
  <c r="AD14" i="1"/>
  <c r="AD12" i="1"/>
  <c r="N12" i="1"/>
  <c r="AD9" i="1"/>
  <c r="N8" i="1"/>
  <c r="AD7" i="1"/>
  <c r="AD6" i="1"/>
  <c r="AD5" i="1"/>
  <c r="N5" i="1"/>
  <c r="N4" i="1"/>
  <c r="N3" i="1"/>
  <c r="AD2" i="1"/>
  <c r="O30" i="1"/>
  <c r="O20" i="1"/>
  <c r="O33" i="1"/>
  <c r="O32" i="1"/>
  <c r="O29" i="1"/>
  <c r="O28" i="1"/>
  <c r="O26" i="1"/>
  <c r="O25" i="1"/>
  <c r="O24" i="1"/>
  <c r="O22" i="1"/>
  <c r="O21" i="1"/>
  <c r="O19" i="1"/>
  <c r="O18" i="1"/>
  <c r="O17" i="1"/>
  <c r="O15" i="1"/>
  <c r="O12" i="1"/>
  <c r="Q12" i="1" s="1"/>
  <c r="O8" i="1"/>
  <c r="O5" i="1"/>
  <c r="O4" i="1"/>
  <c r="O3" i="1"/>
  <c r="AE33" i="1"/>
  <c r="AM33" i="1" s="1"/>
  <c r="AE31" i="1"/>
  <c r="AE30" i="1"/>
  <c r="AE29" i="1"/>
  <c r="AE28" i="1"/>
  <c r="AE25" i="1"/>
  <c r="AE24" i="1"/>
  <c r="AE23" i="1"/>
  <c r="AE22" i="1"/>
  <c r="AE17" i="1"/>
  <c r="AM17" i="1" s="1"/>
  <c r="AE15" i="1"/>
  <c r="AM15" i="1" s="1"/>
  <c r="AE14" i="1"/>
  <c r="AE12" i="1"/>
  <c r="AM12" i="1" s="1"/>
  <c r="AE9" i="1"/>
  <c r="AE7" i="1"/>
  <c r="AE6" i="1"/>
  <c r="AE5" i="1"/>
  <c r="AE2" i="1"/>
  <c r="AM2" i="1" s="1"/>
  <c r="O27" i="1"/>
  <c r="AM27" i="1" s="1"/>
  <c r="O14" i="1"/>
  <c r="O13" i="1"/>
  <c r="AE32" i="1"/>
  <c r="AE20" i="1"/>
  <c r="AE13" i="1"/>
  <c r="AE10" i="1"/>
  <c r="AE4" i="1"/>
  <c r="AM4" i="1" s="1"/>
  <c r="O23" i="1"/>
  <c r="O16" i="1"/>
  <c r="O7" i="1"/>
  <c r="AE16" i="1"/>
  <c r="O31" i="1"/>
  <c r="O11" i="1"/>
  <c r="O9" i="1"/>
  <c r="Q9" i="1" s="1"/>
  <c r="AE26" i="1"/>
  <c r="AM26" i="1" s="1"/>
  <c r="AE8" i="1"/>
  <c r="O6" i="1"/>
  <c r="AE19" i="1"/>
  <c r="AM19" i="1" s="1"/>
  <c r="AE3" i="1"/>
  <c r="AE21" i="1"/>
  <c r="AM21" i="1" s="1"/>
  <c r="AE18" i="1"/>
  <c r="O10" i="1"/>
  <c r="Q10" i="1" s="1"/>
  <c r="AE11" i="1"/>
  <c r="AG11" i="1" s="1"/>
  <c r="AM18" i="1" l="1"/>
  <c r="AM11" i="1"/>
  <c r="AM3" i="1"/>
  <c r="AM16" i="1"/>
  <c r="AM32" i="1"/>
  <c r="AM9" i="1"/>
  <c r="AM25" i="1"/>
  <c r="AM31" i="1"/>
  <c r="AM5" i="1"/>
  <c r="AM22" i="1"/>
  <c r="AM13" i="1"/>
  <c r="AM6" i="1"/>
  <c r="AM14" i="1"/>
  <c r="AM23" i="1"/>
  <c r="AM29" i="1"/>
  <c r="AM10" i="1"/>
  <c r="AM28" i="1"/>
  <c r="AG19" i="1"/>
  <c r="AM8" i="1"/>
  <c r="AM20" i="1"/>
  <c r="AM7" i="1"/>
  <c r="AM24" i="1"/>
  <c r="AM30" i="1"/>
  <c r="BA18" i="1"/>
  <c r="BA3" i="1"/>
  <c r="BA23" i="1"/>
  <c r="BA25" i="1"/>
  <c r="BA14" i="1"/>
  <c r="BA21" i="1"/>
  <c r="BA15" i="1"/>
  <c r="BA24" i="1"/>
  <c r="BA31" i="1"/>
  <c r="BA16" i="1"/>
  <c r="BA9" i="1"/>
  <c r="BA19" i="1"/>
  <c r="BA20" i="1"/>
  <c r="BA2" i="1"/>
  <c r="BA7" i="1"/>
  <c r="BA32" i="1"/>
  <c r="BA10" i="1"/>
  <c r="BA4" i="1"/>
  <c r="BA28" i="1"/>
  <c r="BA11" i="1"/>
  <c r="BA22" i="1"/>
  <c r="BA6" i="1"/>
  <c r="BA8" i="1"/>
  <c r="BA27" i="1"/>
  <c r="BA33" i="1"/>
  <c r="BA30" i="1"/>
  <c r="BA5" i="1"/>
  <c r="BA17" i="1"/>
  <c r="BA13" i="1"/>
  <c r="BA12" i="1"/>
  <c r="BA26" i="1"/>
  <c r="BA29" i="1"/>
  <c r="AX18" i="1"/>
  <c r="AX3" i="1"/>
  <c r="AX25" i="1"/>
  <c r="AX14" i="1"/>
  <c r="AX21" i="1"/>
  <c r="AX15" i="1"/>
  <c r="AX24" i="1"/>
  <c r="AX31" i="1"/>
  <c r="AX16" i="1"/>
  <c r="AX9" i="1"/>
  <c r="AX19" i="1"/>
  <c r="AX20" i="1"/>
  <c r="AX2" i="1"/>
  <c r="AX7" i="1"/>
  <c r="AX32" i="1"/>
  <c r="AX10" i="1"/>
  <c r="AX4" i="1"/>
  <c r="AX28" i="1"/>
  <c r="AX11" i="1"/>
  <c r="AX22" i="1"/>
  <c r="AX6" i="1"/>
  <c r="AX8" i="1"/>
  <c r="AX27" i="1"/>
  <c r="AX33" i="1"/>
  <c r="AX30" i="1"/>
  <c r="AX5" i="1"/>
  <c r="AX17" i="1"/>
  <c r="AX13" i="1"/>
  <c r="AX12" i="1"/>
  <c r="AX26" i="1"/>
  <c r="AX29" i="1"/>
  <c r="AX23" i="1"/>
  <c r="AT34" i="1" l="1"/>
  <c r="AS34" i="1"/>
  <c r="AR34" i="1"/>
  <c r="P36" i="1" l="1"/>
  <c r="M36" i="1"/>
  <c r="I36" i="1"/>
  <c r="J36" i="1"/>
  <c r="K36" i="1"/>
  <c r="L36" i="1" l="1"/>
  <c r="AD18" i="1"/>
  <c r="AD3" i="1"/>
  <c r="AD21" i="1"/>
  <c r="AD16" i="1"/>
  <c r="AD19" i="1"/>
  <c r="AF19" i="1" s="1"/>
  <c r="AD20" i="1"/>
  <c r="AL2" i="1"/>
  <c r="AF7" i="1"/>
  <c r="AD32" i="1"/>
  <c r="AD10" i="1"/>
  <c r="AD4" i="1"/>
  <c r="AD11" i="1"/>
  <c r="AF11" i="1" s="1"/>
  <c r="AD8" i="1"/>
  <c r="AF8" i="1" s="1"/>
  <c r="AD13" i="1"/>
  <c r="AF13" i="1" s="1"/>
  <c r="AF12" i="1"/>
  <c r="AD26" i="1"/>
  <c r="AL29" i="1"/>
  <c r="N7" i="1"/>
  <c r="N13" i="1"/>
  <c r="N20" i="1"/>
  <c r="N30" i="1"/>
  <c r="N6" i="1"/>
  <c r="AL6" i="1" s="1"/>
  <c r="AL22" i="1"/>
  <c r="N11" i="1"/>
  <c r="N27" i="1"/>
  <c r="P27" i="1" s="1"/>
  <c r="AN27" i="1" s="1"/>
  <c r="N10" i="1"/>
  <c r="N31" i="1"/>
  <c r="N9" i="1"/>
  <c r="P9" i="1" s="1"/>
  <c r="P12" i="1"/>
  <c r="P32" i="1"/>
  <c r="M32" i="1"/>
  <c r="Q32" i="1" s="1"/>
  <c r="N14" i="1"/>
  <c r="AL14" i="1" s="1"/>
  <c r="N16" i="1"/>
  <c r="P10" i="1"/>
  <c r="N23" i="1"/>
  <c r="AL13" i="1" l="1"/>
  <c r="AL17" i="1"/>
  <c r="AL32" i="1"/>
  <c r="AN12" i="1"/>
  <c r="AL12" i="1"/>
  <c r="AL28" i="1"/>
  <c r="AL27" i="1"/>
  <c r="AL16" i="1"/>
  <c r="AL30" i="1"/>
  <c r="AL21" i="1"/>
  <c r="AL10" i="1"/>
  <c r="AL8" i="1"/>
  <c r="AL15" i="1"/>
  <c r="AL24" i="1"/>
  <c r="AL33" i="1"/>
  <c r="AL3" i="1"/>
  <c r="AL31" i="1"/>
  <c r="AL25" i="1"/>
  <c r="AL9" i="1"/>
  <c r="AL19" i="1"/>
  <c r="AL20" i="1"/>
  <c r="AL4" i="1"/>
  <c r="AL26" i="1"/>
  <c r="AL18" i="1"/>
  <c r="AL23" i="1"/>
  <c r="AL7" i="1"/>
  <c r="AL11" i="1"/>
  <c r="AL5" i="1"/>
  <c r="AJ9" i="1" l="1"/>
  <c r="AJ24" i="1"/>
  <c r="AJ8" i="1"/>
  <c r="AJ17" i="1"/>
  <c r="AJ33" i="1"/>
  <c r="AJ23" i="1"/>
  <c r="AJ7" i="1"/>
  <c r="AJ16" i="1"/>
  <c r="AJ32" i="1"/>
  <c r="AJ22" i="1"/>
  <c r="AJ6" i="1"/>
  <c r="AJ21" i="1"/>
  <c r="AJ5" i="1"/>
  <c r="AJ15" i="1"/>
  <c r="AQ31" i="1"/>
  <c r="AJ31" i="1"/>
  <c r="AJ14" i="1"/>
  <c r="AJ30" i="1"/>
  <c r="AJ20" i="1"/>
  <c r="AJ4" i="1"/>
  <c r="AJ13" i="1"/>
  <c r="AJ29" i="1"/>
  <c r="AJ28" i="1"/>
  <c r="AJ11" i="1"/>
  <c r="AJ27" i="1"/>
  <c r="AJ19" i="1"/>
  <c r="AJ3" i="1"/>
  <c r="AJ18" i="1"/>
  <c r="AJ2" i="1"/>
  <c r="AJ10" i="1"/>
  <c r="AH18" i="1"/>
  <c r="AC18" i="1"/>
  <c r="AG18" i="1" s="1"/>
  <c r="AH3" i="1"/>
  <c r="AQ3" i="1" s="1"/>
  <c r="AC3" i="1"/>
  <c r="AH23" i="1"/>
  <c r="AQ23" i="1" s="1"/>
  <c r="AC23" i="1"/>
  <c r="AH25" i="1"/>
  <c r="AC25" i="1"/>
  <c r="AH14" i="1"/>
  <c r="AC14" i="1"/>
  <c r="AH21" i="1"/>
  <c r="AC21" i="1"/>
  <c r="AH15" i="1"/>
  <c r="AQ15" i="1" s="1"/>
  <c r="AC15" i="1"/>
  <c r="AH24" i="1"/>
  <c r="AC24" i="1"/>
  <c r="AC31" i="1"/>
  <c r="AH16" i="1"/>
  <c r="AC16" i="1"/>
  <c r="AH9" i="1"/>
  <c r="AC9" i="1"/>
  <c r="AG9" i="1" s="1"/>
  <c r="AO9" i="1" s="1"/>
  <c r="AB9" i="1"/>
  <c r="AC20" i="1"/>
  <c r="AH2" i="1"/>
  <c r="AQ2" i="1" s="1"/>
  <c r="AC2" i="1"/>
  <c r="AG2" i="1" s="1"/>
  <c r="AO2" i="1" s="1"/>
  <c r="AK2" i="1"/>
  <c r="AC7" i="1"/>
  <c r="AG7" i="1" s="1"/>
  <c r="AH32" i="1"/>
  <c r="AC32" i="1"/>
  <c r="AH10" i="1"/>
  <c r="AC10" i="1"/>
  <c r="AG10" i="1" s="1"/>
  <c r="AO10" i="1" s="1"/>
  <c r="AC4" i="1"/>
  <c r="AB4" i="1"/>
  <c r="AH28" i="1"/>
  <c r="AQ28" i="1" s="1"/>
  <c r="AC28" i="1"/>
  <c r="AH11" i="1"/>
  <c r="AB11" i="1"/>
  <c r="AH22" i="1"/>
  <c r="AC22" i="1"/>
  <c r="AG22" i="1" s="1"/>
  <c r="AH6" i="1"/>
  <c r="AC6" i="1"/>
  <c r="AC8" i="1"/>
  <c r="AG8" i="1" s="1"/>
  <c r="AC33" i="1"/>
  <c r="AH30" i="1"/>
  <c r="AC30" i="1"/>
  <c r="AH5" i="1"/>
  <c r="AC5" i="1"/>
  <c r="AC17" i="1"/>
  <c r="AH13" i="1"/>
  <c r="AC13" i="1"/>
  <c r="AG13" i="1" s="1"/>
  <c r="AH12" i="1"/>
  <c r="AC12" i="1"/>
  <c r="AK12" i="1"/>
  <c r="AJ12" i="1"/>
  <c r="AC26" i="1"/>
  <c r="AJ25" i="1"/>
  <c r="AH29" i="1"/>
  <c r="AC29" i="1"/>
  <c r="AB29" i="1"/>
  <c r="I18" i="1"/>
  <c r="R18" i="1"/>
  <c r="M18" i="1"/>
  <c r="K18" i="1"/>
  <c r="R7" i="1"/>
  <c r="AQ7" i="1" s="1"/>
  <c r="M7" i="1"/>
  <c r="K7" i="1"/>
  <c r="I7" i="1"/>
  <c r="R13" i="1"/>
  <c r="M13" i="1"/>
  <c r="K13" i="1"/>
  <c r="I13" i="1"/>
  <c r="I2" i="1"/>
  <c r="L2" i="1" s="1"/>
  <c r="L7" i="1" l="1"/>
  <c r="AP12" i="1"/>
  <c r="AG12" i="1"/>
  <c r="AO12" i="1" s="1"/>
  <c r="AF17" i="1"/>
  <c r="AG17" i="1"/>
  <c r="AF4" i="1"/>
  <c r="AG4" i="1"/>
  <c r="AF21" i="1"/>
  <c r="AG21" i="1"/>
  <c r="AF3" i="1"/>
  <c r="AG3" i="1"/>
  <c r="AF26" i="1"/>
  <c r="AG26" i="1"/>
  <c r="AF5" i="1"/>
  <c r="AG5" i="1"/>
  <c r="AF28" i="1"/>
  <c r="AG28" i="1"/>
  <c r="AF24" i="1"/>
  <c r="AG24" i="1"/>
  <c r="AF25" i="1"/>
  <c r="AG25" i="1"/>
  <c r="AF33" i="1"/>
  <c r="AG33" i="1"/>
  <c r="AF20" i="1"/>
  <c r="AG20" i="1"/>
  <c r="AF16" i="1"/>
  <c r="AG16" i="1"/>
  <c r="P18" i="1"/>
  <c r="Q18" i="1"/>
  <c r="AF29" i="1"/>
  <c r="AG29" i="1"/>
  <c r="AF15" i="1"/>
  <c r="AG15" i="1"/>
  <c r="AF14" i="1"/>
  <c r="AG14" i="1"/>
  <c r="AF23" i="1"/>
  <c r="AG23" i="1"/>
  <c r="AO18" i="1"/>
  <c r="P13" i="1"/>
  <c r="AN13" i="1" s="1"/>
  <c r="Q13" i="1"/>
  <c r="AO13" i="1" s="1"/>
  <c r="P7" i="1"/>
  <c r="AN7" i="1" s="1"/>
  <c r="Q7" i="1"/>
  <c r="AO7" i="1" s="1"/>
  <c r="AF30" i="1"/>
  <c r="AG30" i="1"/>
  <c r="AF6" i="1"/>
  <c r="AG6" i="1"/>
  <c r="AF32" i="1"/>
  <c r="AN32" i="1" s="1"/>
  <c r="AG32" i="1"/>
  <c r="AO32" i="1" s="1"/>
  <c r="AF31" i="1"/>
  <c r="AG31" i="1"/>
  <c r="AI2" i="1"/>
  <c r="AK18" i="1"/>
  <c r="AB30" i="1"/>
  <c r="AB8" i="1"/>
  <c r="AB32" i="1"/>
  <c r="AP2" i="1"/>
  <c r="AF2" i="1"/>
  <c r="AN2" i="1" s="1"/>
  <c r="AK7" i="1"/>
  <c r="AP18" i="1"/>
  <c r="AF18" i="1"/>
  <c r="AN18" i="1" s="1"/>
  <c r="AC34" i="1"/>
  <c r="AF22" i="1"/>
  <c r="AP9" i="1"/>
  <c r="AF9" i="1"/>
  <c r="AN9" i="1" s="1"/>
  <c r="AQ18" i="1"/>
  <c r="AP10" i="1"/>
  <c r="AF10" i="1"/>
  <c r="AN10" i="1" s="1"/>
  <c r="AB21" i="1"/>
  <c r="AB25" i="1"/>
  <c r="AB3" i="1"/>
  <c r="AP7" i="1"/>
  <c r="AB5" i="1"/>
  <c r="AB10" i="1"/>
  <c r="L13" i="1"/>
  <c r="AK13" i="1"/>
  <c r="AB33" i="1"/>
  <c r="AB7" i="1"/>
  <c r="AP13" i="1"/>
  <c r="AB12" i="1"/>
  <c r="AQ13" i="1"/>
  <c r="AB22" i="1"/>
  <c r="AB15" i="1"/>
  <c r="AB14" i="1"/>
  <c r="AB23" i="1"/>
  <c r="AI18" i="1"/>
  <c r="AB28" i="1"/>
  <c r="AB27" i="1"/>
  <c r="AB17" i="1"/>
  <c r="AB31" i="1"/>
  <c r="AB20" i="1"/>
  <c r="AB16" i="1"/>
  <c r="AB24" i="1"/>
  <c r="AB26" i="1"/>
  <c r="AB13" i="1"/>
  <c r="AI7" i="1"/>
  <c r="AB18" i="1"/>
  <c r="AI13" i="1"/>
  <c r="AB6" i="1"/>
  <c r="AB2" i="1"/>
  <c r="AB19" i="1"/>
  <c r="AJ26" i="1"/>
  <c r="L18" i="1"/>
  <c r="R17" i="1" l="1"/>
  <c r="AQ17" i="1" s="1"/>
  <c r="M17" i="1"/>
  <c r="Q17" i="1" s="1"/>
  <c r="AO17" i="1" s="1"/>
  <c r="K17" i="1"/>
  <c r="AK17" i="1" s="1"/>
  <c r="I17" i="1"/>
  <c r="AI17" i="1" s="1"/>
  <c r="R24" i="1"/>
  <c r="AQ24" i="1" s="1"/>
  <c r="M24" i="1"/>
  <c r="Q24" i="1" s="1"/>
  <c r="AO24" i="1" s="1"/>
  <c r="K24" i="1"/>
  <c r="AK24" i="1" s="1"/>
  <c r="I24" i="1"/>
  <c r="R26" i="1"/>
  <c r="AQ26" i="1" s="1"/>
  <c r="M26" i="1"/>
  <c r="Q26" i="1" s="1"/>
  <c r="AO26" i="1" s="1"/>
  <c r="K26" i="1"/>
  <c r="AK26" i="1" s="1"/>
  <c r="I26" i="1"/>
  <c r="AI26" i="1" s="1"/>
  <c r="R20" i="1"/>
  <c r="AQ20" i="1" s="1"/>
  <c r="M20" i="1"/>
  <c r="Q20" i="1" s="1"/>
  <c r="AO20" i="1" s="1"/>
  <c r="K20" i="1"/>
  <c r="AK20" i="1" s="1"/>
  <c r="I20" i="1"/>
  <c r="AI20" i="1" s="1"/>
  <c r="M30" i="1"/>
  <c r="Q30" i="1" s="1"/>
  <c r="AO30" i="1" s="1"/>
  <c r="R30" i="1"/>
  <c r="AQ30" i="1" s="1"/>
  <c r="K30" i="1"/>
  <c r="I30" i="1"/>
  <c r="AI30" i="1" s="1"/>
  <c r="M28" i="1"/>
  <c r="Q28" i="1" s="1"/>
  <c r="AO28" i="1" s="1"/>
  <c r="K28" i="1"/>
  <c r="AK28" i="1" s="1"/>
  <c r="I28" i="1"/>
  <c r="R29" i="1"/>
  <c r="AQ29" i="1" s="1"/>
  <c r="M29" i="1"/>
  <c r="Q29" i="1" s="1"/>
  <c r="AO29" i="1" s="1"/>
  <c r="K29" i="1"/>
  <c r="AK29" i="1" s="1"/>
  <c r="I29" i="1"/>
  <c r="R22" i="1"/>
  <c r="AQ22" i="1" s="1"/>
  <c r="M22" i="1"/>
  <c r="Q22" i="1" s="1"/>
  <c r="AO22" i="1" s="1"/>
  <c r="K22" i="1"/>
  <c r="AK22" i="1" s="1"/>
  <c r="I22" i="1"/>
  <c r="AP22" i="1" l="1"/>
  <c r="P22" i="1"/>
  <c r="AN22" i="1" s="1"/>
  <c r="AP24" i="1"/>
  <c r="P24" i="1"/>
  <c r="AN24" i="1" s="1"/>
  <c r="AP28" i="1"/>
  <c r="P28" i="1"/>
  <c r="AN28" i="1" s="1"/>
  <c r="AP20" i="1"/>
  <c r="P20" i="1"/>
  <c r="AN20" i="1" s="1"/>
  <c r="AP26" i="1"/>
  <c r="P26" i="1"/>
  <c r="AN26" i="1" s="1"/>
  <c r="AP17" i="1"/>
  <c r="P17" i="1"/>
  <c r="AN17" i="1" s="1"/>
  <c r="AP29" i="1"/>
  <c r="P29" i="1"/>
  <c r="AN29" i="1" s="1"/>
  <c r="AP30" i="1"/>
  <c r="P30" i="1"/>
  <c r="AN30" i="1" s="1"/>
  <c r="L24" i="1"/>
  <c r="AI24" i="1"/>
  <c r="L28" i="1"/>
  <c r="AI28" i="1"/>
  <c r="L29" i="1"/>
  <c r="AI29" i="1"/>
  <c r="L30" i="1"/>
  <c r="AK30" i="1"/>
  <c r="L22" i="1"/>
  <c r="AI22" i="1"/>
  <c r="L20" i="1"/>
  <c r="L17" i="1"/>
  <c r="L26" i="1"/>
  <c r="R19" i="1"/>
  <c r="AQ19" i="1" s="1"/>
  <c r="M19" i="1"/>
  <c r="Q19" i="1" s="1"/>
  <c r="AO19" i="1" s="1"/>
  <c r="K19" i="1"/>
  <c r="AK19" i="1" s="1"/>
  <c r="I19" i="1"/>
  <c r="AI19" i="1" s="1"/>
  <c r="R6" i="1"/>
  <c r="AQ6" i="1" s="1"/>
  <c r="M6" i="1"/>
  <c r="Q6" i="1" s="1"/>
  <c r="AO6" i="1" s="1"/>
  <c r="K6" i="1"/>
  <c r="AK6" i="1" s="1"/>
  <c r="I6" i="1"/>
  <c r="AI6" i="1" s="1"/>
  <c r="R5" i="1"/>
  <c r="AQ5" i="1" s="1"/>
  <c r="M5" i="1"/>
  <c r="Q5" i="1" s="1"/>
  <c r="AO5" i="1" s="1"/>
  <c r="K5" i="1"/>
  <c r="AK5" i="1" s="1"/>
  <c r="I5" i="1"/>
  <c r="AI5" i="1" s="1"/>
  <c r="R21" i="1"/>
  <c r="AQ21" i="1" s="1"/>
  <c r="M21" i="1"/>
  <c r="Q21" i="1" s="1"/>
  <c r="AO21" i="1" s="1"/>
  <c r="K21" i="1"/>
  <c r="AK21" i="1" s="1"/>
  <c r="I21" i="1"/>
  <c r="AI21" i="1" s="1"/>
  <c r="AP5" i="1" l="1"/>
  <c r="P5" i="1"/>
  <c r="AN5" i="1" s="1"/>
  <c r="AP19" i="1"/>
  <c r="P19" i="1"/>
  <c r="AN19" i="1" s="1"/>
  <c r="AP21" i="1"/>
  <c r="P21" i="1"/>
  <c r="AN21" i="1" s="1"/>
  <c r="AP6" i="1"/>
  <c r="P6" i="1"/>
  <c r="AN6" i="1" s="1"/>
  <c r="L19" i="1"/>
  <c r="L6" i="1"/>
  <c r="L5" i="1"/>
  <c r="L21" i="1"/>
  <c r="R8" i="1"/>
  <c r="AQ8" i="1" s="1"/>
  <c r="M8" i="1"/>
  <c r="Q8" i="1" s="1"/>
  <c r="AO8" i="1" s="1"/>
  <c r="K8" i="1"/>
  <c r="AK8" i="1" s="1"/>
  <c r="I8" i="1"/>
  <c r="AI8" i="1" s="1"/>
  <c r="R11" i="1"/>
  <c r="AQ11" i="1" s="1"/>
  <c r="M11" i="1"/>
  <c r="Q11" i="1" s="1"/>
  <c r="AO11" i="1" s="1"/>
  <c r="K11" i="1"/>
  <c r="AK11" i="1" s="1"/>
  <c r="I11" i="1"/>
  <c r="R27" i="1"/>
  <c r="AQ27" i="1" s="1"/>
  <c r="M27" i="1"/>
  <c r="K27" i="1"/>
  <c r="AK27" i="1" s="1"/>
  <c r="I27" i="1"/>
  <c r="AI27" i="1" s="1"/>
  <c r="R10" i="1"/>
  <c r="AQ10" i="1" s="1"/>
  <c r="K10" i="1"/>
  <c r="AK10" i="1" s="1"/>
  <c r="I10" i="1"/>
  <c r="AI10" i="1" s="1"/>
  <c r="M3" i="1"/>
  <c r="Q3" i="1" s="1"/>
  <c r="AO3" i="1" s="1"/>
  <c r="K3" i="1"/>
  <c r="AK3" i="1" s="1"/>
  <c r="I3" i="1"/>
  <c r="M31" i="1"/>
  <c r="Q31" i="1" s="1"/>
  <c r="AO31" i="1" s="1"/>
  <c r="K31" i="1"/>
  <c r="AK31" i="1" s="1"/>
  <c r="I31" i="1"/>
  <c r="AI31" i="1" s="1"/>
  <c r="AP27" i="1" l="1"/>
  <c r="Q27" i="1"/>
  <c r="AO27" i="1" s="1"/>
  <c r="AP8" i="1"/>
  <c r="P8" i="1"/>
  <c r="AN8" i="1" s="1"/>
  <c r="AP3" i="1"/>
  <c r="P3" i="1"/>
  <c r="AN3" i="1" s="1"/>
  <c r="AP11" i="1"/>
  <c r="P11" i="1"/>
  <c r="AN11" i="1" s="1"/>
  <c r="AP31" i="1"/>
  <c r="P31" i="1"/>
  <c r="AN31" i="1" s="1"/>
  <c r="L3" i="1"/>
  <c r="AI3" i="1"/>
  <c r="L11" i="1"/>
  <c r="AI11" i="1"/>
  <c r="L31" i="1"/>
  <c r="L10" i="1"/>
  <c r="L8" i="1"/>
  <c r="L27" i="1"/>
  <c r="M15" i="1"/>
  <c r="Q15" i="1" s="1"/>
  <c r="AO15" i="1" s="1"/>
  <c r="K15" i="1"/>
  <c r="AK15" i="1" s="1"/>
  <c r="I15" i="1"/>
  <c r="R9" i="1"/>
  <c r="AQ9" i="1" s="1"/>
  <c r="K9" i="1"/>
  <c r="AK9" i="1" s="1"/>
  <c r="I9" i="1"/>
  <c r="I12" i="1"/>
  <c r="R12" i="1"/>
  <c r="AQ12" i="1" s="1"/>
  <c r="AP15" i="1" l="1"/>
  <c r="P15" i="1"/>
  <c r="AN15" i="1" s="1"/>
  <c r="L12" i="1"/>
  <c r="AI12" i="1"/>
  <c r="L9" i="1"/>
  <c r="AI9" i="1"/>
  <c r="L15" i="1"/>
  <c r="AI15" i="1"/>
  <c r="I32" i="1"/>
  <c r="AI32" i="1" s="1"/>
  <c r="AP32" i="1"/>
  <c r="R32" i="1"/>
  <c r="AQ32" i="1" s="1"/>
  <c r="K32" i="1"/>
  <c r="AK32" i="1" s="1"/>
  <c r="R4" i="1"/>
  <c r="AQ4" i="1" s="1"/>
  <c r="M4" i="1"/>
  <c r="Q4" i="1" s="1"/>
  <c r="AO4" i="1" s="1"/>
  <c r="K4" i="1"/>
  <c r="AK4" i="1" s="1"/>
  <c r="I4" i="1"/>
  <c r="AP4" i="1" l="1"/>
  <c r="P4" i="1"/>
  <c r="AN4" i="1" s="1"/>
  <c r="L4" i="1"/>
  <c r="AI4" i="1"/>
  <c r="L32" i="1"/>
  <c r="R14" i="1"/>
  <c r="AQ14" i="1" s="1"/>
  <c r="M14" i="1"/>
  <c r="Q14" i="1" s="1"/>
  <c r="AO14" i="1" s="1"/>
  <c r="K14" i="1"/>
  <c r="AK14" i="1" s="1"/>
  <c r="I14" i="1"/>
  <c r="AI14" i="1" s="1"/>
  <c r="AP14" i="1" l="1"/>
  <c r="P14" i="1"/>
  <c r="AN14" i="1" s="1"/>
  <c r="L14" i="1"/>
  <c r="R16" i="1" l="1"/>
  <c r="AQ16" i="1" s="1"/>
  <c r="M16" i="1"/>
  <c r="Q16" i="1" s="1"/>
  <c r="AO16" i="1" s="1"/>
  <c r="K16" i="1"/>
  <c r="AK16" i="1" s="1"/>
  <c r="I16" i="1"/>
  <c r="R25" i="1"/>
  <c r="AQ25" i="1" s="1"/>
  <c r="M25" i="1"/>
  <c r="Q25" i="1" s="1"/>
  <c r="AO25" i="1" s="1"/>
  <c r="K25" i="1"/>
  <c r="AK25" i="1" s="1"/>
  <c r="I25" i="1"/>
  <c r="AI25" i="1" s="1"/>
  <c r="R33" i="1"/>
  <c r="AQ33" i="1" s="1"/>
  <c r="M33" i="1"/>
  <c r="Q33" i="1" s="1"/>
  <c r="AO33" i="1" s="1"/>
  <c r="K33" i="1"/>
  <c r="AK33" i="1" s="1"/>
  <c r="I33" i="1"/>
  <c r="M23" i="1"/>
  <c r="Q23" i="1" s="1"/>
  <c r="AO23" i="1" s="1"/>
  <c r="K23" i="1"/>
  <c r="AK23" i="1" s="1"/>
  <c r="I23" i="1"/>
  <c r="AI23" i="1" s="1"/>
  <c r="AP25" i="1" l="1"/>
  <c r="P25" i="1"/>
  <c r="AN25" i="1" s="1"/>
  <c r="M34" i="1"/>
  <c r="N34" i="1"/>
  <c r="AP23" i="1"/>
  <c r="P23" i="1"/>
  <c r="AN23" i="1" s="1"/>
  <c r="AP33" i="1"/>
  <c r="P33" i="1"/>
  <c r="AN33" i="1" s="1"/>
  <c r="AP16" i="1"/>
  <c r="P16" i="1"/>
  <c r="AN16" i="1" s="1"/>
  <c r="L33" i="1"/>
  <c r="AI33" i="1"/>
  <c r="L16" i="1"/>
  <c r="AI16" i="1"/>
  <c r="L23" i="1"/>
  <c r="L25" i="1"/>
</calcChain>
</file>

<file path=xl/sharedStrings.xml><?xml version="1.0" encoding="utf-8"?>
<sst xmlns="http://schemas.openxmlformats.org/spreadsheetml/2006/main" count="321" uniqueCount="89">
  <si>
    <t>Hamster</t>
  </si>
  <si>
    <t>Ferret</t>
  </si>
  <si>
    <t>TimCorDif</t>
  </si>
  <si>
    <t>TimMidDif</t>
  </si>
  <si>
    <t>TimTubDif</t>
  </si>
  <si>
    <t>EntTubDif</t>
  </si>
  <si>
    <t>InsTubDif</t>
  </si>
  <si>
    <t>InsTubPos</t>
  </si>
  <si>
    <t>EntTubPos</t>
  </si>
  <si>
    <t>TimTubPos</t>
  </si>
  <si>
    <t>TimMidPos</t>
  </si>
  <si>
    <t>TimCorPos</t>
  </si>
  <si>
    <t>VidPos</t>
  </si>
  <si>
    <t>InsTubPre</t>
  </si>
  <si>
    <t>EntTubPre</t>
  </si>
  <si>
    <t>TimTubPre</t>
  </si>
  <si>
    <t>TimMidPre</t>
  </si>
  <si>
    <t>TimCorPre</t>
  </si>
  <si>
    <t>VidPre</t>
  </si>
  <si>
    <t>TimTotPre</t>
  </si>
  <si>
    <t>TimTotPos</t>
  </si>
  <si>
    <t>ObsPre</t>
  </si>
  <si>
    <t>JF</t>
  </si>
  <si>
    <t>ObsPos</t>
  </si>
  <si>
    <t>FerOrd</t>
  </si>
  <si>
    <t>CB</t>
  </si>
  <si>
    <t>14.732.16</t>
  </si>
  <si>
    <t>No</t>
  </si>
  <si>
    <t>14.732.10</t>
  </si>
  <si>
    <t>Sex</t>
  </si>
  <si>
    <t>Date</t>
  </si>
  <si>
    <t>Female</t>
  </si>
  <si>
    <t>14.732.8</t>
  </si>
  <si>
    <t>Male</t>
  </si>
  <si>
    <t>14.731.8</t>
  </si>
  <si>
    <t>Yes</t>
  </si>
  <si>
    <t>14.415.7</t>
  </si>
  <si>
    <t>14.414.7</t>
  </si>
  <si>
    <t>14.256.7</t>
  </si>
  <si>
    <t>14.421.4</t>
  </si>
  <si>
    <t>14.162.12</t>
  </si>
  <si>
    <t>14.161.12</t>
  </si>
  <si>
    <t>14.256.10</t>
  </si>
  <si>
    <t>14.161.6</t>
  </si>
  <si>
    <t>14.413.8</t>
  </si>
  <si>
    <t>14.732.18</t>
  </si>
  <si>
    <t>14.731.7</t>
  </si>
  <si>
    <t>14.516.5</t>
  </si>
  <si>
    <t>Second</t>
  </si>
  <si>
    <t>First</t>
  </si>
  <si>
    <t>DisTubPre</t>
  </si>
  <si>
    <t>DisTubPos</t>
  </si>
  <si>
    <t>DisEntPre</t>
  </si>
  <si>
    <t>DisEntPos</t>
  </si>
  <si>
    <t>DisTubDif</t>
  </si>
  <si>
    <t>DisEntDif</t>
  </si>
  <si>
    <t>TimCorTre</t>
  </si>
  <si>
    <t>TimMidTre</t>
  </si>
  <si>
    <t>TimTubTre</t>
  </si>
  <si>
    <t>TimTotTre</t>
  </si>
  <si>
    <t>EntTubTre</t>
  </si>
  <si>
    <t>DisTubTre</t>
  </si>
  <si>
    <t>DisEntTre</t>
  </si>
  <si>
    <t>InsTubTre</t>
  </si>
  <si>
    <t>ObsTre</t>
  </si>
  <si>
    <t>VidTre</t>
  </si>
  <si>
    <t>EatPre</t>
  </si>
  <si>
    <t>EatTre</t>
  </si>
  <si>
    <t>EatPos</t>
  </si>
  <si>
    <t>EatDif</t>
  </si>
  <si>
    <t>EatTimPre</t>
  </si>
  <si>
    <t>EatTimPos</t>
  </si>
  <si>
    <t>EatTimDif</t>
  </si>
  <si>
    <t>EatNumPre</t>
  </si>
  <si>
    <t>EatNumPos</t>
  </si>
  <si>
    <t>EatNumDif</t>
  </si>
  <si>
    <t>Session</t>
  </si>
  <si>
    <t>One</t>
  </si>
  <si>
    <t>Two</t>
  </si>
  <si>
    <t>DisEntPreCm</t>
  </si>
  <si>
    <t>DisTubPreCm</t>
  </si>
  <si>
    <t>DisTubPosCm</t>
  </si>
  <si>
    <t>DisEntDifCm</t>
  </si>
  <si>
    <t>DisTubDifCm</t>
  </si>
  <si>
    <t>DisEntPosCm</t>
  </si>
  <si>
    <t>NA</t>
  </si>
  <si>
    <t>Attack</t>
  </si>
  <si>
    <t>Tube</t>
  </si>
  <si>
    <t>ContactH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</si>
</sst>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14" fontId="0" fillId="0" borderId="0" xfId="0" applyNumberFormat="1"/>
    <xf numFmtId="0" fontId="0" fillId="0" borderId="0" xfId="0" applyNumberForma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9"/>
  <sheetViews>
    <sheetView tabSelected="1" workbookViewId="0">
      <pane xSplit="6" ySplit="1" topLeftCell="G2" activePane="bottomRight" state="frozen"/>
      <selection pane="topRight" activeCell="F1" sqref="F1"/>
      <selection pane="bottomLeft" activeCell="A2" sqref="A2"/>
      <selection pane="bottomRight" activeCell="AT1" sqref="AT1"/>
    </sheetView>
  </sheetViews>
  <sheetFormatPr baseColWidth="10" defaultColWidth="9.140625" defaultRowHeight="15" x14ac:dyDescent="0.25"/>
  <cols>
    <col min="1" max="1" width="9.140625" bestFit="1" customWidth="1"/>
    <col min="2" max="2" width="7.5703125" bestFit="1" customWidth="1"/>
    <col min="3" max="3" width="10.7109375" bestFit="1" customWidth="1"/>
    <col min="4" max="4" width="7.7109375" bestFit="1" customWidth="1"/>
    <col min="5" max="5" width="7.42578125" bestFit="1" customWidth="1"/>
    <col min="6" max="6" width="6.42578125" bestFit="1" customWidth="1"/>
    <col min="7" max="7" width="7" bestFit="1" customWidth="1"/>
    <col min="8" max="8" width="7.42578125" bestFit="1" customWidth="1"/>
    <col min="9" max="9" width="10.28515625" style="1" bestFit="1" customWidth="1"/>
    <col min="10" max="10" width="10.7109375" style="1" bestFit="1" customWidth="1"/>
    <col min="11" max="11" width="10.5703125" style="1" bestFit="1" customWidth="1"/>
    <col min="12" max="12" width="10.140625" style="1" bestFit="1" customWidth="1"/>
    <col min="13" max="13" width="10.140625" bestFit="1" customWidth="1"/>
    <col min="14" max="14" width="10" style="3" bestFit="1" customWidth="1"/>
    <col min="15" max="15" width="12.85546875" style="3" bestFit="1" customWidth="1"/>
    <col min="16" max="16" width="9.5703125" style="1" bestFit="1" customWidth="1"/>
    <col min="17" max="17" width="12.42578125" style="1" bestFit="1" customWidth="1"/>
    <col min="18" max="18" width="9.85546875" bestFit="1" customWidth="1"/>
    <col min="19" max="19" width="6.85546875" style="4" bestFit="1" customWidth="1"/>
    <col min="20" max="20" width="6.5703125" style="4" bestFit="1" customWidth="1"/>
    <col min="21" max="21" width="5.42578125" style="4" bestFit="1" customWidth="1"/>
    <col min="22" max="22" width="9" style="4" bestFit="1" customWidth="1"/>
    <col min="23" max="23" width="7.140625" bestFit="1" customWidth="1"/>
    <col min="24" max="24" width="7.5703125" bestFit="1" customWidth="1"/>
    <col min="25" max="25" width="10.42578125" bestFit="1" customWidth="1"/>
    <col min="26" max="26" width="10.85546875" bestFit="1" customWidth="1"/>
    <col min="27" max="27" width="10.7109375" bestFit="1" customWidth="1"/>
    <col min="28" max="29" width="10.28515625" bestFit="1" customWidth="1"/>
    <col min="30" max="30" width="10.140625" style="3" bestFit="1" customWidth="1"/>
    <col min="31" max="31" width="13.140625" style="3" bestFit="1" customWidth="1"/>
    <col min="32" max="32" width="9.7109375" style="1" bestFit="1" customWidth="1"/>
    <col min="33" max="33" width="12.5703125" style="1" bestFit="1" customWidth="1"/>
    <col min="34" max="34" width="10" bestFit="1" customWidth="1"/>
    <col min="35" max="35" width="9.85546875" bestFit="1" customWidth="1"/>
    <col min="36" max="36" width="10.28515625" bestFit="1" customWidth="1"/>
    <col min="37" max="37" width="10.140625" bestFit="1" customWidth="1"/>
    <col min="38" max="38" width="9.5703125" bestFit="1" customWidth="1"/>
    <col min="39" max="39" width="12.42578125" bestFit="1" customWidth="1"/>
    <col min="40" max="40" width="9.140625" style="1" bestFit="1" customWidth="1"/>
    <col min="41" max="41" width="12" style="1" bestFit="1" customWidth="1"/>
    <col min="42" max="42" width="9.7109375" bestFit="1" customWidth="1"/>
    <col min="43" max="43" width="9.42578125" bestFit="1" customWidth="1"/>
    <col min="44" max="45" width="9" bestFit="1" customWidth="1"/>
    <col min="46" max="46" width="8" bestFit="1" customWidth="1"/>
    <col min="47" max="47" width="6.28515625" bestFit="1" customWidth="1"/>
    <col min="48" max="48" width="11" bestFit="1" customWidth="1"/>
    <col min="49" max="49" width="11.140625" bestFit="1" customWidth="1"/>
    <col min="50" max="50" width="10.5703125" bestFit="1" customWidth="1"/>
    <col min="51" max="51" width="10" bestFit="1" customWidth="1"/>
    <col min="52" max="52" width="10.140625" bestFit="1" customWidth="1"/>
    <col min="53" max="53" width="9.5703125" bestFit="1" customWidth="1"/>
  </cols>
  <sheetData>
    <row r="1" spans="1:53" x14ac:dyDescent="0.25">
      <c r="A1" t="s">
        <v>0</v>
      </c>
      <c r="B1" t="s">
        <v>29</v>
      </c>
      <c r="C1" t="s">
        <v>30</v>
      </c>
      <c r="D1" t="s">
        <v>76</v>
      </c>
      <c r="E1" t="s">
        <v>24</v>
      </c>
      <c r="F1" t="s">
        <v>1</v>
      </c>
      <c r="G1" t="s">
        <v>18</v>
      </c>
      <c r="H1" t="s">
        <v>21</v>
      </c>
      <c r="I1" s="1" t="s">
        <v>17</v>
      </c>
      <c r="J1" s="1" t="s">
        <v>16</v>
      </c>
      <c r="K1" s="1" t="s">
        <v>15</v>
      </c>
      <c r="L1" s="1" t="s">
        <v>19</v>
      </c>
      <c r="M1" t="s">
        <v>14</v>
      </c>
      <c r="N1" s="3" t="s">
        <v>50</v>
      </c>
      <c r="O1" s="3" t="s">
        <v>80</v>
      </c>
      <c r="P1" s="1" t="s">
        <v>52</v>
      </c>
      <c r="Q1" s="1" t="s">
        <v>79</v>
      </c>
      <c r="R1" t="s">
        <v>13</v>
      </c>
      <c r="S1" s="4" t="s">
        <v>65</v>
      </c>
      <c r="T1" s="4" t="s">
        <v>86</v>
      </c>
      <c r="U1" s="4" t="s">
        <v>87</v>
      </c>
      <c r="V1" s="4" t="s">
        <v>88</v>
      </c>
      <c r="W1" t="s">
        <v>12</v>
      </c>
      <c r="X1" t="s">
        <v>23</v>
      </c>
      <c r="Y1" t="s">
        <v>11</v>
      </c>
      <c r="Z1" t="s">
        <v>10</v>
      </c>
      <c r="AA1" t="s">
        <v>9</v>
      </c>
      <c r="AB1" t="s">
        <v>20</v>
      </c>
      <c r="AC1" t="s">
        <v>8</v>
      </c>
      <c r="AD1" s="3" t="s">
        <v>51</v>
      </c>
      <c r="AE1" s="3" t="s">
        <v>81</v>
      </c>
      <c r="AF1" s="1" t="s">
        <v>53</v>
      </c>
      <c r="AG1" s="1" t="s">
        <v>84</v>
      </c>
      <c r="AH1" t="s">
        <v>7</v>
      </c>
      <c r="AI1" t="s">
        <v>2</v>
      </c>
      <c r="AJ1" t="s">
        <v>3</v>
      </c>
      <c r="AK1" t="s">
        <v>4</v>
      </c>
      <c r="AL1" t="s">
        <v>54</v>
      </c>
      <c r="AM1" t="s">
        <v>83</v>
      </c>
      <c r="AN1" s="1" t="s">
        <v>55</v>
      </c>
      <c r="AO1" s="1" t="s">
        <v>82</v>
      </c>
      <c r="AP1" t="s">
        <v>5</v>
      </c>
      <c r="AQ1" t="s">
        <v>6</v>
      </c>
      <c r="AR1" s="3" t="s">
        <v>66</v>
      </c>
      <c r="AS1" s="3" t="s">
        <v>67</v>
      </c>
      <c r="AT1" s="3" t="s">
        <v>68</v>
      </c>
      <c r="AU1" s="3" t="s">
        <v>69</v>
      </c>
      <c r="AV1" s="3" t="s">
        <v>73</v>
      </c>
      <c r="AW1" s="3" t="s">
        <v>74</v>
      </c>
      <c r="AX1" s="3" t="s">
        <v>75</v>
      </c>
      <c r="AY1" s="3" t="s">
        <v>70</v>
      </c>
      <c r="AZ1" s="3" t="s">
        <v>71</v>
      </c>
      <c r="BA1" s="3" t="s">
        <v>72</v>
      </c>
    </row>
    <row r="2" spans="1:53" x14ac:dyDescent="0.25">
      <c r="A2" t="s">
        <v>43</v>
      </c>
      <c r="B2" t="s">
        <v>33</v>
      </c>
      <c r="C2" s="2">
        <v>42515</v>
      </c>
      <c r="D2" t="s">
        <v>77</v>
      </c>
      <c r="E2" t="s">
        <v>49</v>
      </c>
      <c r="F2" t="s">
        <v>35</v>
      </c>
      <c r="G2">
        <v>92</v>
      </c>
      <c r="H2" t="s">
        <v>25</v>
      </c>
      <c r="I2" s="1">
        <f>144.362+53.325+65.508+32.248</f>
        <v>295.44299999999998</v>
      </c>
      <c r="J2" s="1">
        <v>304.51499999999999</v>
      </c>
      <c r="K2" s="1">
        <v>0</v>
      </c>
      <c r="L2" s="1">
        <f t="shared" ref="L2:L33" si="0">SUM(I2:K2)</f>
        <v>599.95799999999997</v>
      </c>
      <c r="M2">
        <v>0</v>
      </c>
      <c r="N2" s="3">
        <v>0</v>
      </c>
      <c r="O2" s="3">
        <v>0</v>
      </c>
      <c r="P2" s="1">
        <v>0</v>
      </c>
      <c r="Q2" s="1">
        <v>0</v>
      </c>
      <c r="R2">
        <v>1</v>
      </c>
      <c r="S2" s="4">
        <v>42</v>
      </c>
      <c r="T2" s="4">
        <v>0</v>
      </c>
      <c r="U2" s="4">
        <v>0</v>
      </c>
      <c r="V2" s="4">
        <v>4</v>
      </c>
      <c r="W2">
        <v>74</v>
      </c>
      <c r="X2" t="s">
        <v>25</v>
      </c>
      <c r="Y2" s="1">
        <f>134.53+57.018+83.184+55.186</f>
        <v>329.91799999999995</v>
      </c>
      <c r="Z2" s="1">
        <v>232.93700000000001</v>
      </c>
      <c r="AA2" s="1">
        <f>19.704+7.491+4.697+1.89+3.302</f>
        <v>37.083999999999996</v>
      </c>
      <c r="AB2" s="1">
        <f t="shared" ref="AB2:AB33" si="1">SUM(Y2:AA2)</f>
        <v>599.93899999999996</v>
      </c>
      <c r="AC2">
        <f>2+1+2+1+1</f>
        <v>7</v>
      </c>
      <c r="AD2" s="3">
        <f>5-4+6-4+7-6+2-1+6-5+5-1+7-5</f>
        <v>12</v>
      </c>
      <c r="AE2" s="3">
        <f>50+100+20+20+50+170+70</f>
        <v>480</v>
      </c>
      <c r="AF2" s="1">
        <f>AD2/AC2</f>
        <v>1.7142857142857142</v>
      </c>
      <c r="AG2" s="1">
        <f t="shared" ref="AG2:AG32" si="2">AE2/AC2</f>
        <v>68.571428571428569</v>
      </c>
      <c r="AH2">
        <f>1+2+1</f>
        <v>4</v>
      </c>
      <c r="AI2">
        <f>Y2-I2</f>
        <v>34.474999999999966</v>
      </c>
      <c r="AJ2">
        <f>Z2-J2</f>
        <v>-71.577999999999975</v>
      </c>
      <c r="AK2">
        <f>AA2-K2</f>
        <v>37.083999999999996</v>
      </c>
      <c r="AL2">
        <f>AD2-N2</f>
        <v>12</v>
      </c>
      <c r="AM2">
        <f>AE2-O2</f>
        <v>480</v>
      </c>
      <c r="AN2" s="1">
        <f>AF2-P2</f>
        <v>1.7142857142857142</v>
      </c>
      <c r="AO2" s="1">
        <f>AG2-Q2</f>
        <v>68.571428571428569</v>
      </c>
      <c r="AP2">
        <f>AC2-M2</f>
        <v>7</v>
      </c>
      <c r="AQ2">
        <f>AH2-R2</f>
        <v>3</v>
      </c>
      <c r="AR2">
        <v>12</v>
      </c>
      <c r="AS2">
        <v>12</v>
      </c>
      <c r="AT2">
        <v>39</v>
      </c>
      <c r="AU2">
        <v>27</v>
      </c>
      <c r="AV2">
        <v>2</v>
      </c>
      <c r="AW2">
        <v>9</v>
      </c>
      <c r="AX2">
        <f t="shared" ref="AX2:AX33" si="3">AW2-AV2</f>
        <v>7</v>
      </c>
      <c r="AY2">
        <v>102.605</v>
      </c>
      <c r="AZ2">
        <v>83.644000000000005</v>
      </c>
      <c r="BA2">
        <f t="shared" ref="BA2:BA33" si="4">AZ2-AY2</f>
        <v>-18.960999999999999</v>
      </c>
    </row>
    <row r="3" spans="1:53" x14ac:dyDescent="0.25">
      <c r="A3" t="s">
        <v>40</v>
      </c>
      <c r="B3" t="s">
        <v>31</v>
      </c>
      <c r="C3" s="2">
        <v>42510</v>
      </c>
      <c r="D3" t="s">
        <v>77</v>
      </c>
      <c r="E3" t="s">
        <v>49</v>
      </c>
      <c r="F3" t="s">
        <v>35</v>
      </c>
      <c r="G3">
        <v>39</v>
      </c>
      <c r="H3" t="s">
        <v>22</v>
      </c>
      <c r="I3" s="1">
        <f>109.56+70.203+72.38+80.941</f>
        <v>333.084</v>
      </c>
      <c r="J3" s="1">
        <v>239.297</v>
      </c>
      <c r="K3" s="1">
        <f>15.486+2.789+2.71+4.77</f>
        <v>25.755000000000003</v>
      </c>
      <c r="L3" s="1">
        <f t="shared" si="0"/>
        <v>598.13599999999997</v>
      </c>
      <c r="M3">
        <f>1+1+1+1</f>
        <v>4</v>
      </c>
      <c r="N3" s="3">
        <f>4-1+2-1+6-5+6-3</f>
        <v>8</v>
      </c>
      <c r="O3" s="3">
        <f>120+20+50+150</f>
        <v>340</v>
      </c>
      <c r="P3" s="1">
        <f t="shared" ref="P3:P26" si="5">N3/M3</f>
        <v>2</v>
      </c>
      <c r="Q3" s="1">
        <f t="shared" ref="Q3:Q32" si="6">O3/M3</f>
        <v>85</v>
      </c>
      <c r="R3">
        <v>1</v>
      </c>
      <c r="S3" s="4">
        <v>59</v>
      </c>
      <c r="T3" s="4">
        <v>6</v>
      </c>
      <c r="U3" s="4">
        <v>2</v>
      </c>
      <c r="V3" s="4">
        <v>3</v>
      </c>
      <c r="W3">
        <v>91</v>
      </c>
      <c r="X3" t="s">
        <v>25</v>
      </c>
      <c r="Y3" s="1">
        <f>36.364+162.502+73.66+84.435</f>
        <v>356.96100000000001</v>
      </c>
      <c r="Z3" s="1">
        <v>195.98</v>
      </c>
      <c r="AA3" s="1">
        <f>34.999+9.557+2.43</f>
        <v>46.986000000000004</v>
      </c>
      <c r="AB3" s="1">
        <f t="shared" si="1"/>
        <v>599.92700000000002</v>
      </c>
      <c r="AC3">
        <f>3+2+1</f>
        <v>6</v>
      </c>
      <c r="AD3" s="3">
        <f>7-1+7-3+7-3+7-1+4-1+7-5</f>
        <v>25</v>
      </c>
      <c r="AE3" s="3">
        <f>240+170+170+240+120+70</f>
        <v>1010</v>
      </c>
      <c r="AF3" s="1">
        <f>AD3/AC3</f>
        <v>4.166666666666667</v>
      </c>
      <c r="AG3" s="1">
        <f t="shared" si="2"/>
        <v>168.33333333333334</v>
      </c>
      <c r="AH3">
        <f>8+2+1</f>
        <v>11</v>
      </c>
      <c r="AI3">
        <f>Y3-I3</f>
        <v>23.87700000000001</v>
      </c>
      <c r="AJ3">
        <f>Z3-J3</f>
        <v>-43.317000000000007</v>
      </c>
      <c r="AK3">
        <f>AA3-K3</f>
        <v>21.231000000000002</v>
      </c>
      <c r="AL3">
        <f>AD3-N3</f>
        <v>17</v>
      </c>
      <c r="AM3">
        <f>AE3-O3</f>
        <v>670</v>
      </c>
      <c r="AN3" s="1">
        <f>AF3-P3</f>
        <v>2.166666666666667</v>
      </c>
      <c r="AO3" s="1">
        <f>AG3-Q3</f>
        <v>83.333333333333343</v>
      </c>
      <c r="AP3">
        <f>AC3-M3</f>
        <v>2</v>
      </c>
      <c r="AQ3">
        <f>AH3-R3</f>
        <v>10</v>
      </c>
      <c r="AR3">
        <v>19</v>
      </c>
      <c r="AS3">
        <v>3</v>
      </c>
      <c r="AT3">
        <v>8</v>
      </c>
      <c r="AU3">
        <v>-11</v>
      </c>
      <c r="AV3">
        <v>5</v>
      </c>
      <c r="AW3">
        <v>0</v>
      </c>
      <c r="AX3">
        <f t="shared" si="3"/>
        <v>-5</v>
      </c>
      <c r="AY3">
        <v>49.518999999999998</v>
      </c>
      <c r="AZ3">
        <v>0</v>
      </c>
      <c r="BA3">
        <f t="shared" si="4"/>
        <v>-49.518999999999998</v>
      </c>
    </row>
    <row r="4" spans="1:53" x14ac:dyDescent="0.25">
      <c r="A4" t="s">
        <v>37</v>
      </c>
      <c r="B4" t="s">
        <v>31</v>
      </c>
      <c r="C4" s="2">
        <v>42510</v>
      </c>
      <c r="D4" t="s">
        <v>77</v>
      </c>
      <c r="E4" t="s">
        <v>49</v>
      </c>
      <c r="F4" t="s">
        <v>35</v>
      </c>
      <c r="G4">
        <v>24</v>
      </c>
      <c r="H4" t="s">
        <v>22</v>
      </c>
      <c r="I4" s="1">
        <f>80.964+77.139+61.896+66.333</f>
        <v>286.33199999999999</v>
      </c>
      <c r="J4" s="1">
        <v>276.96800000000002</v>
      </c>
      <c r="K4" s="1">
        <f>19.891+3.017+11.732+1.98</f>
        <v>36.619999999999997</v>
      </c>
      <c r="L4" s="1">
        <f t="shared" si="0"/>
        <v>599.91999999999996</v>
      </c>
      <c r="M4">
        <f>2+3+1+1</f>
        <v>7</v>
      </c>
      <c r="N4" s="3">
        <f>3-1+2-1+2-1+4-1+4-3+4-3+2-1</f>
        <v>10</v>
      </c>
      <c r="O4" s="3">
        <f>70+20+20+120+50+50+20</f>
        <v>350</v>
      </c>
      <c r="P4" s="1">
        <f t="shared" si="5"/>
        <v>1.4285714285714286</v>
      </c>
      <c r="Q4" s="1">
        <f t="shared" si="6"/>
        <v>50</v>
      </c>
      <c r="R4">
        <f>2+1+1</f>
        <v>4</v>
      </c>
      <c r="S4" s="4">
        <v>62</v>
      </c>
      <c r="T4" s="4">
        <v>4</v>
      </c>
      <c r="U4" s="4">
        <v>0</v>
      </c>
      <c r="V4" s="4">
        <v>0</v>
      </c>
      <c r="W4">
        <v>60</v>
      </c>
      <c r="X4" t="s">
        <v>22</v>
      </c>
      <c r="Y4" s="1">
        <f>40.391+143.826+69.346+61.672</f>
        <v>315.23500000000001</v>
      </c>
      <c r="Z4" s="1">
        <v>248.92</v>
      </c>
      <c r="AA4" s="1">
        <f>8.994+8.192+13.141+5.406</f>
        <v>35.732999999999997</v>
      </c>
      <c r="AB4" s="1">
        <f t="shared" si="1"/>
        <v>599.88799999999992</v>
      </c>
      <c r="AC4">
        <f>2+2+2+2</f>
        <v>8</v>
      </c>
      <c r="AD4" s="3">
        <f>5-3+3-2+3-2+5-2+6-5+5-4+7-4+3-1</f>
        <v>14</v>
      </c>
      <c r="AE4" s="3">
        <f>100+50+50+150+50+50+120+70</f>
        <v>640</v>
      </c>
      <c r="AF4" s="1">
        <f>AD4/AC4</f>
        <v>1.75</v>
      </c>
      <c r="AG4" s="1">
        <f t="shared" si="2"/>
        <v>80</v>
      </c>
      <c r="AH4">
        <v>0</v>
      </c>
      <c r="AI4">
        <f>Y4-I4</f>
        <v>28.90300000000002</v>
      </c>
      <c r="AJ4">
        <f>Z4-J4</f>
        <v>-28.04800000000003</v>
      </c>
      <c r="AK4">
        <f>AA4-K4</f>
        <v>-0.88700000000000045</v>
      </c>
      <c r="AL4">
        <f>AD4-N4</f>
        <v>4</v>
      </c>
      <c r="AM4">
        <f>AE4-O4</f>
        <v>290</v>
      </c>
      <c r="AN4" s="1">
        <f>AF4-P4</f>
        <v>0.3214285714285714</v>
      </c>
      <c r="AO4" s="1">
        <f>AG4-Q4</f>
        <v>30</v>
      </c>
      <c r="AP4">
        <f>AC4-M4</f>
        <v>1</v>
      </c>
      <c r="AQ4">
        <f>AH4-R4</f>
        <v>-4</v>
      </c>
      <c r="AR4">
        <v>27</v>
      </c>
      <c r="AS4">
        <v>9</v>
      </c>
      <c r="AT4">
        <v>0</v>
      </c>
      <c r="AU4">
        <v>-27</v>
      </c>
      <c r="AV4">
        <v>6</v>
      </c>
      <c r="AW4">
        <v>0</v>
      </c>
      <c r="AX4">
        <f t="shared" si="3"/>
        <v>-6</v>
      </c>
      <c r="AY4">
        <v>32.165999999999997</v>
      </c>
      <c r="AZ4">
        <v>0</v>
      </c>
      <c r="BA4">
        <f t="shared" si="4"/>
        <v>-32.165999999999997</v>
      </c>
    </row>
    <row r="5" spans="1:53" x14ac:dyDescent="0.25">
      <c r="A5" t="s">
        <v>47</v>
      </c>
      <c r="B5" t="s">
        <v>31</v>
      </c>
      <c r="C5" s="2">
        <v>42515</v>
      </c>
      <c r="D5" t="s">
        <v>77</v>
      </c>
      <c r="E5" t="s">
        <v>49</v>
      </c>
      <c r="F5" t="s">
        <v>35</v>
      </c>
      <c r="G5">
        <v>55</v>
      </c>
      <c r="H5" t="s">
        <v>22</v>
      </c>
      <c r="I5" s="1">
        <f>111.821+123.653+49.485+58.507</f>
        <v>343.46600000000001</v>
      </c>
      <c r="J5" s="1">
        <v>223.267</v>
      </c>
      <c r="K5" s="1">
        <f>18.453+9.63+3.326+1.801</f>
        <v>33.21</v>
      </c>
      <c r="L5" s="1">
        <f t="shared" si="0"/>
        <v>599.94299999999998</v>
      </c>
      <c r="M5">
        <f>2+1+1+1</f>
        <v>5</v>
      </c>
      <c r="N5" s="3">
        <f>2-1+4-3+6-5+7-6+3-2</f>
        <v>5</v>
      </c>
      <c r="O5" s="3">
        <f>20+50+50+20+50</f>
        <v>190</v>
      </c>
      <c r="P5" s="1">
        <f t="shared" si="5"/>
        <v>1</v>
      </c>
      <c r="Q5" s="1">
        <f t="shared" si="6"/>
        <v>38</v>
      </c>
      <c r="R5">
        <f>1+2+1</f>
        <v>4</v>
      </c>
      <c r="S5" s="4">
        <v>98</v>
      </c>
      <c r="T5" s="4">
        <v>7</v>
      </c>
      <c r="U5" s="4">
        <v>0</v>
      </c>
      <c r="V5" s="4">
        <v>3</v>
      </c>
      <c r="W5">
        <v>17</v>
      </c>
      <c r="X5" t="s">
        <v>22</v>
      </c>
      <c r="Y5" s="1">
        <f>140.295+37.023+60.482+42.3</f>
        <v>280.09999999999997</v>
      </c>
      <c r="Z5" s="1">
        <v>284.71800000000002</v>
      </c>
      <c r="AA5" s="1">
        <f>13.052+12.148+2.696+0.719+4.14+2.339</f>
        <v>35.094000000000001</v>
      </c>
      <c r="AB5" s="1">
        <f t="shared" si="1"/>
        <v>599.91200000000003</v>
      </c>
      <c r="AC5">
        <f>4+3+1+1+2+1</f>
        <v>12</v>
      </c>
      <c r="AD5" s="3">
        <f>5-2+2-1+7-5+2-1+2-1+5-4+3-1+7-6+5-4+5-3+3-2+4-3</f>
        <v>17</v>
      </c>
      <c r="AE5" s="3">
        <f>150+20+70+20+20+50+70+20+50+100+50+50</f>
        <v>670</v>
      </c>
      <c r="AF5" s="1">
        <f>AD5/AC5</f>
        <v>1.4166666666666667</v>
      </c>
      <c r="AG5" s="1">
        <f t="shared" si="2"/>
        <v>55.833333333333336</v>
      </c>
      <c r="AH5">
        <f>1+2+2</f>
        <v>5</v>
      </c>
      <c r="AI5">
        <f>Y5-I5</f>
        <v>-63.366000000000042</v>
      </c>
      <c r="AJ5">
        <f>Z5-J5</f>
        <v>61.451000000000022</v>
      </c>
      <c r="AK5">
        <f>AA5-K5</f>
        <v>1.8840000000000003</v>
      </c>
      <c r="AL5">
        <f>AD5-N5</f>
        <v>12</v>
      </c>
      <c r="AM5">
        <f>AE5-O5</f>
        <v>480</v>
      </c>
      <c r="AN5" s="1">
        <f>AF5-P5</f>
        <v>0.41666666666666674</v>
      </c>
      <c r="AO5" s="1">
        <f>AG5-Q5</f>
        <v>17.833333333333336</v>
      </c>
      <c r="AP5">
        <f>AC5-M5</f>
        <v>7</v>
      </c>
      <c r="AQ5">
        <f>AH5-R5</f>
        <v>1</v>
      </c>
      <c r="AR5">
        <v>21</v>
      </c>
      <c r="AS5">
        <v>9</v>
      </c>
      <c r="AT5">
        <v>10</v>
      </c>
      <c r="AU5">
        <v>-11</v>
      </c>
      <c r="AV5">
        <v>2</v>
      </c>
      <c r="AW5">
        <v>1</v>
      </c>
      <c r="AX5">
        <f t="shared" si="3"/>
        <v>-1</v>
      </c>
      <c r="AY5">
        <v>26.463999999999999</v>
      </c>
      <c r="AZ5">
        <v>0.80600000000000005</v>
      </c>
      <c r="BA5">
        <f t="shared" si="4"/>
        <v>-25.657999999999998</v>
      </c>
    </row>
    <row r="6" spans="1:53" x14ac:dyDescent="0.25">
      <c r="A6" t="s">
        <v>46</v>
      </c>
      <c r="B6" t="s">
        <v>33</v>
      </c>
      <c r="C6" s="2">
        <v>42510</v>
      </c>
      <c r="D6" t="s">
        <v>77</v>
      </c>
      <c r="E6" t="s">
        <v>49</v>
      </c>
      <c r="F6" t="s">
        <v>35</v>
      </c>
      <c r="G6">
        <v>63</v>
      </c>
      <c r="H6" t="s">
        <v>22</v>
      </c>
      <c r="I6" s="1">
        <f>54.642+57.52+107.302+123.579</f>
        <v>343.04300000000001</v>
      </c>
      <c r="J6" s="1">
        <v>237.71100000000001</v>
      </c>
      <c r="K6" s="1">
        <f>13.772+5.4</f>
        <v>19.172000000000001</v>
      </c>
      <c r="L6" s="1">
        <f t="shared" si="0"/>
        <v>599.92600000000004</v>
      </c>
      <c r="M6">
        <f>1+1</f>
        <v>2</v>
      </c>
      <c r="N6" s="3">
        <f>4-1+7-5</f>
        <v>5</v>
      </c>
      <c r="O6" s="3">
        <f>120+70</f>
        <v>190</v>
      </c>
      <c r="P6" s="1">
        <f t="shared" si="5"/>
        <v>2.5</v>
      </c>
      <c r="Q6" s="1">
        <f t="shared" si="6"/>
        <v>95</v>
      </c>
      <c r="R6">
        <f>2+2+1+1</f>
        <v>6</v>
      </c>
      <c r="S6" s="4">
        <v>61</v>
      </c>
      <c r="T6" s="4">
        <v>5</v>
      </c>
      <c r="U6" s="4">
        <v>0</v>
      </c>
      <c r="V6" s="4">
        <v>0</v>
      </c>
      <c r="W6">
        <v>37</v>
      </c>
      <c r="X6" t="s">
        <v>22</v>
      </c>
      <c r="Y6" s="1">
        <f>106.96+32.671+116.698+27.709</f>
        <v>284.03800000000001</v>
      </c>
      <c r="Z6" s="1">
        <v>283.52800000000002</v>
      </c>
      <c r="AA6" s="1">
        <f>26.164+6.184</f>
        <v>32.347999999999999</v>
      </c>
      <c r="AB6" s="1">
        <f t="shared" si="1"/>
        <v>599.91399999999999</v>
      </c>
      <c r="AC6">
        <f>2+1</f>
        <v>3</v>
      </c>
      <c r="AD6" s="3">
        <f>7-1+4-1+2-1</f>
        <v>10</v>
      </c>
      <c r="AE6" s="3">
        <f>240+120+20</f>
        <v>380</v>
      </c>
      <c r="AF6" s="1">
        <f>AD6/AC6</f>
        <v>3.3333333333333335</v>
      </c>
      <c r="AG6" s="1">
        <f t="shared" si="2"/>
        <v>126.66666666666667</v>
      </c>
      <c r="AH6">
        <f>2+2+1</f>
        <v>5</v>
      </c>
      <c r="AI6">
        <f>Y6-I6</f>
        <v>-59.004999999999995</v>
      </c>
      <c r="AJ6">
        <f>Z6-J6</f>
        <v>45.817000000000007</v>
      </c>
      <c r="AK6">
        <f>AA6-K6</f>
        <v>13.175999999999998</v>
      </c>
      <c r="AL6">
        <f>AD6-N6</f>
        <v>5</v>
      </c>
      <c r="AM6">
        <f>AE6-O6</f>
        <v>190</v>
      </c>
      <c r="AN6" s="1">
        <f>AF6-P6</f>
        <v>0.83333333333333348</v>
      </c>
      <c r="AO6" s="1">
        <f>AG6-Q6</f>
        <v>31.666666666666671</v>
      </c>
      <c r="AP6">
        <f>AC6-M6</f>
        <v>1</v>
      </c>
      <c r="AQ6">
        <f>AH6-R6</f>
        <v>-1</v>
      </c>
      <c r="AR6">
        <v>40</v>
      </c>
      <c r="AS6">
        <v>29</v>
      </c>
      <c r="AT6">
        <v>18</v>
      </c>
      <c r="AU6">
        <v>-22</v>
      </c>
      <c r="AV6">
        <v>3</v>
      </c>
      <c r="AW6">
        <v>0</v>
      </c>
      <c r="AX6">
        <f t="shared" si="3"/>
        <v>-3</v>
      </c>
      <c r="AY6">
        <v>14.044</v>
      </c>
      <c r="AZ6">
        <v>0</v>
      </c>
      <c r="BA6">
        <f t="shared" si="4"/>
        <v>-14.044</v>
      </c>
    </row>
    <row r="7" spans="1:53" x14ac:dyDescent="0.25">
      <c r="A7" t="s">
        <v>28</v>
      </c>
      <c r="B7" t="s">
        <v>31</v>
      </c>
      <c r="C7" s="2">
        <v>42514</v>
      </c>
      <c r="D7" t="s">
        <v>77</v>
      </c>
      <c r="E7" t="s">
        <v>49</v>
      </c>
      <c r="F7" t="s">
        <v>35</v>
      </c>
      <c r="G7">
        <v>96</v>
      </c>
      <c r="H7" t="s">
        <v>25</v>
      </c>
      <c r="I7" s="1">
        <f>65.272+74.005+54.503+48.329</f>
        <v>242.10899999999998</v>
      </c>
      <c r="J7" s="1">
        <v>334.40699999999998</v>
      </c>
      <c r="K7" s="1">
        <f>7.892+4.903+7.411+3.151</f>
        <v>23.356999999999999</v>
      </c>
      <c r="L7" s="1">
        <f t="shared" si="0"/>
        <v>599.87299999999993</v>
      </c>
      <c r="M7">
        <f>1+1+2+1</f>
        <v>5</v>
      </c>
      <c r="N7" s="3">
        <f>4-2+3-1+3-1+5-3+6-5</f>
        <v>9</v>
      </c>
      <c r="O7" s="3">
        <f>100+70+70+100+50</f>
        <v>390</v>
      </c>
      <c r="P7" s="1">
        <f t="shared" si="5"/>
        <v>1.8</v>
      </c>
      <c r="Q7" s="1">
        <f t="shared" si="6"/>
        <v>78</v>
      </c>
      <c r="R7">
        <f>3+4+2+1+3+2</f>
        <v>15</v>
      </c>
      <c r="S7" s="4">
        <v>67</v>
      </c>
      <c r="T7" s="4">
        <v>0</v>
      </c>
      <c r="U7" s="4">
        <v>1</v>
      </c>
      <c r="V7" s="4">
        <v>1</v>
      </c>
      <c r="W7">
        <v>71</v>
      </c>
      <c r="X7" t="s">
        <v>25</v>
      </c>
      <c r="Y7" s="1">
        <f>33.092+100.664+58.348+23.601</f>
        <v>215.70499999999998</v>
      </c>
      <c r="Z7" s="1">
        <v>339.38900000000001</v>
      </c>
      <c r="AA7" s="1">
        <f>12.804+5.094+14.921+0.928+11.016</f>
        <v>44.762999999999998</v>
      </c>
      <c r="AB7" s="1">
        <f t="shared" si="1"/>
        <v>599.85700000000008</v>
      </c>
      <c r="AC7">
        <f>3+2+2+2+2</f>
        <v>11</v>
      </c>
      <c r="AD7" s="3">
        <f>6-1+4-1+3-1+2-1+6-1+7-3+2-1+4-1+6-2+6-1</f>
        <v>33</v>
      </c>
      <c r="AE7" s="3">
        <f>220+120+70+20+220+170+20+120+200+220</f>
        <v>1380</v>
      </c>
      <c r="AF7" s="1">
        <f>AD7/10</f>
        <v>3.3</v>
      </c>
      <c r="AG7" s="1">
        <f t="shared" si="2"/>
        <v>125.45454545454545</v>
      </c>
      <c r="AH7">
        <v>0</v>
      </c>
      <c r="AI7">
        <f>Y7-I7</f>
        <v>-26.403999999999996</v>
      </c>
      <c r="AJ7">
        <f>Z7-J7</f>
        <v>4.9820000000000277</v>
      </c>
      <c r="AK7">
        <f>AA7-K7</f>
        <v>21.405999999999999</v>
      </c>
      <c r="AL7">
        <f>AD7-N7</f>
        <v>24</v>
      </c>
      <c r="AM7">
        <f>AE7-O7</f>
        <v>990</v>
      </c>
      <c r="AN7" s="1">
        <f>AF7-P7</f>
        <v>1.4999999999999998</v>
      </c>
      <c r="AO7" s="1">
        <f>AG7-Q7</f>
        <v>47.454545454545453</v>
      </c>
      <c r="AP7">
        <f>AC7-M7</f>
        <v>6</v>
      </c>
      <c r="AQ7">
        <f>AH7-R7</f>
        <v>-15</v>
      </c>
      <c r="AR7">
        <v>0</v>
      </c>
      <c r="AS7">
        <v>1</v>
      </c>
      <c r="AT7">
        <v>40</v>
      </c>
      <c r="AU7">
        <v>40</v>
      </c>
      <c r="AV7">
        <v>5</v>
      </c>
      <c r="AW7">
        <v>4</v>
      </c>
      <c r="AX7">
        <f t="shared" si="3"/>
        <v>-1</v>
      </c>
      <c r="AY7">
        <v>24.736000000000001</v>
      </c>
      <c r="AZ7">
        <v>12.388</v>
      </c>
      <c r="BA7">
        <f t="shared" si="4"/>
        <v>-12.348000000000001</v>
      </c>
    </row>
    <row r="8" spans="1:53" x14ac:dyDescent="0.25">
      <c r="A8" t="s">
        <v>45</v>
      </c>
      <c r="B8" t="s">
        <v>31</v>
      </c>
      <c r="C8" s="2">
        <v>42514</v>
      </c>
      <c r="D8" t="s">
        <v>77</v>
      </c>
      <c r="E8" t="s">
        <v>49</v>
      </c>
      <c r="F8" t="s">
        <v>35</v>
      </c>
      <c r="G8">
        <v>45</v>
      </c>
      <c r="H8" t="s">
        <v>22</v>
      </c>
      <c r="I8" s="1">
        <f>84.875+54.806+77.572+85.518</f>
        <v>302.77099999999996</v>
      </c>
      <c r="J8" s="1">
        <v>268.69200000000001</v>
      </c>
      <c r="K8" s="1">
        <f>14.68+1.079+7.565+5.127</f>
        <v>28.451000000000001</v>
      </c>
      <c r="L8" s="1">
        <f t="shared" si="0"/>
        <v>599.91399999999999</v>
      </c>
      <c r="M8">
        <f>2+1+2+3</f>
        <v>8</v>
      </c>
      <c r="N8" s="3">
        <f>4-3+2-1+4-3+7-6+5-3+6-5+4-3+7-6</f>
        <v>9</v>
      </c>
      <c r="O8" s="3">
        <f>50+20+50+20+100+50+50+20</f>
        <v>360</v>
      </c>
      <c r="P8" s="1">
        <f t="shared" si="5"/>
        <v>1.125</v>
      </c>
      <c r="Q8" s="1">
        <f t="shared" si="6"/>
        <v>45</v>
      </c>
      <c r="R8">
        <f>2+1+1</f>
        <v>4</v>
      </c>
      <c r="S8" s="4">
        <v>50</v>
      </c>
      <c r="T8" s="4">
        <v>5</v>
      </c>
      <c r="U8" s="4">
        <v>8</v>
      </c>
      <c r="V8" s="4">
        <v>2</v>
      </c>
      <c r="W8">
        <v>32</v>
      </c>
      <c r="X8" t="s">
        <v>22</v>
      </c>
      <c r="Y8" s="1">
        <f>48.69+138.591+109.871+80.023</f>
        <v>377.17499999999995</v>
      </c>
      <c r="Z8" s="1">
        <v>183.97499999999999</v>
      </c>
      <c r="AA8" s="1">
        <f>11.755+9.106+2.595+14.091+1.204</f>
        <v>38.750999999999998</v>
      </c>
      <c r="AB8" s="1">
        <f t="shared" si="1"/>
        <v>599.90099999999995</v>
      </c>
      <c r="AC8">
        <f>2+3+3+4+1</f>
        <v>13</v>
      </c>
      <c r="AD8" s="3">
        <f>6-2+7-3+7-6+5-1+4-3+7-5+7-3+6-5+5-1+4-3+7-2+6-5</f>
        <v>32</v>
      </c>
      <c r="AE8" s="3">
        <f>200+170+20+170+50+70+170+50+170+50+220+50</f>
        <v>1390</v>
      </c>
      <c r="AF8" s="1">
        <f>AD8/12</f>
        <v>2.6666666666666665</v>
      </c>
      <c r="AG8" s="1">
        <f t="shared" si="2"/>
        <v>106.92307692307692</v>
      </c>
      <c r="AH8">
        <v>0</v>
      </c>
      <c r="AI8">
        <f>Y8-I8</f>
        <v>74.403999999999996</v>
      </c>
      <c r="AJ8">
        <f>Z8-J8</f>
        <v>-84.717000000000013</v>
      </c>
      <c r="AK8">
        <f>AA8-K8</f>
        <v>10.299999999999997</v>
      </c>
      <c r="AL8">
        <f>AD8-N8</f>
        <v>23</v>
      </c>
      <c r="AM8">
        <f>AE8-O8</f>
        <v>1030</v>
      </c>
      <c r="AN8" s="1">
        <f>AF8-P8</f>
        <v>1.5416666666666665</v>
      </c>
      <c r="AO8" s="1">
        <f>AG8-Q8</f>
        <v>61.92307692307692</v>
      </c>
      <c r="AP8">
        <f>AC8-M8</f>
        <v>5</v>
      </c>
      <c r="AQ8">
        <f>AH8-R8</f>
        <v>-4</v>
      </c>
      <c r="AR8">
        <v>35</v>
      </c>
      <c r="AS8">
        <v>36</v>
      </c>
      <c r="AT8">
        <v>25</v>
      </c>
      <c r="AU8">
        <v>-10</v>
      </c>
      <c r="AV8">
        <v>2</v>
      </c>
      <c r="AW8">
        <v>5</v>
      </c>
      <c r="AX8">
        <f t="shared" si="3"/>
        <v>3</v>
      </c>
      <c r="AY8">
        <v>10.262</v>
      </c>
      <c r="AZ8">
        <v>52.423000000000002</v>
      </c>
      <c r="BA8">
        <f t="shared" si="4"/>
        <v>42.161000000000001</v>
      </c>
    </row>
    <row r="9" spans="1:53" x14ac:dyDescent="0.25">
      <c r="A9" t="s">
        <v>32</v>
      </c>
      <c r="B9" t="s">
        <v>33</v>
      </c>
      <c r="C9" s="2">
        <v>42514</v>
      </c>
      <c r="D9" t="s">
        <v>77</v>
      </c>
      <c r="E9" t="s">
        <v>49</v>
      </c>
      <c r="F9" t="s">
        <v>35</v>
      </c>
      <c r="G9">
        <v>30</v>
      </c>
      <c r="H9" t="s">
        <v>22</v>
      </c>
      <c r="I9" s="1">
        <f>129.352+54.636+54.536+55.452</f>
        <v>293.976</v>
      </c>
      <c r="J9" s="1">
        <v>299.94400000000002</v>
      </c>
      <c r="K9" s="1">
        <f>6.004</f>
        <v>6.0039999999999996</v>
      </c>
      <c r="L9" s="1">
        <f t="shared" si="0"/>
        <v>599.92400000000009</v>
      </c>
      <c r="M9">
        <v>1</v>
      </c>
      <c r="N9" s="3">
        <f>4-3</f>
        <v>1</v>
      </c>
      <c r="O9" s="3">
        <f>50</f>
        <v>50</v>
      </c>
      <c r="P9" s="1">
        <f t="shared" si="5"/>
        <v>1</v>
      </c>
      <c r="Q9" s="1">
        <f t="shared" si="6"/>
        <v>50</v>
      </c>
      <c r="R9">
        <f>2+3</f>
        <v>5</v>
      </c>
      <c r="S9" s="4">
        <v>82</v>
      </c>
      <c r="T9" s="4">
        <v>4</v>
      </c>
      <c r="U9" s="4">
        <v>0</v>
      </c>
      <c r="V9" s="4">
        <v>2</v>
      </c>
      <c r="W9">
        <v>78</v>
      </c>
      <c r="X9" t="s">
        <v>25</v>
      </c>
      <c r="Y9" s="1">
        <f>51.647+92.236+82.925+50.005</f>
        <v>276.81299999999999</v>
      </c>
      <c r="Z9" s="1">
        <v>304.32400000000001</v>
      </c>
      <c r="AA9" s="1">
        <f>2.569+16.191</f>
        <v>18.759999999999998</v>
      </c>
      <c r="AB9" s="1">
        <f t="shared" si="1"/>
        <v>599.89699999999993</v>
      </c>
      <c r="AC9">
        <f>1+2</f>
        <v>3</v>
      </c>
      <c r="AD9" s="3">
        <f>2-1+5-3+7-5</f>
        <v>5</v>
      </c>
      <c r="AE9" s="3">
        <f>20+100+70</f>
        <v>190</v>
      </c>
      <c r="AF9" s="1">
        <f>AD9/AC9</f>
        <v>1.6666666666666667</v>
      </c>
      <c r="AG9" s="1">
        <f t="shared" si="2"/>
        <v>63.333333333333336</v>
      </c>
      <c r="AH9">
        <f>3+2+1+1</f>
        <v>7</v>
      </c>
      <c r="AI9">
        <f>Y9-I9</f>
        <v>-17.163000000000011</v>
      </c>
      <c r="AJ9">
        <f>Z9-J9</f>
        <v>4.3799999999999955</v>
      </c>
      <c r="AK9">
        <f>AA9-K9</f>
        <v>12.755999999999998</v>
      </c>
      <c r="AL9">
        <f>AD9-N9</f>
        <v>4</v>
      </c>
      <c r="AM9">
        <f>AE9-O9</f>
        <v>140</v>
      </c>
      <c r="AN9" s="1">
        <f>AF9-P9</f>
        <v>0.66666666666666674</v>
      </c>
      <c r="AO9" s="1">
        <f>AG9-Q9</f>
        <v>13.333333333333336</v>
      </c>
      <c r="AP9">
        <f>AC9-M9</f>
        <v>2</v>
      </c>
      <c r="AQ9">
        <f>AH9-R9</f>
        <v>2</v>
      </c>
      <c r="AR9">
        <v>39</v>
      </c>
      <c r="AS9">
        <v>40</v>
      </c>
      <c r="AT9">
        <v>37</v>
      </c>
      <c r="AU9">
        <v>-2</v>
      </c>
      <c r="AV9">
        <v>0</v>
      </c>
      <c r="AW9">
        <v>5</v>
      </c>
      <c r="AX9">
        <f t="shared" si="3"/>
        <v>5</v>
      </c>
      <c r="AY9">
        <v>0</v>
      </c>
      <c r="AZ9">
        <v>50.951999999999998</v>
      </c>
      <c r="BA9">
        <f t="shared" si="4"/>
        <v>50.951999999999998</v>
      </c>
    </row>
    <row r="10" spans="1:53" x14ac:dyDescent="0.25">
      <c r="A10" t="s">
        <v>41</v>
      </c>
      <c r="B10" t="s">
        <v>33</v>
      </c>
      <c r="C10" s="2">
        <v>42516</v>
      </c>
      <c r="D10" t="s">
        <v>78</v>
      </c>
      <c r="E10" t="s">
        <v>48</v>
      </c>
      <c r="F10" t="s">
        <v>35</v>
      </c>
      <c r="G10">
        <v>41</v>
      </c>
      <c r="H10" t="s">
        <v>22</v>
      </c>
      <c r="I10" s="1">
        <f>130.244+66.732+71.553+88.214</f>
        <v>356.74299999999999</v>
      </c>
      <c r="J10" s="1">
        <v>229.63900000000001</v>
      </c>
      <c r="K10" s="1">
        <f>13.556</f>
        <v>13.555999999999999</v>
      </c>
      <c r="L10" s="1">
        <f t="shared" si="0"/>
        <v>599.9380000000001</v>
      </c>
      <c r="M10">
        <v>1</v>
      </c>
      <c r="N10" s="3">
        <f>7-3</f>
        <v>4</v>
      </c>
      <c r="O10" s="3">
        <f>170</f>
        <v>170</v>
      </c>
      <c r="P10" s="1">
        <f t="shared" si="5"/>
        <v>4</v>
      </c>
      <c r="Q10" s="1">
        <f t="shared" si="6"/>
        <v>170</v>
      </c>
      <c r="R10">
        <f>3+1+2+1+1</f>
        <v>8</v>
      </c>
      <c r="S10" s="4">
        <v>23</v>
      </c>
      <c r="T10" s="4">
        <v>0</v>
      </c>
      <c r="U10" s="4">
        <v>0</v>
      </c>
      <c r="V10" s="4">
        <v>2</v>
      </c>
      <c r="W10">
        <v>66</v>
      </c>
      <c r="X10" t="s">
        <v>25</v>
      </c>
      <c r="Y10" s="1">
        <f>115.97+40.706+39.704+35.497</f>
        <v>231.87700000000001</v>
      </c>
      <c r="Z10" s="1">
        <v>355.78500000000003</v>
      </c>
      <c r="AA10" s="1">
        <f>9.269+2.96</f>
        <v>12.228999999999999</v>
      </c>
      <c r="AB10" s="1">
        <f t="shared" si="1"/>
        <v>599.89100000000008</v>
      </c>
      <c r="AC10">
        <f>2+1</f>
        <v>3</v>
      </c>
      <c r="AD10" s="3">
        <f>7-6+3-2+6-1</f>
        <v>7</v>
      </c>
      <c r="AE10" s="3">
        <f>20+50+220</f>
        <v>290</v>
      </c>
      <c r="AF10" s="1">
        <f>AD10/AC10</f>
        <v>2.3333333333333335</v>
      </c>
      <c r="AG10" s="1">
        <f t="shared" si="2"/>
        <v>96.666666666666671</v>
      </c>
      <c r="AH10">
        <f>2+3+1</f>
        <v>6</v>
      </c>
      <c r="AI10">
        <f>Y10-I10</f>
        <v>-124.86599999999999</v>
      </c>
      <c r="AJ10">
        <f>Z10-J10</f>
        <v>126.14600000000002</v>
      </c>
      <c r="AK10">
        <f>AA10-K10</f>
        <v>-1.327</v>
      </c>
      <c r="AL10">
        <f>AD10-N10</f>
        <v>3</v>
      </c>
      <c r="AM10">
        <f>AE10-O10</f>
        <v>120</v>
      </c>
      <c r="AN10" s="1">
        <f>AF10-P10</f>
        <v>-1.6666666666666665</v>
      </c>
      <c r="AO10" s="1">
        <f>AG10-Q10</f>
        <v>-73.333333333333329</v>
      </c>
      <c r="AP10">
        <f>AC10-M10</f>
        <v>2</v>
      </c>
      <c r="AQ10">
        <f>AH10-R10</f>
        <v>-2</v>
      </c>
      <c r="AR10">
        <v>40</v>
      </c>
      <c r="AS10">
        <v>33</v>
      </c>
      <c r="AT10">
        <v>4</v>
      </c>
      <c r="AU10">
        <v>-36</v>
      </c>
      <c r="AV10">
        <v>4</v>
      </c>
      <c r="AW10">
        <v>2</v>
      </c>
      <c r="AX10">
        <f t="shared" si="3"/>
        <v>-2</v>
      </c>
      <c r="AY10">
        <v>104.86499999999999</v>
      </c>
      <c r="AZ10">
        <v>57.695999999999998</v>
      </c>
      <c r="BA10">
        <f t="shared" si="4"/>
        <v>-47.168999999999997</v>
      </c>
    </row>
    <row r="11" spans="1:53" x14ac:dyDescent="0.25">
      <c r="A11" t="s">
        <v>42</v>
      </c>
      <c r="B11" t="s">
        <v>33</v>
      </c>
      <c r="C11" s="2">
        <v>42516</v>
      </c>
      <c r="D11" t="s">
        <v>78</v>
      </c>
      <c r="E11" t="s">
        <v>48</v>
      </c>
      <c r="F11" t="s">
        <v>35</v>
      </c>
      <c r="G11">
        <v>44</v>
      </c>
      <c r="H11" t="s">
        <v>22</v>
      </c>
      <c r="I11" s="1">
        <f>56.359+59.316+162.035+79.669</f>
        <v>357.37900000000002</v>
      </c>
      <c r="J11" s="1">
        <v>238.42699999999999</v>
      </c>
      <c r="K11" s="1">
        <f>4.138</f>
        <v>4.1379999999999999</v>
      </c>
      <c r="L11" s="1">
        <f t="shared" si="0"/>
        <v>599.94400000000007</v>
      </c>
      <c r="M11">
        <f>1</f>
        <v>1</v>
      </c>
      <c r="N11" s="3">
        <f>4-3</f>
        <v>1</v>
      </c>
      <c r="O11" s="3">
        <f>50</f>
        <v>50</v>
      </c>
      <c r="P11" s="1">
        <f t="shared" si="5"/>
        <v>1</v>
      </c>
      <c r="Q11" s="1">
        <f t="shared" si="6"/>
        <v>50</v>
      </c>
      <c r="R11">
        <f>1+1+1</f>
        <v>3</v>
      </c>
      <c r="S11" s="4">
        <v>28</v>
      </c>
      <c r="T11" s="4">
        <v>0</v>
      </c>
      <c r="U11" s="4">
        <v>0</v>
      </c>
      <c r="V11" s="4">
        <v>10</v>
      </c>
      <c r="W11">
        <v>53</v>
      </c>
      <c r="X11" t="s">
        <v>22</v>
      </c>
      <c r="Y11" s="1">
        <f>57.338+23.573+188.1+30.328</f>
        <v>299.33899999999994</v>
      </c>
      <c r="Z11" s="1">
        <v>272.214</v>
      </c>
      <c r="AA11" s="1">
        <v>28.378</v>
      </c>
      <c r="AB11" s="1">
        <f t="shared" si="1"/>
        <v>599.93099999999993</v>
      </c>
      <c r="AC11">
        <v>1</v>
      </c>
      <c r="AD11" s="3">
        <f>7-1</f>
        <v>6</v>
      </c>
      <c r="AE11" s="3">
        <f>240</f>
        <v>240</v>
      </c>
      <c r="AF11" s="1">
        <f>AD11/AC11</f>
        <v>6</v>
      </c>
      <c r="AG11" s="1">
        <f t="shared" si="2"/>
        <v>240</v>
      </c>
      <c r="AH11">
        <f>1+1</f>
        <v>2</v>
      </c>
      <c r="AI11">
        <f>Y11-I11</f>
        <v>-58.040000000000077</v>
      </c>
      <c r="AJ11">
        <f>Z11-J11</f>
        <v>33.787000000000006</v>
      </c>
      <c r="AK11">
        <f>AA11-K11</f>
        <v>24.240000000000002</v>
      </c>
      <c r="AL11">
        <f>AD11-N11</f>
        <v>5</v>
      </c>
      <c r="AM11">
        <f>AE11-O11</f>
        <v>190</v>
      </c>
      <c r="AN11" s="1">
        <f>AF11-P11</f>
        <v>5</v>
      </c>
      <c r="AO11" s="1">
        <f>AG11-Q11</f>
        <v>190</v>
      </c>
      <c r="AP11">
        <f>AC11-M11</f>
        <v>0</v>
      </c>
      <c r="AQ11">
        <f>AH11-R11</f>
        <v>-1</v>
      </c>
      <c r="AR11">
        <v>3</v>
      </c>
      <c r="AS11">
        <v>0</v>
      </c>
      <c r="AT11">
        <v>0</v>
      </c>
      <c r="AU11">
        <v>-3</v>
      </c>
      <c r="AV11">
        <v>3</v>
      </c>
      <c r="AW11">
        <v>1</v>
      </c>
      <c r="AX11">
        <f t="shared" si="3"/>
        <v>-2</v>
      </c>
      <c r="AY11">
        <v>206.25</v>
      </c>
      <c r="AZ11">
        <v>105.318</v>
      </c>
      <c r="BA11">
        <f t="shared" si="4"/>
        <v>-100.932</v>
      </c>
    </row>
    <row r="12" spans="1:53" x14ac:dyDescent="0.25">
      <c r="A12" t="s">
        <v>38</v>
      </c>
      <c r="B12" t="s">
        <v>33</v>
      </c>
      <c r="C12" s="2">
        <v>42516</v>
      </c>
      <c r="D12" t="s">
        <v>78</v>
      </c>
      <c r="E12" t="s">
        <v>48</v>
      </c>
      <c r="F12" t="s">
        <v>35</v>
      </c>
      <c r="G12">
        <v>29</v>
      </c>
      <c r="H12" t="s">
        <v>22</v>
      </c>
      <c r="I12" s="1">
        <f>108.243+52.474+95.21+117.473</f>
        <v>373.4</v>
      </c>
      <c r="J12" s="1">
        <v>224.77600000000001</v>
      </c>
      <c r="K12" s="1">
        <v>1.768</v>
      </c>
      <c r="L12" s="1">
        <f t="shared" si="0"/>
        <v>599.94399999999996</v>
      </c>
      <c r="M12">
        <v>1</v>
      </c>
      <c r="N12" s="3">
        <f>2-1</f>
        <v>1</v>
      </c>
      <c r="O12" s="3">
        <f>20</f>
        <v>20</v>
      </c>
      <c r="P12" s="1">
        <f t="shared" si="5"/>
        <v>1</v>
      </c>
      <c r="Q12" s="1">
        <f t="shared" si="6"/>
        <v>20</v>
      </c>
      <c r="R12">
        <f>2+1+1</f>
        <v>4</v>
      </c>
      <c r="S12" s="4">
        <v>4</v>
      </c>
      <c r="T12" s="4">
        <v>1</v>
      </c>
      <c r="U12" s="4">
        <v>0</v>
      </c>
      <c r="V12" s="4">
        <v>5</v>
      </c>
      <c r="W12">
        <v>10</v>
      </c>
      <c r="X12" t="s">
        <v>22</v>
      </c>
      <c r="Y12" s="1">
        <f>106.597+56.545+64.45+55.046</f>
        <v>282.63799999999998</v>
      </c>
      <c r="Z12" s="1">
        <f>305.284</f>
        <v>305.28399999999999</v>
      </c>
      <c r="AA12" s="1">
        <f>3.058+7.753+1.168</f>
        <v>11.978999999999999</v>
      </c>
      <c r="AB12" s="1">
        <f t="shared" si="1"/>
        <v>599.90100000000007</v>
      </c>
      <c r="AC12">
        <f>1+2+1</f>
        <v>4</v>
      </c>
      <c r="AD12" s="3">
        <f>6-5+4-3+2-1</f>
        <v>3</v>
      </c>
      <c r="AE12" s="3">
        <f>50+50+20</f>
        <v>120</v>
      </c>
      <c r="AF12" s="1">
        <f>AD12/3</f>
        <v>1</v>
      </c>
      <c r="AG12" s="1">
        <f t="shared" si="2"/>
        <v>30</v>
      </c>
      <c r="AH12">
        <f>4+2+1+1</f>
        <v>8</v>
      </c>
      <c r="AI12">
        <f>Y12-I12</f>
        <v>-90.762</v>
      </c>
      <c r="AJ12">
        <f>Z12-J12</f>
        <v>80.507999999999981</v>
      </c>
      <c r="AK12">
        <f>AA12-K12</f>
        <v>10.210999999999999</v>
      </c>
      <c r="AL12">
        <f>AD12-N12</f>
        <v>2</v>
      </c>
      <c r="AM12">
        <f>AE12-O12</f>
        <v>100</v>
      </c>
      <c r="AN12" s="1">
        <f>AF12-P12</f>
        <v>0</v>
      </c>
      <c r="AO12" s="1">
        <f>AG12-Q12</f>
        <v>10</v>
      </c>
      <c r="AP12">
        <f>AC12-M12</f>
        <v>3</v>
      </c>
      <c r="AQ12">
        <f>AH12-R12</f>
        <v>4</v>
      </c>
      <c r="AR12">
        <v>40</v>
      </c>
      <c r="AS12">
        <v>20</v>
      </c>
      <c r="AT12">
        <v>36</v>
      </c>
      <c r="AU12">
        <v>-4</v>
      </c>
      <c r="AV12">
        <v>9</v>
      </c>
      <c r="AW12">
        <v>2</v>
      </c>
      <c r="AX12">
        <f t="shared" si="3"/>
        <v>-7</v>
      </c>
      <c r="AY12">
        <v>72.823999999999998</v>
      </c>
      <c r="AZ12">
        <v>39.969000000000001</v>
      </c>
      <c r="BA12">
        <f t="shared" si="4"/>
        <v>-32.854999999999997</v>
      </c>
    </row>
    <row r="13" spans="1:53" x14ac:dyDescent="0.25">
      <c r="A13" t="s">
        <v>44</v>
      </c>
      <c r="B13" t="s">
        <v>31</v>
      </c>
      <c r="C13" s="2">
        <v>42522</v>
      </c>
      <c r="D13" t="s">
        <v>78</v>
      </c>
      <c r="E13" t="s">
        <v>48</v>
      </c>
      <c r="F13" t="s">
        <v>35</v>
      </c>
      <c r="G13">
        <v>95</v>
      </c>
      <c r="H13" t="s">
        <v>25</v>
      </c>
      <c r="I13" s="1">
        <f>126.253+70.491+36.133+29.749</f>
        <v>262.62600000000003</v>
      </c>
      <c r="J13" s="1">
        <v>314.95600000000002</v>
      </c>
      <c r="K13" s="1">
        <f>12.322+1.794+2.111+4.785+1.292</f>
        <v>22.304000000000002</v>
      </c>
      <c r="L13" s="1">
        <f t="shared" si="0"/>
        <v>599.88600000000008</v>
      </c>
      <c r="M13">
        <f>2+1+1+1+1</f>
        <v>6</v>
      </c>
      <c r="N13" s="3">
        <f>5-3+6-3+5-4+3-2+5-1+5-4</f>
        <v>12</v>
      </c>
      <c r="O13" s="3">
        <f>100+150+50+50+170+50</f>
        <v>570</v>
      </c>
      <c r="P13" s="1">
        <f t="shared" si="5"/>
        <v>2</v>
      </c>
      <c r="Q13" s="1">
        <f t="shared" si="6"/>
        <v>95</v>
      </c>
      <c r="R13">
        <f>5+2+4+1+1</f>
        <v>13</v>
      </c>
      <c r="S13" s="4">
        <v>33</v>
      </c>
      <c r="T13" s="4">
        <v>0</v>
      </c>
      <c r="U13" s="4">
        <v>0</v>
      </c>
      <c r="V13" s="4">
        <v>1</v>
      </c>
      <c r="W13">
        <v>13</v>
      </c>
      <c r="X13" t="s">
        <v>22</v>
      </c>
      <c r="Y13" s="1">
        <f>59.483+40.826+20.97+50.494</f>
        <v>171.773</v>
      </c>
      <c r="Z13" s="1">
        <v>405.45499999999998</v>
      </c>
      <c r="AA13" s="1">
        <f>3.365+3.869+2.518+7.831+2.157+2.97</f>
        <v>22.709999999999997</v>
      </c>
      <c r="AB13" s="1">
        <f t="shared" si="1"/>
        <v>599.93799999999999</v>
      </c>
      <c r="AC13">
        <f>1+1+1+2+1+1</f>
        <v>7</v>
      </c>
      <c r="AD13" s="3">
        <f>3-2+3-2+6-5+5-4+7-6+7-5</f>
        <v>7</v>
      </c>
      <c r="AE13" s="3">
        <f>50+50+50+50+20+70</f>
        <v>290</v>
      </c>
      <c r="AF13" s="1">
        <f>AD13/6</f>
        <v>1.1666666666666667</v>
      </c>
      <c r="AG13" s="1">
        <f t="shared" si="2"/>
        <v>41.428571428571431</v>
      </c>
      <c r="AH13">
        <f>5+2+1+1+1</f>
        <v>10</v>
      </c>
      <c r="AI13">
        <f>Y13-I13</f>
        <v>-90.853000000000037</v>
      </c>
      <c r="AJ13">
        <f>Z13-J13</f>
        <v>90.498999999999967</v>
      </c>
      <c r="AK13">
        <f>AA13-K13</f>
        <v>0.40599999999999525</v>
      </c>
      <c r="AL13">
        <f>AD13-N13</f>
        <v>-5</v>
      </c>
      <c r="AM13">
        <f>AE13-O13</f>
        <v>-280</v>
      </c>
      <c r="AN13" s="1">
        <f>AF13-P13</f>
        <v>-0.83333333333333326</v>
      </c>
      <c r="AO13" s="1">
        <f>AG13-Q13</f>
        <v>-53.571428571428569</v>
      </c>
      <c r="AP13">
        <f>AC13-M13</f>
        <v>1</v>
      </c>
      <c r="AQ13">
        <f>AH13-R13</f>
        <v>-3</v>
      </c>
      <c r="AR13">
        <v>38</v>
      </c>
      <c r="AS13">
        <v>15</v>
      </c>
      <c r="AT13">
        <v>7</v>
      </c>
      <c r="AU13">
        <v>-31</v>
      </c>
      <c r="AV13">
        <v>11</v>
      </c>
      <c r="AW13">
        <v>4</v>
      </c>
      <c r="AX13">
        <f t="shared" si="3"/>
        <v>-7</v>
      </c>
      <c r="AY13">
        <v>20.614999999999998</v>
      </c>
      <c r="AZ13">
        <v>28.895</v>
      </c>
      <c r="BA13">
        <f t="shared" si="4"/>
        <v>8.2800000000000011</v>
      </c>
    </row>
    <row r="14" spans="1:53" x14ac:dyDescent="0.25">
      <c r="A14" t="s">
        <v>36</v>
      </c>
      <c r="B14" t="s">
        <v>31</v>
      </c>
      <c r="C14" s="2">
        <v>42522</v>
      </c>
      <c r="D14" t="s">
        <v>78</v>
      </c>
      <c r="E14" t="s">
        <v>48</v>
      </c>
      <c r="F14" t="s">
        <v>35</v>
      </c>
      <c r="G14">
        <v>19</v>
      </c>
      <c r="H14" t="s">
        <v>22</v>
      </c>
      <c r="I14" s="1">
        <f>119.818+49.522+81.464+72.624</f>
        <v>323.428</v>
      </c>
      <c r="J14" s="1">
        <v>258.96800000000002</v>
      </c>
      <c r="K14" s="1">
        <f>2.88+1.8+1.983+7.287+3.549</f>
        <v>17.498999999999999</v>
      </c>
      <c r="L14" s="1">
        <f t="shared" si="0"/>
        <v>599.89499999999998</v>
      </c>
      <c r="M14">
        <f>1+1+2+1+1</f>
        <v>6</v>
      </c>
      <c r="N14" s="3">
        <f>5-4+4-3+7-6+7-1+3-2+7-6</f>
        <v>11</v>
      </c>
      <c r="O14" s="3">
        <f>50+50+20+240+50+20</f>
        <v>430</v>
      </c>
      <c r="P14" s="1">
        <f t="shared" si="5"/>
        <v>1.8333333333333333</v>
      </c>
      <c r="Q14" s="1">
        <f t="shared" si="6"/>
        <v>71.666666666666671</v>
      </c>
      <c r="R14">
        <f>1+1+1</f>
        <v>3</v>
      </c>
      <c r="S14" s="4">
        <v>35</v>
      </c>
      <c r="T14" s="4">
        <v>5</v>
      </c>
      <c r="U14" s="4">
        <v>0</v>
      </c>
      <c r="V14" s="4">
        <v>10</v>
      </c>
      <c r="W14">
        <v>87</v>
      </c>
      <c r="X14" t="s">
        <v>25</v>
      </c>
      <c r="Y14" s="1">
        <f>75.755+34.855+72.574+65.005</f>
        <v>248.18899999999996</v>
      </c>
      <c r="Z14" s="1">
        <v>328.74400000000003</v>
      </c>
      <c r="AA14" s="1">
        <f>7.899+5.704+2.899+6.474</f>
        <v>22.975999999999999</v>
      </c>
      <c r="AB14" s="1">
        <f t="shared" si="1"/>
        <v>599.90899999999999</v>
      </c>
      <c r="AC14">
        <f>2+2+1+2</f>
        <v>7</v>
      </c>
      <c r="AD14" s="3">
        <f>6-5+2-1+6-5+4-2+3-2+6-2+4-1</f>
        <v>13</v>
      </c>
      <c r="AE14" s="3">
        <f>50+20+50+100+50+200+120</f>
        <v>590</v>
      </c>
      <c r="AF14" s="1">
        <f t="shared" ref="AF14:AF26" si="7">AD14/AC14</f>
        <v>1.8571428571428572</v>
      </c>
      <c r="AG14" s="1">
        <f t="shared" si="2"/>
        <v>84.285714285714292</v>
      </c>
      <c r="AH14">
        <f>1+1+1</f>
        <v>3</v>
      </c>
      <c r="AI14">
        <f>Y14-I14</f>
        <v>-75.239000000000033</v>
      </c>
      <c r="AJ14">
        <f>Z14-J14</f>
        <v>69.77600000000001</v>
      </c>
      <c r="AK14">
        <f>AA14-K14</f>
        <v>5.4770000000000003</v>
      </c>
      <c r="AL14">
        <f>AD14-N14</f>
        <v>2</v>
      </c>
      <c r="AM14">
        <f>AE14-O14</f>
        <v>160</v>
      </c>
      <c r="AN14" s="1">
        <f>AF14-P14</f>
        <v>2.3809523809523947E-2</v>
      </c>
      <c r="AO14" s="1">
        <f>AG14-Q14</f>
        <v>12.61904761904762</v>
      </c>
      <c r="AP14">
        <f>AC14-M14</f>
        <v>1</v>
      </c>
      <c r="AQ14">
        <f>AH14-R14</f>
        <v>0</v>
      </c>
      <c r="AR14">
        <v>6</v>
      </c>
      <c r="AS14">
        <v>4</v>
      </c>
      <c r="AT14">
        <v>2</v>
      </c>
      <c r="AU14">
        <v>-4</v>
      </c>
      <c r="AV14">
        <v>3</v>
      </c>
      <c r="AW14">
        <v>1</v>
      </c>
      <c r="AX14">
        <f t="shared" si="3"/>
        <v>-2</v>
      </c>
      <c r="AY14">
        <v>51.563000000000002</v>
      </c>
      <c r="AZ14">
        <v>10.17</v>
      </c>
      <c r="BA14">
        <f t="shared" si="4"/>
        <v>-41.393000000000001</v>
      </c>
    </row>
    <row r="15" spans="1:53" x14ac:dyDescent="0.25">
      <c r="A15" t="s">
        <v>39</v>
      </c>
      <c r="B15" t="s">
        <v>31</v>
      </c>
      <c r="C15" s="2">
        <v>42516</v>
      </c>
      <c r="D15" t="s">
        <v>78</v>
      </c>
      <c r="E15" t="s">
        <v>48</v>
      </c>
      <c r="F15" t="s">
        <v>35</v>
      </c>
      <c r="G15">
        <v>36</v>
      </c>
      <c r="H15" t="s">
        <v>22</v>
      </c>
      <c r="I15" s="1">
        <f>49.158+111.771+67.682+112.475</f>
        <v>341.08600000000001</v>
      </c>
      <c r="J15" s="1">
        <v>218.16300000000001</v>
      </c>
      <c r="K15" s="1">
        <f>6.788+12.845+21.04</f>
        <v>40.673000000000002</v>
      </c>
      <c r="L15" s="1">
        <f t="shared" si="0"/>
        <v>599.92200000000003</v>
      </c>
      <c r="M15">
        <f>2+2+2</f>
        <v>6</v>
      </c>
      <c r="N15" s="3">
        <f>2-1+5-2+5-1+5-2+2-1+7-1</f>
        <v>18</v>
      </c>
      <c r="O15" s="3">
        <f>20+150+170+150+20+240</f>
        <v>750</v>
      </c>
      <c r="P15" s="1">
        <f t="shared" si="5"/>
        <v>3</v>
      </c>
      <c r="Q15" s="1">
        <f t="shared" si="6"/>
        <v>125</v>
      </c>
      <c r="R15">
        <v>1</v>
      </c>
      <c r="S15" s="4">
        <v>14</v>
      </c>
      <c r="T15" s="4">
        <v>10</v>
      </c>
      <c r="U15" s="4">
        <v>0</v>
      </c>
      <c r="V15" s="4">
        <v>9</v>
      </c>
      <c r="W15">
        <v>85</v>
      </c>
      <c r="X15" t="s">
        <v>25</v>
      </c>
      <c r="Y15" s="1">
        <f>28.735+96.301+148.28+42.476</f>
        <v>315.79200000000003</v>
      </c>
      <c r="Z15" s="1">
        <v>250.584</v>
      </c>
      <c r="AA15" s="1">
        <f>1.233+1.759+12.609+1.954+14.836+1.154</f>
        <v>33.545000000000002</v>
      </c>
      <c r="AB15" s="1">
        <f t="shared" si="1"/>
        <v>599.92099999999994</v>
      </c>
      <c r="AC15">
        <f>2+1+2+1+1+1</f>
        <v>8</v>
      </c>
      <c r="AD15" s="3">
        <f>2-1+4-3+4-1+7-6+7-5+2-1+2-1+6-4</f>
        <v>12</v>
      </c>
      <c r="AE15" s="3">
        <f>20+50+120+20+70+20+20+100</f>
        <v>420</v>
      </c>
      <c r="AF15" s="1">
        <f t="shared" si="7"/>
        <v>1.5</v>
      </c>
      <c r="AG15" s="1">
        <f t="shared" si="2"/>
        <v>52.5</v>
      </c>
      <c r="AH15">
        <f>1+1+3</f>
        <v>5</v>
      </c>
      <c r="AI15">
        <f>Y15-I15</f>
        <v>-25.293999999999983</v>
      </c>
      <c r="AJ15">
        <f>Z15-J15</f>
        <v>32.420999999999992</v>
      </c>
      <c r="AK15">
        <f>AA15-K15</f>
        <v>-7.1280000000000001</v>
      </c>
      <c r="AL15">
        <f>AD15-N15</f>
        <v>-6</v>
      </c>
      <c r="AM15">
        <f>AE15-O15</f>
        <v>-330</v>
      </c>
      <c r="AN15" s="1">
        <f>AF15-P15</f>
        <v>-1.5</v>
      </c>
      <c r="AO15" s="1">
        <f>AG15-Q15</f>
        <v>-72.5</v>
      </c>
      <c r="AP15">
        <f>AC15-M15</f>
        <v>2</v>
      </c>
      <c r="AQ15">
        <f>AH15-R15</f>
        <v>4</v>
      </c>
      <c r="AR15">
        <v>19</v>
      </c>
      <c r="AS15">
        <v>3</v>
      </c>
      <c r="AT15">
        <v>26</v>
      </c>
      <c r="AU15">
        <v>7</v>
      </c>
      <c r="AV15">
        <v>6</v>
      </c>
      <c r="AW15">
        <v>4</v>
      </c>
      <c r="AX15">
        <f t="shared" si="3"/>
        <v>-2</v>
      </c>
      <c r="AY15">
        <v>117.071</v>
      </c>
      <c r="AZ15">
        <v>43.942</v>
      </c>
      <c r="BA15">
        <f t="shared" si="4"/>
        <v>-73.128999999999991</v>
      </c>
    </row>
    <row r="16" spans="1:53" x14ac:dyDescent="0.25">
      <c r="A16" t="s">
        <v>34</v>
      </c>
      <c r="B16" t="s">
        <v>31</v>
      </c>
      <c r="C16" s="2">
        <v>42516</v>
      </c>
      <c r="D16" t="s">
        <v>78</v>
      </c>
      <c r="E16" t="s">
        <v>48</v>
      </c>
      <c r="F16" t="s">
        <v>35</v>
      </c>
      <c r="G16">
        <v>15</v>
      </c>
      <c r="H16" t="s">
        <v>22</v>
      </c>
      <c r="I16" s="1">
        <f>79.602+76.012+78.963+102.8</f>
        <v>337.37700000000001</v>
      </c>
      <c r="J16" s="1">
        <v>219.03299999999999</v>
      </c>
      <c r="K16" s="1">
        <f>38.761+3.688+1.074</f>
        <v>43.523000000000003</v>
      </c>
      <c r="L16" s="1">
        <f t="shared" si="0"/>
        <v>599.93299999999999</v>
      </c>
      <c r="M16">
        <f>4+1+1</f>
        <v>6</v>
      </c>
      <c r="N16" s="3">
        <f>7-1+6-1+6-1+4-2+3-1+7-6</f>
        <v>21</v>
      </c>
      <c r="O16" s="3">
        <f>240+220+220+100+70+20</f>
        <v>870</v>
      </c>
      <c r="P16" s="1">
        <f t="shared" si="5"/>
        <v>3.5</v>
      </c>
      <c r="Q16" s="1">
        <f t="shared" si="6"/>
        <v>145</v>
      </c>
      <c r="R16">
        <f>1+2+1</f>
        <v>4</v>
      </c>
      <c r="S16" s="4">
        <v>3</v>
      </c>
      <c r="T16" s="4">
        <v>5</v>
      </c>
      <c r="U16" s="4">
        <v>4</v>
      </c>
      <c r="V16" s="4">
        <v>0</v>
      </c>
      <c r="W16">
        <v>81</v>
      </c>
      <c r="X16" t="s">
        <v>25</v>
      </c>
      <c r="Y16" s="1">
        <f>61.286+86.151+190.003+99.022</f>
        <v>436.46199999999999</v>
      </c>
      <c r="Z16" s="1">
        <v>145.86099999999999</v>
      </c>
      <c r="AA16" s="1">
        <f>11.281+3.835+2.5</f>
        <v>17.616</v>
      </c>
      <c r="AB16" s="1">
        <f t="shared" si="1"/>
        <v>599.93899999999996</v>
      </c>
      <c r="AC16">
        <f>2+1+1</f>
        <v>4</v>
      </c>
      <c r="AD16" s="3">
        <f>7-1+3-1+6-3+6-4</f>
        <v>13</v>
      </c>
      <c r="AE16" s="3">
        <f>240+70+150+100</f>
        <v>560</v>
      </c>
      <c r="AF16" s="1">
        <f t="shared" si="7"/>
        <v>3.25</v>
      </c>
      <c r="AG16" s="1">
        <f t="shared" si="2"/>
        <v>140</v>
      </c>
      <c r="AH16">
        <f>1+1+2+1</f>
        <v>5</v>
      </c>
      <c r="AI16">
        <f>Y16-I16</f>
        <v>99.08499999999998</v>
      </c>
      <c r="AJ16">
        <f>Z16-J16</f>
        <v>-73.171999999999997</v>
      </c>
      <c r="AK16">
        <f>AA16-K16</f>
        <v>-25.907000000000004</v>
      </c>
      <c r="AL16">
        <f>AD16-N16</f>
        <v>-8</v>
      </c>
      <c r="AM16">
        <f>AE16-O16</f>
        <v>-310</v>
      </c>
      <c r="AN16" s="1">
        <f>AF16-P16</f>
        <v>-0.25</v>
      </c>
      <c r="AO16" s="1">
        <f>AG16-Q16</f>
        <v>-5</v>
      </c>
      <c r="AP16">
        <f>AC16-M16</f>
        <v>-2</v>
      </c>
      <c r="AQ16">
        <f>AH16-R16</f>
        <v>1</v>
      </c>
      <c r="AR16">
        <v>17</v>
      </c>
      <c r="AS16">
        <v>2</v>
      </c>
      <c r="AT16">
        <v>40</v>
      </c>
      <c r="AU16">
        <v>23</v>
      </c>
      <c r="AV16">
        <v>3</v>
      </c>
      <c r="AW16">
        <v>5</v>
      </c>
      <c r="AX16">
        <f t="shared" si="3"/>
        <v>2</v>
      </c>
      <c r="AY16">
        <v>40.509</v>
      </c>
      <c r="AZ16">
        <v>172.30600000000001</v>
      </c>
      <c r="BA16">
        <f t="shared" si="4"/>
        <v>131.79700000000003</v>
      </c>
    </row>
    <row r="17" spans="1:53" x14ac:dyDescent="0.25">
      <c r="A17" t="s">
        <v>26</v>
      </c>
      <c r="B17" t="s">
        <v>31</v>
      </c>
      <c r="C17" s="2">
        <v>42522</v>
      </c>
      <c r="D17" t="s">
        <v>78</v>
      </c>
      <c r="E17" t="s">
        <v>48</v>
      </c>
      <c r="F17" t="s">
        <v>35</v>
      </c>
      <c r="G17">
        <v>80</v>
      </c>
      <c r="H17" t="s">
        <v>25</v>
      </c>
      <c r="I17" s="1">
        <f>75.935+74.338+59.025+39.678</f>
        <v>248.976</v>
      </c>
      <c r="J17" s="1">
        <v>310.50700000000001</v>
      </c>
      <c r="K17" s="1">
        <f>17.24+9.353+9.808+2.447+1.594</f>
        <v>40.442</v>
      </c>
      <c r="L17" s="1">
        <f t="shared" si="0"/>
        <v>599.92499999999995</v>
      </c>
      <c r="M17">
        <f>3+3+1+1+1</f>
        <v>9</v>
      </c>
      <c r="N17" s="3">
        <f>4-1+2-1+6-1+4-1+7-6+6-2+4-1+6-5+2-1</f>
        <v>22</v>
      </c>
      <c r="O17" s="3">
        <f>120+20+220+120+20+200+120+50+20</f>
        <v>890</v>
      </c>
      <c r="P17" s="1">
        <f t="shared" si="5"/>
        <v>2.4444444444444446</v>
      </c>
      <c r="Q17" s="1">
        <f t="shared" si="6"/>
        <v>98.888888888888886</v>
      </c>
      <c r="R17">
        <f>1+1+1+1+1</f>
        <v>5</v>
      </c>
      <c r="S17" s="4">
        <v>21</v>
      </c>
      <c r="T17" s="4">
        <v>8</v>
      </c>
      <c r="U17" s="4">
        <v>0</v>
      </c>
      <c r="V17" s="4">
        <v>3</v>
      </c>
      <c r="W17">
        <v>16</v>
      </c>
      <c r="X17" t="s">
        <v>22</v>
      </c>
      <c r="Y17" s="1">
        <f>107.381+142.968+44.285+48.164</f>
        <v>342.798</v>
      </c>
      <c r="Z17" s="1">
        <v>248.465</v>
      </c>
      <c r="AA17" s="1">
        <f>1.799+1.983+4.862</f>
        <v>8.6440000000000001</v>
      </c>
      <c r="AB17" s="1">
        <f t="shared" si="1"/>
        <v>599.90700000000004</v>
      </c>
      <c r="AC17">
        <f>1+1+2</f>
        <v>4</v>
      </c>
      <c r="AD17" s="3">
        <f>4-3+6-5+7-2+2-1</f>
        <v>8</v>
      </c>
      <c r="AE17" s="3">
        <f>50+50+220+20</f>
        <v>340</v>
      </c>
      <c r="AF17" s="1">
        <f t="shared" si="7"/>
        <v>2</v>
      </c>
      <c r="AG17" s="1">
        <f t="shared" si="2"/>
        <v>85</v>
      </c>
      <c r="AH17">
        <v>1</v>
      </c>
      <c r="AI17">
        <f>Y17-I17</f>
        <v>93.822000000000003</v>
      </c>
      <c r="AJ17">
        <f>Z17-J17</f>
        <v>-62.042000000000002</v>
      </c>
      <c r="AK17">
        <f>AA17-K17</f>
        <v>-31.798000000000002</v>
      </c>
      <c r="AL17">
        <f>AD17-N17</f>
        <v>-14</v>
      </c>
      <c r="AM17">
        <f>AE17-O17</f>
        <v>-550</v>
      </c>
      <c r="AN17" s="1">
        <f>AF17-P17</f>
        <v>-0.44444444444444464</v>
      </c>
      <c r="AO17" s="1">
        <f>AG17-Q17</f>
        <v>-13.888888888888886</v>
      </c>
      <c r="AP17">
        <f>AC17-M17</f>
        <v>-5</v>
      </c>
      <c r="AQ17">
        <f>AH17-R17</f>
        <v>-4</v>
      </c>
      <c r="AR17">
        <v>40</v>
      </c>
      <c r="AS17">
        <v>17</v>
      </c>
      <c r="AT17">
        <v>38</v>
      </c>
      <c r="AU17">
        <v>-2</v>
      </c>
      <c r="AV17">
        <v>13</v>
      </c>
      <c r="AW17">
        <v>1</v>
      </c>
      <c r="AX17">
        <f t="shared" si="3"/>
        <v>-12</v>
      </c>
      <c r="AY17">
        <v>79.213999999999999</v>
      </c>
      <c r="AZ17">
        <v>4.0469999999999997</v>
      </c>
      <c r="BA17">
        <f t="shared" si="4"/>
        <v>-75.167000000000002</v>
      </c>
    </row>
    <row r="18" spans="1:53" x14ac:dyDescent="0.25">
      <c r="A18" t="s">
        <v>43</v>
      </c>
      <c r="B18" t="s">
        <v>33</v>
      </c>
      <c r="C18" s="2">
        <v>42522</v>
      </c>
      <c r="D18" t="s">
        <v>78</v>
      </c>
      <c r="E18" t="s">
        <v>49</v>
      </c>
      <c r="F18" t="s">
        <v>27</v>
      </c>
      <c r="G18">
        <v>97</v>
      </c>
      <c r="H18" t="s">
        <v>25</v>
      </c>
      <c r="I18" s="1">
        <f>228.558+18.571+55.291+98.86</f>
        <v>401.28</v>
      </c>
      <c r="J18" s="1">
        <v>195.23500000000001</v>
      </c>
      <c r="K18" s="1">
        <f>1.15+2.307</f>
        <v>3.4569999999999999</v>
      </c>
      <c r="L18" s="1">
        <f t="shared" si="0"/>
        <v>599.97199999999998</v>
      </c>
      <c r="M18">
        <f>1+1</f>
        <v>2</v>
      </c>
      <c r="N18" s="3">
        <f>2-1+7-6</f>
        <v>2</v>
      </c>
      <c r="O18" s="3">
        <f>20+20</f>
        <v>40</v>
      </c>
      <c r="P18" s="1">
        <f t="shared" si="5"/>
        <v>1</v>
      </c>
      <c r="Q18" s="1">
        <f t="shared" si="6"/>
        <v>20</v>
      </c>
      <c r="R18">
        <f>1+1+2+1+1+1</f>
        <v>7</v>
      </c>
      <c r="S18" s="4">
        <v>22</v>
      </c>
      <c r="T18" s="4" t="s">
        <v>85</v>
      </c>
      <c r="U18" s="4">
        <v>0</v>
      </c>
      <c r="V18" s="4" t="s">
        <v>85</v>
      </c>
      <c r="W18">
        <v>99</v>
      </c>
      <c r="X18" t="s">
        <v>25</v>
      </c>
      <c r="Y18" s="1">
        <f>83.48+95.381+74.949+118.191</f>
        <v>372.00099999999998</v>
      </c>
      <c r="Z18" s="1">
        <v>200.53299999999999</v>
      </c>
      <c r="AA18" s="1">
        <f>13.867+13.541</f>
        <v>27.408000000000001</v>
      </c>
      <c r="AB18" s="1">
        <f t="shared" si="1"/>
        <v>599.94200000000001</v>
      </c>
      <c r="AC18">
        <f>1+1</f>
        <v>2</v>
      </c>
      <c r="AD18" s="3">
        <f>6-1+7-3</f>
        <v>9</v>
      </c>
      <c r="AE18" s="3">
        <f>220+170</f>
        <v>390</v>
      </c>
      <c r="AF18" s="1">
        <f t="shared" si="7"/>
        <v>4.5</v>
      </c>
      <c r="AG18" s="1">
        <f t="shared" si="2"/>
        <v>195</v>
      </c>
      <c r="AH18">
        <f>3+4</f>
        <v>7</v>
      </c>
      <c r="AI18">
        <f>Y18-I18</f>
        <v>-29.278999999999996</v>
      </c>
      <c r="AJ18">
        <f>Z18-J18</f>
        <v>5.2979999999999734</v>
      </c>
      <c r="AK18">
        <f>AA18-K18</f>
        <v>23.951000000000001</v>
      </c>
      <c r="AL18">
        <f>AD18-N18</f>
        <v>7</v>
      </c>
      <c r="AM18">
        <f>AE18-O18</f>
        <v>350</v>
      </c>
      <c r="AN18" s="1">
        <f>AF18-P18</f>
        <v>3.5</v>
      </c>
      <c r="AO18" s="1">
        <f>AG18-Q18</f>
        <v>175</v>
      </c>
      <c r="AP18">
        <f>AC18-M18</f>
        <v>0</v>
      </c>
      <c r="AQ18">
        <f>AH18-R18</f>
        <v>0</v>
      </c>
      <c r="AR18">
        <v>10</v>
      </c>
      <c r="AS18">
        <v>29</v>
      </c>
      <c r="AT18">
        <v>39</v>
      </c>
      <c r="AU18">
        <v>29</v>
      </c>
      <c r="AV18">
        <v>3</v>
      </c>
      <c r="AW18">
        <v>5</v>
      </c>
      <c r="AX18">
        <f t="shared" si="3"/>
        <v>2</v>
      </c>
      <c r="AY18">
        <v>214.79300000000001</v>
      </c>
      <c r="AZ18">
        <v>38.915999999999997</v>
      </c>
      <c r="BA18">
        <f t="shared" si="4"/>
        <v>-175.87700000000001</v>
      </c>
    </row>
    <row r="19" spans="1:53" x14ac:dyDescent="0.25">
      <c r="A19" t="s">
        <v>40</v>
      </c>
      <c r="B19" t="s">
        <v>31</v>
      </c>
      <c r="C19" s="2">
        <v>42517</v>
      </c>
      <c r="D19" t="s">
        <v>78</v>
      </c>
      <c r="E19" t="s">
        <v>49</v>
      </c>
      <c r="F19" t="s">
        <v>27</v>
      </c>
      <c r="G19">
        <v>64</v>
      </c>
      <c r="H19" t="s">
        <v>22</v>
      </c>
      <c r="I19" s="1">
        <f>152.612+95.111+58.895+35.405</f>
        <v>342.02300000000002</v>
      </c>
      <c r="J19" s="1">
        <v>224.8</v>
      </c>
      <c r="K19" s="1">
        <f>2.159+11.075+4.857+9.266+4.405+1.35</f>
        <v>33.112000000000002</v>
      </c>
      <c r="L19" s="1">
        <f t="shared" si="0"/>
        <v>599.93500000000006</v>
      </c>
      <c r="M19">
        <f>1+1+1+2+1+1</f>
        <v>7</v>
      </c>
      <c r="N19" s="3">
        <f>2-1+6-3+4-1+6-1+7-6+5-1+2-1</f>
        <v>18</v>
      </c>
      <c r="O19" s="3">
        <f>20+150+120+220+20+170+20</f>
        <v>720</v>
      </c>
      <c r="P19" s="1">
        <f t="shared" si="5"/>
        <v>2.5714285714285716</v>
      </c>
      <c r="Q19" s="1">
        <f t="shared" si="6"/>
        <v>102.85714285714286</v>
      </c>
      <c r="R19">
        <f>1+2</f>
        <v>3</v>
      </c>
      <c r="S19" s="4">
        <v>9</v>
      </c>
      <c r="T19" s="4" t="s">
        <v>85</v>
      </c>
      <c r="U19" s="4">
        <v>2</v>
      </c>
      <c r="V19" s="4" t="s">
        <v>85</v>
      </c>
      <c r="W19">
        <v>76</v>
      </c>
      <c r="X19" t="s">
        <v>25</v>
      </c>
      <c r="Y19" s="1">
        <f>60.251+66.444+195.134+49.032</f>
        <v>370.86099999999993</v>
      </c>
      <c r="Z19" s="1">
        <v>225.964</v>
      </c>
      <c r="AA19" s="1">
        <v>3.1190000000000002</v>
      </c>
      <c r="AB19" s="1">
        <f t="shared" si="1"/>
        <v>599.94399999999996</v>
      </c>
      <c r="AC19">
        <v>1</v>
      </c>
      <c r="AD19" s="3">
        <f>4-1</f>
        <v>3</v>
      </c>
      <c r="AE19" s="3">
        <f>120</f>
        <v>120</v>
      </c>
      <c r="AF19" s="1">
        <f t="shared" si="7"/>
        <v>3</v>
      </c>
      <c r="AG19" s="1">
        <f t="shared" si="2"/>
        <v>120</v>
      </c>
      <c r="AH19">
        <v>0</v>
      </c>
      <c r="AI19">
        <f>Y19-I19</f>
        <v>28.837999999999909</v>
      </c>
      <c r="AJ19">
        <f>Z19-J19</f>
        <v>1.1639999999999873</v>
      </c>
      <c r="AK19">
        <f>AA19-K19</f>
        <v>-29.993000000000002</v>
      </c>
      <c r="AL19">
        <f>AD19-N19</f>
        <v>-15</v>
      </c>
      <c r="AM19">
        <f>AE19-O19</f>
        <v>-600</v>
      </c>
      <c r="AN19" s="1">
        <f>AF19-P19</f>
        <v>0.42857142857142838</v>
      </c>
      <c r="AO19" s="1">
        <f>AG19-Q19</f>
        <v>17.142857142857139</v>
      </c>
      <c r="AP19">
        <f>AC19-M19</f>
        <v>-6</v>
      </c>
      <c r="AQ19">
        <f>AH19-R19</f>
        <v>-3</v>
      </c>
      <c r="AR19">
        <v>24</v>
      </c>
      <c r="AS19">
        <v>33</v>
      </c>
      <c r="AT19">
        <v>24</v>
      </c>
      <c r="AU19">
        <v>0</v>
      </c>
      <c r="AV19">
        <v>5</v>
      </c>
      <c r="AW19">
        <v>7</v>
      </c>
      <c r="AX19">
        <f t="shared" si="3"/>
        <v>2</v>
      </c>
      <c r="AY19">
        <v>100.643</v>
      </c>
      <c r="AZ19">
        <v>69.215000000000003</v>
      </c>
      <c r="BA19">
        <f t="shared" si="4"/>
        <v>-31.427999999999997</v>
      </c>
    </row>
    <row r="20" spans="1:53" x14ac:dyDescent="0.25">
      <c r="A20" t="s">
        <v>37</v>
      </c>
      <c r="B20" t="s">
        <v>31</v>
      </c>
      <c r="C20" s="2">
        <v>42517</v>
      </c>
      <c r="D20" t="s">
        <v>78</v>
      </c>
      <c r="E20" t="s">
        <v>49</v>
      </c>
      <c r="F20" t="s">
        <v>27</v>
      </c>
      <c r="G20">
        <v>73</v>
      </c>
      <c r="H20" t="s">
        <v>25</v>
      </c>
      <c r="I20" s="1">
        <f>141.311+61.596+102.746+18.266</f>
        <v>323.91900000000004</v>
      </c>
      <c r="J20" s="1">
        <v>221.46700000000001</v>
      </c>
      <c r="K20" s="1">
        <f>31.37+1.294+8.109+5.74+5.449+2.564</f>
        <v>54.526000000000003</v>
      </c>
      <c r="L20" s="1">
        <f t="shared" si="0"/>
        <v>599.91200000000003</v>
      </c>
      <c r="M20">
        <f>4+2+2+1+1+1</f>
        <v>11</v>
      </c>
      <c r="N20" s="3">
        <f>ABS(2-7)*4+ABS(6-7)*2+ABS(5-3)+5-1+7-1+7-1+3-1</f>
        <v>42</v>
      </c>
      <c r="O20" s="3">
        <f>220*4+20*2+100+170+240+240+70</f>
        <v>1740</v>
      </c>
      <c r="P20" s="1">
        <f t="shared" si="5"/>
        <v>3.8181818181818183</v>
      </c>
      <c r="Q20" s="1">
        <f t="shared" si="6"/>
        <v>158.18181818181819</v>
      </c>
      <c r="R20">
        <f>2+1</f>
        <v>3</v>
      </c>
      <c r="S20" s="4">
        <v>65</v>
      </c>
      <c r="T20" s="4" t="s">
        <v>85</v>
      </c>
      <c r="U20" s="4">
        <v>6</v>
      </c>
      <c r="V20" s="4" t="s">
        <v>85</v>
      </c>
      <c r="W20">
        <v>75</v>
      </c>
      <c r="X20" t="s">
        <v>25</v>
      </c>
      <c r="Y20" s="1">
        <f>241.525+86.801+17.146+15.138</f>
        <v>360.61</v>
      </c>
      <c r="Z20" s="1">
        <v>211.21600000000001</v>
      </c>
      <c r="AA20" s="1">
        <f>6.47+4.487+1.741+15.373</f>
        <v>28.070999999999998</v>
      </c>
      <c r="AB20" s="1">
        <f t="shared" si="1"/>
        <v>599.89700000000005</v>
      </c>
      <c r="AC20">
        <f>2+3+1+1</f>
        <v>7</v>
      </c>
      <c r="AD20" s="3">
        <f>7-6+3-2+7-5+3-2+3-2+6-2+4-2</f>
        <v>12</v>
      </c>
      <c r="AE20" s="3">
        <f>20+50+70+50+50+200+100</f>
        <v>540</v>
      </c>
      <c r="AF20" s="1">
        <f t="shared" si="7"/>
        <v>1.7142857142857142</v>
      </c>
      <c r="AG20" s="1">
        <f t="shared" si="2"/>
        <v>77.142857142857139</v>
      </c>
      <c r="AH20">
        <v>0</v>
      </c>
      <c r="AI20">
        <f>Y20-I20</f>
        <v>36.690999999999974</v>
      </c>
      <c r="AJ20">
        <f>Z20-J20</f>
        <v>-10.251000000000005</v>
      </c>
      <c r="AK20">
        <f>AA20-K20</f>
        <v>-26.455000000000005</v>
      </c>
      <c r="AL20">
        <f>AD20-N20</f>
        <v>-30</v>
      </c>
      <c r="AM20">
        <f>AE20-O20</f>
        <v>-1200</v>
      </c>
      <c r="AN20" s="1">
        <f>AF20-P20</f>
        <v>-2.1038961038961039</v>
      </c>
      <c r="AO20" s="1">
        <f>AG20-Q20</f>
        <v>-81.038961038961048</v>
      </c>
      <c r="AP20">
        <f>AC20-M20</f>
        <v>-4</v>
      </c>
      <c r="AQ20">
        <f>AH20-R20</f>
        <v>-3</v>
      </c>
      <c r="AR20">
        <v>6</v>
      </c>
      <c r="AS20">
        <v>3</v>
      </c>
      <c r="AT20">
        <v>0</v>
      </c>
      <c r="AU20">
        <v>-6</v>
      </c>
      <c r="AV20">
        <v>3</v>
      </c>
      <c r="AW20">
        <v>0</v>
      </c>
      <c r="AX20">
        <f t="shared" si="3"/>
        <v>-3</v>
      </c>
      <c r="AY20">
        <v>61.540999999999997</v>
      </c>
      <c r="AZ20">
        <v>0</v>
      </c>
      <c r="BA20">
        <f t="shared" si="4"/>
        <v>-61.540999999999997</v>
      </c>
    </row>
    <row r="21" spans="1:53" x14ac:dyDescent="0.25">
      <c r="A21" t="s">
        <v>47</v>
      </c>
      <c r="B21" t="s">
        <v>31</v>
      </c>
      <c r="C21" s="2">
        <v>42522</v>
      </c>
      <c r="D21" t="s">
        <v>78</v>
      </c>
      <c r="E21" t="s">
        <v>49</v>
      </c>
      <c r="F21" t="s">
        <v>27</v>
      </c>
      <c r="G21">
        <v>46</v>
      </c>
      <c r="H21" t="s">
        <v>22</v>
      </c>
      <c r="I21" s="1">
        <f>66.334+75.743+99.6+42.139</f>
        <v>283.81599999999997</v>
      </c>
      <c r="J21" s="1">
        <v>292.399</v>
      </c>
      <c r="K21" s="1">
        <f>5.582+1.711+8.098+8.294</f>
        <v>23.685000000000002</v>
      </c>
      <c r="L21" s="1">
        <f t="shared" si="0"/>
        <v>599.89999999999986</v>
      </c>
      <c r="M21">
        <f>2+1+1+2</f>
        <v>6</v>
      </c>
      <c r="N21" s="3">
        <f>6-5+2-1+4-1+7-5+5-3+4-3</f>
        <v>10</v>
      </c>
      <c r="O21" s="3">
        <f>50+20+120+70+100+50</f>
        <v>410</v>
      </c>
      <c r="P21" s="1">
        <f t="shared" si="5"/>
        <v>1.6666666666666667</v>
      </c>
      <c r="Q21" s="1">
        <f t="shared" si="6"/>
        <v>68.333333333333329</v>
      </c>
      <c r="R21">
        <f>1+1+1</f>
        <v>3</v>
      </c>
      <c r="S21" s="4">
        <v>94</v>
      </c>
      <c r="T21" s="4" t="s">
        <v>85</v>
      </c>
      <c r="U21" s="4">
        <v>6</v>
      </c>
      <c r="V21" s="4" t="s">
        <v>85</v>
      </c>
      <c r="W21">
        <v>86</v>
      </c>
      <c r="X21" t="s">
        <v>25</v>
      </c>
      <c r="Y21" s="1">
        <f>74.358+53.531+75.886+74.749</f>
        <v>278.524</v>
      </c>
      <c r="Z21" s="1">
        <v>292.38499999999999</v>
      </c>
      <c r="AA21" s="1">
        <f>8.941+5.188+5.893+8.997</f>
        <v>29.019000000000002</v>
      </c>
      <c r="AB21" s="1">
        <f t="shared" si="1"/>
        <v>599.928</v>
      </c>
      <c r="AC21">
        <f>1+3+3+1</f>
        <v>8</v>
      </c>
      <c r="AD21" s="3">
        <f>7-4+7-6+7-6+7-5+7-6+6-5+7-2+6-5</f>
        <v>15</v>
      </c>
      <c r="AE21" s="3">
        <f>120+20+20+70+20+50+220+50</f>
        <v>570</v>
      </c>
      <c r="AF21" s="1">
        <f t="shared" si="7"/>
        <v>1.875</v>
      </c>
      <c r="AG21" s="1">
        <f t="shared" si="2"/>
        <v>71.25</v>
      </c>
      <c r="AH21">
        <f>1+1</f>
        <v>2</v>
      </c>
      <c r="AI21">
        <f>Y21-I21</f>
        <v>-5.2919999999999732</v>
      </c>
      <c r="AJ21">
        <f>Z21-J21</f>
        <v>-1.4000000000010004E-2</v>
      </c>
      <c r="AK21">
        <f>AA21-K21</f>
        <v>5.3339999999999996</v>
      </c>
      <c r="AL21">
        <f>AD21-N21</f>
        <v>5</v>
      </c>
      <c r="AM21">
        <f>AE21-O21</f>
        <v>160</v>
      </c>
      <c r="AN21" s="1">
        <f>AF21-P21</f>
        <v>0.20833333333333326</v>
      </c>
      <c r="AO21" s="1">
        <f>AG21-Q21</f>
        <v>2.9166666666666714</v>
      </c>
      <c r="AP21">
        <f>AC21-M21</f>
        <v>2</v>
      </c>
      <c r="AQ21">
        <f>AH21-R21</f>
        <v>-1</v>
      </c>
      <c r="AR21">
        <v>11</v>
      </c>
      <c r="AS21">
        <v>5</v>
      </c>
      <c r="AT21">
        <v>-2</v>
      </c>
      <c r="AU21">
        <v>-13</v>
      </c>
      <c r="AV21">
        <v>10</v>
      </c>
      <c r="AW21">
        <v>3</v>
      </c>
      <c r="AX21">
        <f t="shared" si="3"/>
        <v>-7</v>
      </c>
      <c r="AY21">
        <v>106.125</v>
      </c>
      <c r="AZ21">
        <v>111.274</v>
      </c>
      <c r="BA21">
        <f t="shared" si="4"/>
        <v>5.1490000000000009</v>
      </c>
    </row>
    <row r="22" spans="1:53" x14ac:dyDescent="0.25">
      <c r="A22" t="s">
        <v>46</v>
      </c>
      <c r="B22" t="s">
        <v>33</v>
      </c>
      <c r="C22" s="2">
        <v>42517</v>
      </c>
      <c r="D22" t="s">
        <v>78</v>
      </c>
      <c r="E22" t="s">
        <v>49</v>
      </c>
      <c r="F22" t="s">
        <v>27</v>
      </c>
      <c r="G22">
        <v>49</v>
      </c>
      <c r="H22" t="s">
        <v>25</v>
      </c>
      <c r="I22" s="1">
        <f>78.192+89.6+50.87+110.114</f>
        <v>328.77599999999995</v>
      </c>
      <c r="J22" s="1">
        <v>259.13499999999999</v>
      </c>
      <c r="K22" s="1">
        <f>4.067+5.876+2.047</f>
        <v>11.990000000000002</v>
      </c>
      <c r="L22" s="1">
        <f t="shared" si="0"/>
        <v>599.90099999999995</v>
      </c>
      <c r="M22">
        <f>2+1+1</f>
        <v>4</v>
      </c>
      <c r="N22" s="3">
        <f>2-1+6-4+4-3+2-1</f>
        <v>5</v>
      </c>
      <c r="O22" s="3">
        <f>20+100+50+20</f>
        <v>190</v>
      </c>
      <c r="P22" s="1">
        <f t="shared" si="5"/>
        <v>1.25</v>
      </c>
      <c r="Q22" s="1">
        <f t="shared" si="6"/>
        <v>47.5</v>
      </c>
      <c r="R22">
        <f>1+3+1</f>
        <v>5</v>
      </c>
      <c r="S22" s="4">
        <v>31</v>
      </c>
      <c r="T22" s="4" t="s">
        <v>85</v>
      </c>
      <c r="U22" s="4">
        <v>0</v>
      </c>
      <c r="V22" s="4" t="s">
        <v>85</v>
      </c>
      <c r="W22">
        <v>40</v>
      </c>
      <c r="X22" t="s">
        <v>22</v>
      </c>
      <c r="Y22" s="1">
        <f>133.64+168.869+28.625+17.538</f>
        <v>348.67200000000003</v>
      </c>
      <c r="Z22" s="1">
        <v>246.84200000000001</v>
      </c>
      <c r="AA22" s="1">
        <f>1.184+1.259+1.922</f>
        <v>4.3649999999999993</v>
      </c>
      <c r="AB22" s="1">
        <f t="shared" si="1"/>
        <v>599.87900000000002</v>
      </c>
      <c r="AC22">
        <f>1+1+1</f>
        <v>3</v>
      </c>
      <c r="AD22" s="3">
        <f>2-1+7-6+3-2</f>
        <v>3</v>
      </c>
      <c r="AE22" s="3">
        <f>20+20+50</f>
        <v>90</v>
      </c>
      <c r="AF22" s="1">
        <f t="shared" si="7"/>
        <v>1</v>
      </c>
      <c r="AG22" s="1">
        <f t="shared" si="2"/>
        <v>30</v>
      </c>
      <c r="AH22">
        <f>1+1+3</f>
        <v>5</v>
      </c>
      <c r="AI22">
        <f>Y22-I22</f>
        <v>19.896000000000072</v>
      </c>
      <c r="AJ22">
        <f>Z22-J22</f>
        <v>-12.292999999999978</v>
      </c>
      <c r="AK22">
        <f>AA22-K22</f>
        <v>-7.6250000000000027</v>
      </c>
      <c r="AL22">
        <f>AD22-N22</f>
        <v>-2</v>
      </c>
      <c r="AM22">
        <f>AE22-O22</f>
        <v>-100</v>
      </c>
      <c r="AN22" s="1">
        <f>AF22-P22</f>
        <v>-0.25</v>
      </c>
      <c r="AO22" s="1">
        <f>AG22-Q22</f>
        <v>-17.5</v>
      </c>
      <c r="AP22">
        <f>AC22-M22</f>
        <v>-1</v>
      </c>
      <c r="AQ22">
        <f>AH22-R22</f>
        <v>0</v>
      </c>
      <c r="AR22">
        <v>40</v>
      </c>
      <c r="AS22">
        <v>40</v>
      </c>
      <c r="AT22">
        <v>33</v>
      </c>
      <c r="AU22">
        <v>-7</v>
      </c>
      <c r="AV22">
        <v>2</v>
      </c>
      <c r="AW22">
        <v>0</v>
      </c>
      <c r="AX22">
        <f t="shared" si="3"/>
        <v>-2</v>
      </c>
      <c r="AY22">
        <v>7.6589999999999998</v>
      </c>
      <c r="AZ22">
        <v>0</v>
      </c>
      <c r="BA22">
        <f t="shared" si="4"/>
        <v>-7.6589999999999998</v>
      </c>
    </row>
    <row r="23" spans="1:53" x14ac:dyDescent="0.25">
      <c r="A23" t="s">
        <v>28</v>
      </c>
      <c r="B23" t="s">
        <v>31</v>
      </c>
      <c r="C23" s="2">
        <v>42521</v>
      </c>
      <c r="D23" t="s">
        <v>78</v>
      </c>
      <c r="E23" t="s">
        <v>49</v>
      </c>
      <c r="F23" t="s">
        <v>27</v>
      </c>
      <c r="G23">
        <v>2</v>
      </c>
      <c r="H23" t="s">
        <v>22</v>
      </c>
      <c r="I23" s="1">
        <f>105.759+56.618+32.779+90.131</f>
        <v>285.28700000000003</v>
      </c>
      <c r="J23" s="1">
        <v>290.99700000000001</v>
      </c>
      <c r="K23" s="1">
        <f>16.648+6.48</f>
        <v>23.128</v>
      </c>
      <c r="L23" s="1">
        <f t="shared" si="0"/>
        <v>599.41200000000015</v>
      </c>
      <c r="M23">
        <f>2+2</f>
        <v>4</v>
      </c>
      <c r="N23" s="3">
        <f>6-5+3-1+6-5+4-3</f>
        <v>5</v>
      </c>
      <c r="O23" s="3">
        <f>50+70+50+50</f>
        <v>220</v>
      </c>
      <c r="P23" s="1">
        <f t="shared" si="5"/>
        <v>1.25</v>
      </c>
      <c r="Q23" s="1">
        <f t="shared" si="6"/>
        <v>55</v>
      </c>
      <c r="R23">
        <v>0</v>
      </c>
      <c r="S23" s="4">
        <v>34</v>
      </c>
      <c r="T23" s="4" t="s">
        <v>85</v>
      </c>
      <c r="U23" s="4">
        <v>0</v>
      </c>
      <c r="V23" s="4" t="s">
        <v>85</v>
      </c>
      <c r="W23">
        <v>90</v>
      </c>
      <c r="X23" t="s">
        <v>25</v>
      </c>
      <c r="Y23" s="1">
        <f>60.625+153.953+49.874+62.362</f>
        <v>326.81400000000002</v>
      </c>
      <c r="Z23" s="1">
        <v>237.62799999999999</v>
      </c>
      <c r="AA23" s="1">
        <f>5.725+6.755+12.437+1.354+8.934</f>
        <v>35.204999999999998</v>
      </c>
      <c r="AB23" s="1">
        <f t="shared" si="1"/>
        <v>599.64700000000005</v>
      </c>
      <c r="AC23">
        <f>1+1+3+1+2</f>
        <v>8</v>
      </c>
      <c r="AD23" s="3">
        <f>2-1+7-5+4-3+3-2+3-2+6-5+4-3+6-5</f>
        <v>9</v>
      </c>
      <c r="AE23" s="3">
        <f>20+70+50+50+50+50+50+50</f>
        <v>390</v>
      </c>
      <c r="AF23" s="1">
        <f t="shared" si="7"/>
        <v>1.125</v>
      </c>
      <c r="AG23" s="1">
        <f t="shared" si="2"/>
        <v>48.75</v>
      </c>
      <c r="AH23">
        <f>4+1+2+1+2+1</f>
        <v>11</v>
      </c>
      <c r="AI23">
        <f>Y23-I23</f>
        <v>41.526999999999987</v>
      </c>
      <c r="AJ23">
        <f>Z23-J23</f>
        <v>-53.369000000000028</v>
      </c>
      <c r="AK23">
        <f>AA23-K23</f>
        <v>12.076999999999998</v>
      </c>
      <c r="AL23">
        <f>AD23-N23</f>
        <v>4</v>
      </c>
      <c r="AM23">
        <f>AE23-O23</f>
        <v>170</v>
      </c>
      <c r="AN23" s="1">
        <f>AF23-P23</f>
        <v>-0.125</v>
      </c>
      <c r="AO23" s="1">
        <f>AG23-Q23</f>
        <v>-6.25</v>
      </c>
      <c r="AP23">
        <f>AC23-M23</f>
        <v>4</v>
      </c>
      <c r="AQ23">
        <f>AH23-R23</f>
        <v>11</v>
      </c>
      <c r="AR23">
        <v>29</v>
      </c>
      <c r="AS23">
        <v>13</v>
      </c>
      <c r="AT23">
        <v>40</v>
      </c>
      <c r="AU23">
        <v>11</v>
      </c>
      <c r="AV23">
        <v>6</v>
      </c>
      <c r="AW23">
        <v>5</v>
      </c>
      <c r="AX23">
        <f t="shared" si="3"/>
        <v>-1</v>
      </c>
      <c r="AY23">
        <v>32.665999999999997</v>
      </c>
      <c r="AZ23">
        <v>52.890999999999998</v>
      </c>
      <c r="BA23">
        <f t="shared" si="4"/>
        <v>20.225000000000001</v>
      </c>
    </row>
    <row r="24" spans="1:53" x14ac:dyDescent="0.25">
      <c r="A24" t="s">
        <v>45</v>
      </c>
      <c r="B24" t="s">
        <v>31</v>
      </c>
      <c r="C24" s="2">
        <v>42521</v>
      </c>
      <c r="D24" t="s">
        <v>78</v>
      </c>
      <c r="E24" t="s">
        <v>49</v>
      </c>
      <c r="F24" t="s">
        <v>27</v>
      </c>
      <c r="G24">
        <v>79</v>
      </c>
      <c r="H24" t="s">
        <v>25</v>
      </c>
      <c r="I24" s="1">
        <f>75.882+30.128+126.184+55.26</f>
        <v>287.45400000000001</v>
      </c>
      <c r="J24" s="1">
        <v>292.12</v>
      </c>
      <c r="K24" s="1">
        <f>8.802+0.84+6.175+2.29+2.235</f>
        <v>20.341999999999999</v>
      </c>
      <c r="L24" s="1">
        <f t="shared" si="0"/>
        <v>599.91600000000005</v>
      </c>
      <c r="M24">
        <f>3+1+1+1+1</f>
        <v>7</v>
      </c>
      <c r="N24" s="3">
        <f>2-1+7-6+2-1+7-3+7-2+6-5+3-1</f>
        <v>15</v>
      </c>
      <c r="O24" s="3">
        <f>20+20+20+170+220+50+70</f>
        <v>570</v>
      </c>
      <c r="P24" s="1">
        <f t="shared" si="5"/>
        <v>2.1428571428571428</v>
      </c>
      <c r="Q24" s="1">
        <f t="shared" si="6"/>
        <v>81.428571428571431</v>
      </c>
      <c r="R24">
        <f>2+1+1</f>
        <v>4</v>
      </c>
      <c r="S24" s="4">
        <v>54</v>
      </c>
      <c r="T24" s="4" t="s">
        <v>85</v>
      </c>
      <c r="U24" s="4">
        <v>5</v>
      </c>
      <c r="V24" s="4" t="s">
        <v>85</v>
      </c>
      <c r="W24">
        <v>84</v>
      </c>
      <c r="X24" t="s">
        <v>25</v>
      </c>
      <c r="Y24" s="1">
        <f>248.288+61.035+42.128+43.222</f>
        <v>394.67299999999994</v>
      </c>
      <c r="Z24" s="1">
        <v>186.78899999999999</v>
      </c>
      <c r="AA24" s="1">
        <f>12.054+0.536+5.848</f>
        <v>18.437999999999999</v>
      </c>
      <c r="AB24" s="1">
        <f t="shared" si="1"/>
        <v>599.9</v>
      </c>
      <c r="AC24">
        <f>4+1+1</f>
        <v>6</v>
      </c>
      <c r="AD24" s="3">
        <f>2-1+2-1+2-1+6-1+7-1+5-1</f>
        <v>18</v>
      </c>
      <c r="AE24" s="3">
        <f>20+20+20+220+240+170</f>
        <v>690</v>
      </c>
      <c r="AF24" s="1">
        <f t="shared" si="7"/>
        <v>3</v>
      </c>
      <c r="AG24" s="1">
        <f t="shared" si="2"/>
        <v>115</v>
      </c>
      <c r="AH24">
        <f>1+1</f>
        <v>2</v>
      </c>
      <c r="AI24">
        <f>Y24-I24</f>
        <v>107.21899999999994</v>
      </c>
      <c r="AJ24">
        <f>Z24-J24</f>
        <v>-105.33100000000002</v>
      </c>
      <c r="AK24">
        <f>AA24-K24</f>
        <v>-1.9039999999999999</v>
      </c>
      <c r="AL24">
        <f>AD24-N24</f>
        <v>3</v>
      </c>
      <c r="AM24">
        <f>AE24-O24</f>
        <v>120</v>
      </c>
      <c r="AN24" s="1">
        <f>AF24-P24</f>
        <v>0.85714285714285721</v>
      </c>
      <c r="AO24" s="1">
        <f>AG24-Q24</f>
        <v>33.571428571428569</v>
      </c>
      <c r="AP24">
        <f>AC24-M24</f>
        <v>-1</v>
      </c>
      <c r="AQ24">
        <f>AH24-R24</f>
        <v>-2</v>
      </c>
      <c r="AR24">
        <v>31</v>
      </c>
      <c r="AS24">
        <v>40</v>
      </c>
      <c r="AT24">
        <v>40</v>
      </c>
      <c r="AU24">
        <v>9</v>
      </c>
      <c r="AV24">
        <v>2</v>
      </c>
      <c r="AW24">
        <v>5</v>
      </c>
      <c r="AX24">
        <f t="shared" si="3"/>
        <v>3</v>
      </c>
      <c r="AY24">
        <v>39.552999999999997</v>
      </c>
      <c r="AZ24">
        <v>51.814999999999998</v>
      </c>
      <c r="BA24">
        <f t="shared" si="4"/>
        <v>12.262</v>
      </c>
    </row>
    <row r="25" spans="1:53" x14ac:dyDescent="0.25">
      <c r="A25" t="s">
        <v>32</v>
      </c>
      <c r="B25" t="s">
        <v>33</v>
      </c>
      <c r="C25" s="2">
        <v>42521</v>
      </c>
      <c r="D25" t="s">
        <v>78</v>
      </c>
      <c r="E25" t="s">
        <v>49</v>
      </c>
      <c r="F25" t="s">
        <v>27</v>
      </c>
      <c r="G25">
        <v>11</v>
      </c>
      <c r="H25" t="s">
        <v>22</v>
      </c>
      <c r="I25" s="1">
        <f>149.269+59.768+45.724+74.518</f>
        <v>329.279</v>
      </c>
      <c r="J25" s="1">
        <v>252.999</v>
      </c>
      <c r="K25" s="1">
        <f>12.957+1.976+1.351+1.349</f>
        <v>17.632999999999999</v>
      </c>
      <c r="L25" s="1">
        <f t="shared" si="0"/>
        <v>599.91100000000006</v>
      </c>
      <c r="M25">
        <f>2+1+1+1</f>
        <v>5</v>
      </c>
      <c r="N25" s="3">
        <f>5-1+7-6+3-2+2-1+6-5</f>
        <v>8</v>
      </c>
      <c r="O25" s="3">
        <f>170+20+50+20+50</f>
        <v>310</v>
      </c>
      <c r="P25" s="1">
        <f t="shared" si="5"/>
        <v>1.6</v>
      </c>
      <c r="Q25" s="1">
        <f t="shared" si="6"/>
        <v>62</v>
      </c>
      <c r="R25">
        <f>2+1+2+1</f>
        <v>6</v>
      </c>
      <c r="S25" s="4">
        <v>5</v>
      </c>
      <c r="T25" s="4" t="s">
        <v>85</v>
      </c>
      <c r="U25" s="4">
        <v>1</v>
      </c>
      <c r="V25" s="4" t="s">
        <v>85</v>
      </c>
      <c r="W25">
        <v>89</v>
      </c>
      <c r="X25" t="s">
        <v>25</v>
      </c>
      <c r="Y25" s="1">
        <f>41.221+102.965+63.193+15.351</f>
        <v>222.73000000000002</v>
      </c>
      <c r="Z25" s="1">
        <v>372.49700000000001</v>
      </c>
      <c r="AA25" s="1">
        <f>1.429+1.117+2.093</f>
        <v>4.6390000000000002</v>
      </c>
      <c r="AB25" s="1">
        <f t="shared" si="1"/>
        <v>599.8660000000001</v>
      </c>
      <c r="AC25">
        <f>1+2+1</f>
        <v>4</v>
      </c>
      <c r="AD25" s="3">
        <f>5-4+2-1+2-1+3-1</f>
        <v>5</v>
      </c>
      <c r="AE25" s="3">
        <f>50+20+20+70</f>
        <v>160</v>
      </c>
      <c r="AF25" s="1">
        <f t="shared" si="7"/>
        <v>1.25</v>
      </c>
      <c r="AG25" s="1">
        <f t="shared" si="2"/>
        <v>40</v>
      </c>
      <c r="AH25">
        <f>2+4+3+2</f>
        <v>11</v>
      </c>
      <c r="AI25">
        <f>Y25-I25</f>
        <v>-106.54899999999998</v>
      </c>
      <c r="AJ25">
        <f>Z25-J25</f>
        <v>119.49800000000002</v>
      </c>
      <c r="AK25">
        <f>AA25-K25</f>
        <v>-12.994</v>
      </c>
      <c r="AL25">
        <f>AD25-N25</f>
        <v>-3</v>
      </c>
      <c r="AM25">
        <f>AE25-O25</f>
        <v>-150</v>
      </c>
      <c r="AN25" s="1">
        <f>AF25-P25</f>
        <v>-0.35000000000000009</v>
      </c>
      <c r="AO25" s="1">
        <f>AG25-Q25</f>
        <v>-22</v>
      </c>
      <c r="AP25">
        <f>AC25-M25</f>
        <v>-1</v>
      </c>
      <c r="AQ25">
        <f>AH25-R25</f>
        <v>5</v>
      </c>
      <c r="AR25">
        <v>40</v>
      </c>
      <c r="AS25">
        <v>40</v>
      </c>
      <c r="AT25">
        <v>39</v>
      </c>
      <c r="AU25">
        <v>-1</v>
      </c>
      <c r="AV25">
        <v>4</v>
      </c>
      <c r="AW25">
        <v>3</v>
      </c>
      <c r="AX25">
        <f t="shared" si="3"/>
        <v>-1</v>
      </c>
      <c r="AY25">
        <v>11.88</v>
      </c>
      <c r="AZ25">
        <v>38.042999999999999</v>
      </c>
      <c r="BA25">
        <f t="shared" si="4"/>
        <v>26.162999999999997</v>
      </c>
    </row>
    <row r="26" spans="1:53" x14ac:dyDescent="0.25">
      <c r="A26" t="s">
        <v>41</v>
      </c>
      <c r="B26" t="s">
        <v>33</v>
      </c>
      <c r="C26" s="2">
        <v>42509</v>
      </c>
      <c r="D26" t="s">
        <v>77</v>
      </c>
      <c r="E26" t="s">
        <v>48</v>
      </c>
      <c r="F26" t="s">
        <v>27</v>
      </c>
      <c r="G26">
        <v>77</v>
      </c>
      <c r="H26" t="s">
        <v>25</v>
      </c>
      <c r="I26" s="1">
        <f>52.71+84.09+80.143+61.576</f>
        <v>278.51900000000001</v>
      </c>
      <c r="J26" s="1">
        <v>291.98399999999998</v>
      </c>
      <c r="K26" s="1">
        <f>7.352+3.155+15.259+2.809+0.851</f>
        <v>29.425999999999998</v>
      </c>
      <c r="L26" s="1">
        <f t="shared" si="0"/>
        <v>599.92899999999997</v>
      </c>
      <c r="M26">
        <f>2+1+1+1+1</f>
        <v>6</v>
      </c>
      <c r="N26" s="3">
        <f>3-2+4-3+7-4+6-5+7-6+2-1</f>
        <v>8</v>
      </c>
      <c r="O26" s="3">
        <f>50+50+120+50+20+20</f>
        <v>310</v>
      </c>
      <c r="P26" s="1">
        <f t="shared" si="5"/>
        <v>1.3333333333333333</v>
      </c>
      <c r="Q26" s="1">
        <f t="shared" si="6"/>
        <v>51.666666666666664</v>
      </c>
      <c r="R26">
        <f>2+1+2+2+1</f>
        <v>8</v>
      </c>
      <c r="S26" s="4">
        <v>88</v>
      </c>
      <c r="T26" s="4" t="s">
        <v>85</v>
      </c>
      <c r="U26" s="4">
        <v>4</v>
      </c>
      <c r="V26" s="4" t="s">
        <v>85</v>
      </c>
      <c r="W26">
        <v>6</v>
      </c>
      <c r="X26" t="s">
        <v>22</v>
      </c>
      <c r="Y26" s="1">
        <f>146.732+157.875+40.954+31.231</f>
        <v>376.79199999999997</v>
      </c>
      <c r="Z26" s="1">
        <f>203.635</f>
        <v>203.63499999999999</v>
      </c>
      <c r="AA26" s="1">
        <f>3.508+6.982+8.999</f>
        <v>19.489000000000001</v>
      </c>
      <c r="AB26" s="1">
        <f t="shared" si="1"/>
        <v>599.91599999999994</v>
      </c>
      <c r="AC26">
        <f>2+1+2</f>
        <v>5</v>
      </c>
      <c r="AD26" s="3">
        <f>6-5+7-3+7-6+4-1+4-3</f>
        <v>10</v>
      </c>
      <c r="AE26" s="3">
        <f>50+170+20+120+50</f>
        <v>410</v>
      </c>
      <c r="AF26" s="1">
        <f t="shared" si="7"/>
        <v>2</v>
      </c>
      <c r="AG26" s="1">
        <f t="shared" si="2"/>
        <v>82</v>
      </c>
      <c r="AH26">
        <v>0</v>
      </c>
      <c r="AI26">
        <f>Y26-I26</f>
        <v>98.272999999999968</v>
      </c>
      <c r="AJ26">
        <f>Z26-J26</f>
        <v>-88.34899999999999</v>
      </c>
      <c r="AK26">
        <f>AA26-K26</f>
        <v>-9.9369999999999976</v>
      </c>
      <c r="AL26">
        <f>AD26-N26</f>
        <v>2</v>
      </c>
      <c r="AM26">
        <f>AE26-O26</f>
        <v>100</v>
      </c>
      <c r="AN26" s="1">
        <f>AF26-P26</f>
        <v>0.66666666666666674</v>
      </c>
      <c r="AO26" s="1">
        <f>AG26-Q26</f>
        <v>30.333333333333336</v>
      </c>
      <c r="AP26">
        <f>AC26-M26</f>
        <v>-1</v>
      </c>
      <c r="AQ26">
        <f>AH26-R26</f>
        <v>-8</v>
      </c>
      <c r="AR26">
        <v>5</v>
      </c>
      <c r="AS26">
        <v>7</v>
      </c>
      <c r="AT26">
        <v>9</v>
      </c>
      <c r="AU26">
        <v>4</v>
      </c>
      <c r="AV26">
        <v>0</v>
      </c>
      <c r="AW26">
        <v>2</v>
      </c>
      <c r="AX26">
        <f t="shared" si="3"/>
        <v>2</v>
      </c>
      <c r="AY26">
        <v>0</v>
      </c>
      <c r="AZ26">
        <v>26.195</v>
      </c>
      <c r="BA26">
        <f t="shared" si="4"/>
        <v>26.195</v>
      </c>
    </row>
    <row r="27" spans="1:53" x14ac:dyDescent="0.25">
      <c r="A27" t="s">
        <v>42</v>
      </c>
      <c r="B27" t="s">
        <v>33</v>
      </c>
      <c r="C27" s="2">
        <v>42509</v>
      </c>
      <c r="D27" t="s">
        <v>77</v>
      </c>
      <c r="E27" t="s">
        <v>48</v>
      </c>
      <c r="F27" t="s">
        <v>27</v>
      </c>
      <c r="G27">
        <v>43</v>
      </c>
      <c r="H27" t="s">
        <v>22</v>
      </c>
      <c r="I27" s="1">
        <f>72.553+63.785+46.341+75.244</f>
        <v>257.923</v>
      </c>
      <c r="J27" s="1">
        <v>330.74599999999998</v>
      </c>
      <c r="K27" s="1">
        <f>2.838+3.712+1.883+2.819</f>
        <v>11.251999999999999</v>
      </c>
      <c r="L27" s="1">
        <f t="shared" si="0"/>
        <v>599.92099999999994</v>
      </c>
      <c r="M27">
        <f>1+1+1+1</f>
        <v>4</v>
      </c>
      <c r="N27" s="3">
        <f>3-2+3-2+7-6</f>
        <v>3</v>
      </c>
      <c r="O27" s="3">
        <f>50+50+20</f>
        <v>120</v>
      </c>
      <c r="P27" s="1">
        <f>N27/3</f>
        <v>1</v>
      </c>
      <c r="Q27" s="1">
        <f t="shared" si="6"/>
        <v>30</v>
      </c>
      <c r="R27">
        <f>1+1</f>
        <v>2</v>
      </c>
      <c r="S27" s="4">
        <v>12</v>
      </c>
      <c r="T27" s="4" t="s">
        <v>85</v>
      </c>
      <c r="U27" s="4">
        <v>2</v>
      </c>
      <c r="V27" s="4" t="s">
        <v>85</v>
      </c>
      <c r="W27">
        <v>27</v>
      </c>
      <c r="X27" t="s">
        <v>22</v>
      </c>
      <c r="Y27" s="1">
        <f>61.468+143.753+74.215+110.183</f>
        <v>389.61900000000003</v>
      </c>
      <c r="Z27" s="1">
        <v>210.31700000000001</v>
      </c>
      <c r="AA27" s="1">
        <v>0</v>
      </c>
      <c r="AB27" s="1">
        <f t="shared" si="1"/>
        <v>599.93600000000004</v>
      </c>
      <c r="AC27">
        <v>0</v>
      </c>
      <c r="AD27" s="3">
        <v>0</v>
      </c>
      <c r="AE27" s="3">
        <v>0</v>
      </c>
      <c r="AF27" s="1">
        <v>0</v>
      </c>
      <c r="AG27" s="1">
        <v>0</v>
      </c>
      <c r="AH27">
        <v>0</v>
      </c>
      <c r="AI27">
        <f>Y27-I27</f>
        <v>131.69600000000003</v>
      </c>
      <c r="AJ27">
        <f>Z27-J27</f>
        <v>-120.42899999999997</v>
      </c>
      <c r="AK27">
        <f>AA27-K27</f>
        <v>-11.251999999999999</v>
      </c>
      <c r="AL27">
        <f>AD27-N27</f>
        <v>-3</v>
      </c>
      <c r="AM27">
        <f>AE27-O27</f>
        <v>-120</v>
      </c>
      <c r="AN27" s="1">
        <f>AF27-P27</f>
        <v>-1</v>
      </c>
      <c r="AO27" s="1">
        <f>AG27-Q27</f>
        <v>-30</v>
      </c>
      <c r="AP27">
        <f>AC27-M27</f>
        <v>-4</v>
      </c>
      <c r="AQ27">
        <f>AH27-R27</f>
        <v>-2</v>
      </c>
      <c r="AR27">
        <v>1</v>
      </c>
      <c r="AS27">
        <v>3</v>
      </c>
      <c r="AT27">
        <v>39</v>
      </c>
      <c r="AU27">
        <v>38</v>
      </c>
      <c r="AV27">
        <v>0</v>
      </c>
      <c r="AW27">
        <v>4</v>
      </c>
      <c r="AX27">
        <f t="shared" si="3"/>
        <v>4</v>
      </c>
      <c r="AY27">
        <v>0</v>
      </c>
      <c r="AZ27">
        <v>110.245</v>
      </c>
      <c r="BA27">
        <f t="shared" si="4"/>
        <v>110.245</v>
      </c>
    </row>
    <row r="28" spans="1:53" x14ac:dyDescent="0.25">
      <c r="A28" t="s">
        <v>38</v>
      </c>
      <c r="B28" t="s">
        <v>33</v>
      </c>
      <c r="C28" s="2">
        <v>42509</v>
      </c>
      <c r="D28" t="s">
        <v>77</v>
      </c>
      <c r="E28" t="s">
        <v>48</v>
      </c>
      <c r="F28" t="s">
        <v>27</v>
      </c>
      <c r="G28">
        <v>52</v>
      </c>
      <c r="H28" t="s">
        <v>25</v>
      </c>
      <c r="I28" s="1">
        <f>41.308+87.387+72.79+56.265</f>
        <v>257.75</v>
      </c>
      <c r="J28" s="1">
        <v>340.036</v>
      </c>
      <c r="K28" s="1">
        <f>1.139+0.99</f>
        <v>2.129</v>
      </c>
      <c r="L28" s="1">
        <f t="shared" si="0"/>
        <v>599.91500000000008</v>
      </c>
      <c r="M28">
        <f>1+1</f>
        <v>2</v>
      </c>
      <c r="N28" s="3">
        <f>7-6+2-1</f>
        <v>2</v>
      </c>
      <c r="O28" s="3">
        <f>20+20</f>
        <v>40</v>
      </c>
      <c r="P28" s="1">
        <f>N28/M28</f>
        <v>1</v>
      </c>
      <c r="Q28" s="1">
        <f t="shared" si="6"/>
        <v>20</v>
      </c>
      <c r="R28">
        <v>1</v>
      </c>
      <c r="S28" s="4">
        <v>57</v>
      </c>
      <c r="T28" s="4" t="s">
        <v>85</v>
      </c>
      <c r="U28" s="4">
        <v>0</v>
      </c>
      <c r="V28" s="4" t="s">
        <v>85</v>
      </c>
      <c r="W28">
        <v>56</v>
      </c>
      <c r="X28" t="s">
        <v>22</v>
      </c>
      <c r="Y28" s="1">
        <f>154.713+100.462+26.725+23.038</f>
        <v>304.93800000000005</v>
      </c>
      <c r="Z28" s="1">
        <v>289.03899999999999</v>
      </c>
      <c r="AA28" s="1">
        <f>3.421+2.52</f>
        <v>5.9409999999999998</v>
      </c>
      <c r="AB28" s="1">
        <f t="shared" si="1"/>
        <v>599.91800000000012</v>
      </c>
      <c r="AC28">
        <f>3+1</f>
        <v>4</v>
      </c>
      <c r="AD28" s="3">
        <f>2-1+5-4+2-1+2-1</f>
        <v>4</v>
      </c>
      <c r="AE28" s="3">
        <f>20+50+20+20</f>
        <v>110</v>
      </c>
      <c r="AF28" s="1">
        <f t="shared" ref="AF28:AF33" si="8">AD28/AC28</f>
        <v>1</v>
      </c>
      <c r="AG28" s="1">
        <f t="shared" si="2"/>
        <v>27.5</v>
      </c>
      <c r="AH28">
        <f>1+1</f>
        <v>2</v>
      </c>
      <c r="AI28">
        <f>Y28-I28</f>
        <v>47.188000000000045</v>
      </c>
      <c r="AJ28">
        <f>Z28-J28</f>
        <v>-50.997000000000014</v>
      </c>
      <c r="AK28">
        <f>AA28-K28</f>
        <v>3.8119999999999998</v>
      </c>
      <c r="AL28">
        <f>AD28-N28</f>
        <v>2</v>
      </c>
      <c r="AM28">
        <f>AE28-O28</f>
        <v>70</v>
      </c>
      <c r="AN28" s="1">
        <f>AF28-P28</f>
        <v>0</v>
      </c>
      <c r="AO28" s="1">
        <f>AG28-Q28</f>
        <v>7.5</v>
      </c>
      <c r="AP28">
        <f>AC28-M28</f>
        <v>2</v>
      </c>
      <c r="AQ28">
        <f>AH28-R28</f>
        <v>1</v>
      </c>
      <c r="AR28">
        <v>40</v>
      </c>
      <c r="AS28">
        <v>34</v>
      </c>
      <c r="AT28">
        <v>10</v>
      </c>
      <c r="AU28">
        <v>-30</v>
      </c>
      <c r="AV28">
        <v>1</v>
      </c>
      <c r="AW28">
        <v>0</v>
      </c>
      <c r="AX28">
        <f t="shared" si="3"/>
        <v>-1</v>
      </c>
      <c r="AY28">
        <v>43.662999999999997</v>
      </c>
      <c r="AZ28">
        <v>0</v>
      </c>
      <c r="BA28">
        <f t="shared" si="4"/>
        <v>-43.662999999999997</v>
      </c>
    </row>
    <row r="29" spans="1:53" x14ac:dyDescent="0.25">
      <c r="A29" t="s">
        <v>44</v>
      </c>
      <c r="B29" t="s">
        <v>31</v>
      </c>
      <c r="C29" s="2">
        <v>42515</v>
      </c>
      <c r="D29" t="s">
        <v>77</v>
      </c>
      <c r="E29" t="s">
        <v>48</v>
      </c>
      <c r="F29" t="s">
        <v>27</v>
      </c>
      <c r="G29">
        <v>51</v>
      </c>
      <c r="H29" t="s">
        <v>25</v>
      </c>
      <c r="I29" s="1">
        <f>117.145+59.492+29.774+55.24</f>
        <v>261.65100000000001</v>
      </c>
      <c r="J29" s="1">
        <v>284.05500000000001</v>
      </c>
      <c r="K29" s="1">
        <f>40.198+3.415+8.669+1.899</f>
        <v>54.180999999999997</v>
      </c>
      <c r="L29" s="1">
        <f t="shared" si="0"/>
        <v>599.88700000000006</v>
      </c>
      <c r="M29">
        <f>6+1+2+1</f>
        <v>10</v>
      </c>
      <c r="N29" s="3">
        <f>3-1+3-1+4-3+6-5+4-3+2-1+6-5+4-3+6-3+7-2</f>
        <v>18</v>
      </c>
      <c r="O29" s="3">
        <f>70+70+50+50+50+20+50+50+150+220</f>
        <v>780</v>
      </c>
      <c r="P29" s="1">
        <f>N29/M29</f>
        <v>1.8</v>
      </c>
      <c r="Q29" s="1">
        <f t="shared" si="6"/>
        <v>78</v>
      </c>
      <c r="R29">
        <f>2</f>
        <v>2</v>
      </c>
      <c r="S29" s="4">
        <v>48</v>
      </c>
      <c r="T29" s="4" t="s">
        <v>85</v>
      </c>
      <c r="U29" s="4">
        <v>2</v>
      </c>
      <c r="V29" s="4" t="s">
        <v>85</v>
      </c>
      <c r="W29">
        <v>1</v>
      </c>
      <c r="X29" t="s">
        <v>22</v>
      </c>
      <c r="Y29" s="1">
        <f>59.42+89.623+117.366+69.389</f>
        <v>335.798</v>
      </c>
      <c r="Z29" s="1">
        <v>241.114</v>
      </c>
      <c r="AA29" s="1">
        <f>9.936+1.174+2.071+5.208+4.59</f>
        <v>22.978999999999999</v>
      </c>
      <c r="AB29" s="1">
        <f t="shared" si="1"/>
        <v>599.89100000000008</v>
      </c>
      <c r="AC29">
        <f>2+1+2+2+2</f>
        <v>9</v>
      </c>
      <c r="AD29" s="3">
        <f>6-5+7-5+2-1+3-1+2-1+7-5+5-3+6-1+6-5</f>
        <v>17</v>
      </c>
      <c r="AE29" s="3">
        <f>50+70+20+70+20+70+100+220+50</f>
        <v>670</v>
      </c>
      <c r="AF29" s="1">
        <f t="shared" si="8"/>
        <v>1.8888888888888888</v>
      </c>
      <c r="AG29" s="1">
        <f t="shared" si="2"/>
        <v>74.444444444444443</v>
      </c>
      <c r="AH29">
        <f>2+1</f>
        <v>3</v>
      </c>
      <c r="AI29">
        <f>Y29-I29</f>
        <v>74.146999999999991</v>
      </c>
      <c r="AJ29">
        <f>Z29-J29</f>
        <v>-42.941000000000003</v>
      </c>
      <c r="AK29">
        <f>AA29-K29</f>
        <v>-31.201999999999998</v>
      </c>
      <c r="AL29">
        <f>AD29-N29</f>
        <v>-1</v>
      </c>
      <c r="AM29">
        <f>AE29-O29</f>
        <v>-110</v>
      </c>
      <c r="AN29" s="1">
        <f>AF29-P29</f>
        <v>8.8888888888888795E-2</v>
      </c>
      <c r="AO29" s="1">
        <f>AG29-Q29</f>
        <v>-3.5555555555555571</v>
      </c>
      <c r="AP29">
        <f>AC29-M29</f>
        <v>-1</v>
      </c>
      <c r="AQ29">
        <f>AH29-R29</f>
        <v>1</v>
      </c>
      <c r="AR29">
        <v>5</v>
      </c>
      <c r="AS29">
        <v>2</v>
      </c>
      <c r="AT29">
        <v>16</v>
      </c>
      <c r="AU29">
        <v>11</v>
      </c>
      <c r="AV29">
        <v>3</v>
      </c>
      <c r="AW29">
        <v>8</v>
      </c>
      <c r="AX29">
        <f t="shared" si="3"/>
        <v>5</v>
      </c>
      <c r="AY29">
        <v>46.9</v>
      </c>
      <c r="AZ29">
        <v>65.793999999999997</v>
      </c>
      <c r="BA29">
        <f t="shared" si="4"/>
        <v>18.893999999999998</v>
      </c>
    </row>
    <row r="30" spans="1:53" x14ac:dyDescent="0.25">
      <c r="A30" t="s">
        <v>36</v>
      </c>
      <c r="B30" t="s">
        <v>31</v>
      </c>
      <c r="C30" s="2">
        <v>42515</v>
      </c>
      <c r="D30" t="s">
        <v>77</v>
      </c>
      <c r="E30" t="s">
        <v>48</v>
      </c>
      <c r="F30" t="s">
        <v>27</v>
      </c>
      <c r="G30">
        <v>69</v>
      </c>
      <c r="H30" t="s">
        <v>25</v>
      </c>
      <c r="I30" s="1">
        <f>78.647+70.884+71.798+75.513</f>
        <v>296.84199999999998</v>
      </c>
      <c r="J30" s="1">
        <v>293.28199999999998</v>
      </c>
      <c r="K30" s="1">
        <f>3.457+6.314</f>
        <v>9.7710000000000008</v>
      </c>
      <c r="L30" s="1">
        <f t="shared" si="0"/>
        <v>599.89499999999998</v>
      </c>
      <c r="M30">
        <f>1+1</f>
        <v>2</v>
      </c>
      <c r="N30" s="3">
        <f>ABS(4-5)+ABS(5-7)</f>
        <v>3</v>
      </c>
      <c r="O30" s="3">
        <f>50+70</f>
        <v>120</v>
      </c>
      <c r="P30" s="1">
        <f>N30/M30</f>
        <v>1.5</v>
      </c>
      <c r="Q30" s="1">
        <f t="shared" si="6"/>
        <v>60</v>
      </c>
      <c r="R30">
        <f>2+1+1+1</f>
        <v>5</v>
      </c>
      <c r="S30" s="4">
        <v>47</v>
      </c>
      <c r="T30" s="4" t="s">
        <v>85</v>
      </c>
      <c r="U30" s="4">
        <v>4</v>
      </c>
      <c r="V30" s="4" t="s">
        <v>85</v>
      </c>
      <c r="W30">
        <v>18</v>
      </c>
      <c r="X30" t="s">
        <v>22</v>
      </c>
      <c r="Y30" s="1">
        <f>52.92+112.186+29.771+27.357</f>
        <v>222.23400000000001</v>
      </c>
      <c r="Z30" s="1">
        <v>342.411</v>
      </c>
      <c r="AA30" s="1">
        <f>2.629+5.6+14.195+11.52+1.262</f>
        <v>35.206000000000003</v>
      </c>
      <c r="AB30" s="1">
        <f t="shared" si="1"/>
        <v>599.851</v>
      </c>
      <c r="AC30">
        <f>6+3+4+5+1</f>
        <v>19</v>
      </c>
      <c r="AD30" s="3">
        <f>2-1+6-5+4-2+2-1+5-4+7-3+4-1+3-2+2-1+4-2+4-3+3-2+6-5+2-1+3-2+2-1+6-5+7-4+2-1</f>
        <v>28</v>
      </c>
      <c r="AE30" s="3">
        <f>20+50+100+20+50+170+120+50+20+100+50+50+50+20+50+20+50+120+20</f>
        <v>1130</v>
      </c>
      <c r="AF30" s="1">
        <f t="shared" si="8"/>
        <v>1.4736842105263157</v>
      </c>
      <c r="AG30" s="1">
        <f t="shared" si="2"/>
        <v>59.473684210526315</v>
      </c>
      <c r="AH30">
        <f>1+1+1</f>
        <v>3</v>
      </c>
      <c r="AI30">
        <f>Y30-I30</f>
        <v>-74.607999999999976</v>
      </c>
      <c r="AJ30">
        <f>Z30-J30</f>
        <v>49.129000000000019</v>
      </c>
      <c r="AK30">
        <f>AA30-K30</f>
        <v>25.435000000000002</v>
      </c>
      <c r="AL30">
        <f>AD30-N30</f>
        <v>25</v>
      </c>
      <c r="AM30">
        <f>AE30-O30</f>
        <v>1010</v>
      </c>
      <c r="AN30" s="1">
        <f>AF30-P30</f>
        <v>-2.6315789473684292E-2</v>
      </c>
      <c r="AO30" s="1">
        <f>AG30-Q30</f>
        <v>-0.52631578947368496</v>
      </c>
      <c r="AP30">
        <f>AC30-M30</f>
        <v>17</v>
      </c>
      <c r="AQ30">
        <f>AH30-R30</f>
        <v>-2</v>
      </c>
      <c r="AR30">
        <v>16</v>
      </c>
      <c r="AS30">
        <v>25</v>
      </c>
      <c r="AT30">
        <v>27</v>
      </c>
      <c r="AU30">
        <v>11</v>
      </c>
      <c r="AV30">
        <v>5</v>
      </c>
      <c r="AW30">
        <v>0</v>
      </c>
      <c r="AX30">
        <f t="shared" si="3"/>
        <v>-5</v>
      </c>
      <c r="AY30">
        <v>65.483999999999995</v>
      </c>
      <c r="AZ30">
        <v>0</v>
      </c>
      <c r="BA30">
        <f t="shared" si="4"/>
        <v>-65.483999999999995</v>
      </c>
    </row>
    <row r="31" spans="1:53" x14ac:dyDescent="0.25">
      <c r="A31" t="s">
        <v>39</v>
      </c>
      <c r="B31" t="s">
        <v>31</v>
      </c>
      <c r="C31" s="2">
        <v>42509</v>
      </c>
      <c r="D31" t="s">
        <v>77</v>
      </c>
      <c r="E31" t="s">
        <v>48</v>
      </c>
      <c r="F31" t="s">
        <v>27</v>
      </c>
      <c r="G31">
        <v>38</v>
      </c>
      <c r="H31" t="s">
        <v>22</v>
      </c>
      <c r="I31" s="1">
        <f>69.638+49.933+49.057+32.466</f>
        <v>201.09399999999999</v>
      </c>
      <c r="J31" s="1">
        <v>381.54</v>
      </c>
      <c r="K31" s="1">
        <f>3.328+2.617+11.343</f>
        <v>17.288</v>
      </c>
      <c r="L31" s="1">
        <f t="shared" si="0"/>
        <v>599.92200000000003</v>
      </c>
      <c r="M31">
        <f>1+1+1</f>
        <v>3</v>
      </c>
      <c r="N31" s="3">
        <f>4-3+6-5+6-2</f>
        <v>6</v>
      </c>
      <c r="O31" s="3">
        <f>50+50+200</f>
        <v>300</v>
      </c>
      <c r="P31" s="1">
        <f>N31/M31</f>
        <v>2</v>
      </c>
      <c r="Q31" s="1">
        <f t="shared" si="6"/>
        <v>100</v>
      </c>
      <c r="R31">
        <v>0</v>
      </c>
      <c r="S31" s="4">
        <v>93</v>
      </c>
      <c r="T31" s="4" t="s">
        <v>85</v>
      </c>
      <c r="U31" s="4">
        <v>3</v>
      </c>
      <c r="V31" s="4" t="s">
        <v>85</v>
      </c>
      <c r="W31">
        <v>83</v>
      </c>
      <c r="X31" t="s">
        <v>25</v>
      </c>
      <c r="Y31" s="1">
        <f>39.417+54.038+99.986+122.091</f>
        <v>315.53199999999998</v>
      </c>
      <c r="Z31" s="1">
        <v>270.71499999999997</v>
      </c>
      <c r="AA31" s="1">
        <f>1.158+11.68</f>
        <v>12.837999999999999</v>
      </c>
      <c r="AB31" s="1">
        <f t="shared" si="1"/>
        <v>599.08499999999992</v>
      </c>
      <c r="AC31">
        <f>2+1</f>
        <v>3</v>
      </c>
      <c r="AD31" s="3">
        <f>2-1+2-1+4-1</f>
        <v>5</v>
      </c>
      <c r="AE31" s="3">
        <f>20+20+120</f>
        <v>160</v>
      </c>
      <c r="AF31" s="1">
        <f t="shared" si="8"/>
        <v>1.6666666666666667</v>
      </c>
      <c r="AG31" s="1">
        <f t="shared" si="2"/>
        <v>53.333333333333336</v>
      </c>
      <c r="AH31">
        <v>1</v>
      </c>
      <c r="AI31">
        <f>Y31-I31</f>
        <v>114.43799999999999</v>
      </c>
      <c r="AJ31">
        <f>Z31-J31</f>
        <v>-110.82500000000005</v>
      </c>
      <c r="AK31">
        <f>AA31-K31</f>
        <v>-4.4500000000000011</v>
      </c>
      <c r="AL31">
        <f>AD31-N31</f>
        <v>-1</v>
      </c>
      <c r="AM31">
        <f>AE31-O31</f>
        <v>-140</v>
      </c>
      <c r="AN31" s="1">
        <f>AF31-P31</f>
        <v>-0.33333333333333326</v>
      </c>
      <c r="AO31" s="1">
        <f>AG31-Q31</f>
        <v>-46.666666666666664</v>
      </c>
      <c r="AP31">
        <f>AC31-M31</f>
        <v>0</v>
      </c>
      <c r="AQ31">
        <f>AH31-R31</f>
        <v>1</v>
      </c>
      <c r="AR31">
        <v>8</v>
      </c>
      <c r="AS31">
        <v>35</v>
      </c>
      <c r="AT31">
        <v>42</v>
      </c>
      <c r="AU31">
        <v>34</v>
      </c>
      <c r="AV31">
        <v>2</v>
      </c>
      <c r="AW31">
        <v>2</v>
      </c>
      <c r="AX31">
        <f t="shared" si="3"/>
        <v>0</v>
      </c>
      <c r="AY31">
        <v>5.931</v>
      </c>
      <c r="AZ31">
        <v>23.032</v>
      </c>
      <c r="BA31">
        <f t="shared" si="4"/>
        <v>17.100999999999999</v>
      </c>
    </row>
    <row r="32" spans="1:53" x14ac:dyDescent="0.25">
      <c r="A32" t="s">
        <v>34</v>
      </c>
      <c r="B32" t="s">
        <v>31</v>
      </c>
      <c r="C32" s="2">
        <v>42509</v>
      </c>
      <c r="D32" t="s">
        <v>77</v>
      </c>
      <c r="E32" t="s">
        <v>48</v>
      </c>
      <c r="F32" t="s">
        <v>27</v>
      </c>
      <c r="G32">
        <v>25</v>
      </c>
      <c r="H32" t="s">
        <v>22</v>
      </c>
      <c r="I32" s="1">
        <f>55.164+94.949+47.126+67.094</f>
        <v>264.33299999999997</v>
      </c>
      <c r="J32" s="1">
        <v>301.79700000000003</v>
      </c>
      <c r="K32" s="1">
        <f>3.902+18.395+2.65+2.257+2.261+1.559+1.91+0.83</f>
        <v>33.763999999999996</v>
      </c>
      <c r="L32" s="1">
        <f t="shared" si="0"/>
        <v>599.89400000000001</v>
      </c>
      <c r="M32">
        <f>1+3+2+1+1+1+1+1</f>
        <v>11</v>
      </c>
      <c r="N32" s="3">
        <f>2-1+7-6+3-1+2-1+5-4+6-1+4-3+7-5+7-6</f>
        <v>15</v>
      </c>
      <c r="O32" s="3">
        <f>20+20+70+20+50+220+50+70+20</f>
        <v>540</v>
      </c>
      <c r="P32" s="1">
        <f>N32/9</f>
        <v>1.6666666666666667</v>
      </c>
      <c r="Q32" s="1">
        <f t="shared" si="6"/>
        <v>49.090909090909093</v>
      </c>
      <c r="R32">
        <f>2+1+2+1+1</f>
        <v>7</v>
      </c>
      <c r="S32" s="4">
        <v>20</v>
      </c>
      <c r="T32" s="4" t="s">
        <v>85</v>
      </c>
      <c r="U32" s="4">
        <v>6</v>
      </c>
      <c r="V32" s="4" t="s">
        <v>85</v>
      </c>
      <c r="W32">
        <v>70</v>
      </c>
      <c r="X32" t="s">
        <v>25</v>
      </c>
      <c r="Y32" s="1">
        <f>86.77+105.045+61.308+73.325</f>
        <v>326.44799999999998</v>
      </c>
      <c r="Z32" s="1">
        <v>236.25899999999999</v>
      </c>
      <c r="AA32" s="1">
        <f>4.259+12.626+10.519+5.683+4.081</f>
        <v>37.167999999999999</v>
      </c>
      <c r="AB32" s="1">
        <f t="shared" si="1"/>
        <v>599.875</v>
      </c>
      <c r="AC32">
        <f>1+2+3+2+1</f>
        <v>9</v>
      </c>
      <c r="AD32" s="3">
        <f>7-3+6-2+7-5+4-1+5-1+3-1+7-5+7-4+3-2</f>
        <v>25</v>
      </c>
      <c r="AE32" s="3">
        <f>170+200+70+120+170+70+70+120+50</f>
        <v>1040</v>
      </c>
      <c r="AF32" s="1">
        <f t="shared" si="8"/>
        <v>2.7777777777777777</v>
      </c>
      <c r="AG32" s="1">
        <f t="shared" si="2"/>
        <v>115.55555555555556</v>
      </c>
      <c r="AH32">
        <f>2+1+1</f>
        <v>4</v>
      </c>
      <c r="AI32">
        <f>Y32-I32</f>
        <v>62.115000000000009</v>
      </c>
      <c r="AJ32">
        <f>Z32-J32</f>
        <v>-65.538000000000039</v>
      </c>
      <c r="AK32">
        <f>AA32-K32</f>
        <v>3.4040000000000035</v>
      </c>
      <c r="AL32">
        <f>AD32-N32</f>
        <v>10</v>
      </c>
      <c r="AM32">
        <f>AE32-O32</f>
        <v>500</v>
      </c>
      <c r="AN32" s="1">
        <f>AF32-P32</f>
        <v>1.1111111111111109</v>
      </c>
      <c r="AO32" s="1">
        <f>AG32-Q32</f>
        <v>66.464646464646464</v>
      </c>
      <c r="AP32">
        <f>AC32-M32</f>
        <v>-2</v>
      </c>
      <c r="AQ32">
        <f>AH32-R32</f>
        <v>-3</v>
      </c>
      <c r="AR32">
        <v>40</v>
      </c>
      <c r="AS32">
        <v>40</v>
      </c>
      <c r="AT32">
        <v>40</v>
      </c>
      <c r="AU32">
        <v>0</v>
      </c>
      <c r="AV32">
        <v>0</v>
      </c>
      <c r="AW32">
        <v>1</v>
      </c>
      <c r="AX32">
        <f t="shared" si="3"/>
        <v>1</v>
      </c>
      <c r="AY32">
        <v>0</v>
      </c>
      <c r="AZ32">
        <v>2.879</v>
      </c>
      <c r="BA32">
        <f t="shared" si="4"/>
        <v>2.879</v>
      </c>
    </row>
    <row r="33" spans="1:53" x14ac:dyDescent="0.25">
      <c r="A33" t="s">
        <v>26</v>
      </c>
      <c r="B33" t="s">
        <v>31</v>
      </c>
      <c r="C33" s="2">
        <v>42515</v>
      </c>
      <c r="D33" t="s">
        <v>77</v>
      </c>
      <c r="E33" t="s">
        <v>48</v>
      </c>
      <c r="F33" t="s">
        <v>27</v>
      </c>
      <c r="G33">
        <v>7</v>
      </c>
      <c r="H33" t="s">
        <v>22</v>
      </c>
      <c r="I33" s="1">
        <f>98.558+118.159+65.22+14.147</f>
        <v>296.084</v>
      </c>
      <c r="J33" s="1">
        <v>269.27600000000001</v>
      </c>
      <c r="K33" s="1">
        <f>18.001+6.39+1.073+8.82</f>
        <v>34.284000000000006</v>
      </c>
      <c r="L33" s="1">
        <f t="shared" si="0"/>
        <v>599.64400000000001</v>
      </c>
      <c r="M33">
        <f>2+1+1+1</f>
        <v>5</v>
      </c>
      <c r="N33" s="3">
        <f>4-3+7-6+2-1+3-1+7-4</f>
        <v>8</v>
      </c>
      <c r="O33" s="3">
        <f>50+20+20+70+120</f>
        <v>280</v>
      </c>
      <c r="P33" s="1">
        <f>N33/M33</f>
        <v>1.6</v>
      </c>
      <c r="Q33" s="1">
        <f>O33/M33</f>
        <v>56</v>
      </c>
      <c r="R33">
        <f>1+1</f>
        <v>2</v>
      </c>
      <c r="S33" s="4">
        <v>68</v>
      </c>
      <c r="T33" s="4" t="s">
        <v>85</v>
      </c>
      <c r="U33" s="4">
        <v>5</v>
      </c>
      <c r="V33" s="4" t="s">
        <v>85</v>
      </c>
      <c r="W33">
        <v>26</v>
      </c>
      <c r="X33" t="s">
        <v>22</v>
      </c>
      <c r="Y33" s="1">
        <f>176.759+57.35+46.736+48.612</f>
        <v>329.45699999999999</v>
      </c>
      <c r="Z33" s="1">
        <v>260.572</v>
      </c>
      <c r="AA33" s="1">
        <f>4.48+3.68+1.366</f>
        <v>9.5259999999999998</v>
      </c>
      <c r="AB33" s="1">
        <f t="shared" si="1"/>
        <v>599.55499999999995</v>
      </c>
      <c r="AC33">
        <f>1+2+3</f>
        <v>6</v>
      </c>
      <c r="AD33" s="3">
        <f>6-3+4-3+2-1+2-1+2-1+4-3</f>
        <v>8</v>
      </c>
      <c r="AE33" s="3">
        <f>150+50+20+20+20+50</f>
        <v>310</v>
      </c>
      <c r="AF33" s="1">
        <f t="shared" si="8"/>
        <v>1.3333333333333333</v>
      </c>
      <c r="AG33" s="1">
        <f>AE33/AC33</f>
        <v>51.666666666666664</v>
      </c>
      <c r="AH33">
        <v>0</v>
      </c>
      <c r="AI33">
        <f>Y33-I33</f>
        <v>33.37299999999999</v>
      </c>
      <c r="AJ33">
        <f>Z33-J33</f>
        <v>-8.7040000000000077</v>
      </c>
      <c r="AK33">
        <f>AA33-K33</f>
        <v>-24.758000000000006</v>
      </c>
      <c r="AL33">
        <f>AD33-N33</f>
        <v>0</v>
      </c>
      <c r="AM33">
        <f>AE33-O33</f>
        <v>30</v>
      </c>
      <c r="AN33" s="1">
        <f>AF33-P33</f>
        <v>-0.26666666666666683</v>
      </c>
      <c r="AO33" s="1">
        <f>AG33-Q33</f>
        <v>-4.3333333333333357</v>
      </c>
      <c r="AP33">
        <f>AC33-M33</f>
        <v>1</v>
      </c>
      <c r="AQ33">
        <f>AH33-R33</f>
        <v>-2</v>
      </c>
      <c r="AR33">
        <v>13</v>
      </c>
      <c r="AS33">
        <v>21</v>
      </c>
      <c r="AT33">
        <v>12</v>
      </c>
      <c r="AU33">
        <v>-1</v>
      </c>
      <c r="AV33">
        <v>3</v>
      </c>
      <c r="AW33">
        <v>2</v>
      </c>
      <c r="AX33">
        <f t="shared" si="3"/>
        <v>-1</v>
      </c>
      <c r="AY33">
        <v>15.929</v>
      </c>
      <c r="AZ33">
        <v>4.0720000000000001</v>
      </c>
      <c r="BA33">
        <f t="shared" si="4"/>
        <v>-11.856999999999999</v>
      </c>
    </row>
    <row r="34" spans="1:53" x14ac:dyDescent="0.25">
      <c r="M34">
        <f>AVERAGE(M2:M33)</f>
        <v>4.90625</v>
      </c>
      <c r="N34" s="3">
        <f>AVERAGE(M2:M33,AC2:AC33)</f>
        <v>5.5</v>
      </c>
      <c r="AC34">
        <f>AVERAGE(AC2:AC33)</f>
        <v>6.09375</v>
      </c>
      <c r="AF34" s="3"/>
      <c r="AG34" s="3"/>
      <c r="AR34">
        <f>AVERAGE(AR1:AR33)</f>
        <v>22.34375</v>
      </c>
      <c r="AS34">
        <f>AVERAGE(AS1:AS33)</f>
        <v>18.84375</v>
      </c>
      <c r="AT34">
        <f>AVERAGE(AT1:AT33)</f>
        <v>23.0625</v>
      </c>
    </row>
    <row r="35" spans="1:53" x14ac:dyDescent="0.25">
      <c r="G35" t="s">
        <v>65</v>
      </c>
      <c r="H35" t="s">
        <v>64</v>
      </c>
      <c r="I35" s="1" t="s">
        <v>56</v>
      </c>
      <c r="J35" s="1" t="s">
        <v>57</v>
      </c>
      <c r="K35" s="1" t="s">
        <v>58</v>
      </c>
      <c r="L35" s="1" t="s">
        <v>59</v>
      </c>
      <c r="M35" t="s">
        <v>60</v>
      </c>
      <c r="N35" s="1" t="s">
        <v>61</v>
      </c>
      <c r="O35" s="1"/>
      <c r="P35" s="1" t="s">
        <v>62</v>
      </c>
      <c r="R35" s="1" t="s">
        <v>63</v>
      </c>
    </row>
    <row r="36" spans="1:53" x14ac:dyDescent="0.25">
      <c r="G36">
        <v>3</v>
      </c>
      <c r="H36" t="s">
        <v>22</v>
      </c>
      <c r="I36" s="1">
        <f>39.877+8.815+0+0</f>
        <v>48.692</v>
      </c>
      <c r="J36" s="1">
        <f>113.344</f>
        <v>113.34399999999999</v>
      </c>
      <c r="K36" s="1">
        <f>93.576+44.373</f>
        <v>137.94899999999998</v>
      </c>
      <c r="L36" s="1">
        <f>SUM(I36:K36)</f>
        <v>299.98500000000001</v>
      </c>
      <c r="M36">
        <f>2+2</f>
        <v>4</v>
      </c>
      <c r="N36" s="3">
        <f>2-2+5-2+2-1</f>
        <v>4</v>
      </c>
      <c r="P36" s="1">
        <f>N36/3</f>
        <v>1.3333333333333333</v>
      </c>
      <c r="R36">
        <v>1</v>
      </c>
    </row>
    <row r="37" spans="1:53" x14ac:dyDescent="0.25">
      <c r="G37">
        <v>4</v>
      </c>
      <c r="H37" t="s">
        <v>22</v>
      </c>
    </row>
    <row r="49" spans="3:4" x14ac:dyDescent="0.25">
      <c r="C49" s="2"/>
      <c r="D49" s="2"/>
    </row>
  </sheetData>
  <autoFilter ref="A1:BA37"/>
  <sortState ref="A2:AQ33">
    <sortCondition descending="1" ref="F2:F33"/>
    <sortCondition ref="E2:E33"/>
    <sortCondition ref="A2:A3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Experiment with mobile ferret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2018-06-07T11:36:25Z</dcterms:modified>
</cp:coreProperties>
</file>