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0\OneDrive - CEFAS\MRF impact submission docs\Resubmitted\Supplementary\"/>
    </mc:Choice>
  </mc:AlternateContent>
  <xr:revisionPtr revIDLastSave="7" documentId="11_80BA84A2A968B1ADE54AE6285960069ADD02C458" xr6:coauthVersionLast="32" xr6:coauthVersionMax="32" xr10:uidLastSave="{559DB270-27A1-47E6-8890-0074EA1C87CB}"/>
  <bookViews>
    <workbookView xWindow="0" yWindow="0" windowWidth="28800" windowHeight="12060" xr2:uid="{00000000-000D-0000-FFFF-FFFF00000000}"/>
  </bookViews>
  <sheets>
    <sheet name="trs-22-32" sheetId="2" r:id="rId1"/>
    <sheet name="Recreational trs-22-32" sheetId="6" r:id="rId2"/>
    <sheet name="Commercial trs-22-32" sheetId="9" r:id="rId3"/>
    <sheet name="Discard mortality" sheetId="12" r:id="rId4"/>
    <sheet name="Discard rate" sheetId="13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2" l="1"/>
  <c r="G50" i="2" s="1"/>
  <c r="A11" i="2"/>
  <c r="D11" i="2" s="1"/>
  <c r="F11" i="2"/>
  <c r="F23" i="2"/>
  <c r="B3" i="2"/>
  <c r="J50" i="2"/>
  <c r="C5" i="2"/>
  <c r="A12" i="2"/>
  <c r="A24" i="2" s="1"/>
  <c r="A42" i="2" s="1"/>
  <c r="E42" i="2" s="1"/>
  <c r="G42" i="2" s="1"/>
  <c r="A13" i="2"/>
  <c r="A25" i="2" s="1"/>
  <c r="A43" i="2" s="1"/>
  <c r="E43" i="2" s="1"/>
  <c r="G43" i="2" s="1"/>
  <c r="A14" i="2"/>
  <c r="A26" i="2" s="1"/>
  <c r="A44" i="2" s="1"/>
  <c r="E44" i="2" s="1"/>
  <c r="G44" i="2" s="1"/>
  <c r="A15" i="2"/>
  <c r="A27" i="2" s="1"/>
  <c r="A45" i="2" s="1"/>
  <c r="E45" i="2" s="1"/>
  <c r="G45" i="2" s="1"/>
  <c r="A16" i="2"/>
  <c r="A28" i="2" s="1"/>
  <c r="A46" i="2" s="1"/>
  <c r="E46" i="2" s="1"/>
  <c r="G46" i="2" s="1"/>
  <c r="A17" i="2"/>
  <c r="A29" i="2" s="1"/>
  <c r="A47" i="2" s="1"/>
  <c r="E47" i="2" s="1"/>
  <c r="G47" i="2" s="1"/>
  <c r="A18" i="2"/>
  <c r="A30" i="2" s="1"/>
  <c r="A48" i="2" s="1"/>
  <c r="E48" i="2" s="1"/>
  <c r="G48" i="2" s="1"/>
  <c r="A23" i="2"/>
  <c r="A41" i="2" s="1"/>
  <c r="E41" i="2" s="1"/>
  <c r="G41" i="2" s="1"/>
  <c r="B2" i="2"/>
  <c r="B5" i="2"/>
  <c r="E17" i="2"/>
  <c r="B7" i="2"/>
  <c r="B6" i="2"/>
  <c r="C7" i="2"/>
  <c r="C6" i="2"/>
  <c r="F12" i="2"/>
  <c r="I24" i="2" s="1"/>
  <c r="E16" i="2"/>
  <c r="H13" i="2"/>
  <c r="B13" i="2"/>
  <c r="B17" i="2"/>
  <c r="H12" i="2"/>
  <c r="B11" i="2"/>
  <c r="E11" i="2"/>
  <c r="B15" i="2"/>
  <c r="G11" i="2"/>
  <c r="C18" i="2"/>
  <c r="B30" i="2" s="1"/>
  <c r="C14" i="2"/>
  <c r="B26" i="2" s="1"/>
  <c r="H14" i="2"/>
  <c r="H11" i="2"/>
  <c r="C11" i="2"/>
  <c r="B23" i="2" s="1"/>
  <c r="F18" i="2"/>
  <c r="I30" i="2" s="1"/>
  <c r="F13" i="2"/>
  <c r="I25" i="2" s="1"/>
  <c r="G16" i="2"/>
  <c r="C12" i="2"/>
  <c r="B24" i="2"/>
  <c r="D12" i="2"/>
  <c r="C24" i="2" s="1"/>
  <c r="B42" i="2" s="1"/>
  <c r="B4" i="2"/>
  <c r="F24" i="2"/>
  <c r="F28" i="2"/>
  <c r="F26" i="2"/>
  <c r="F29" i="2"/>
  <c r="F27" i="2"/>
  <c r="F30" i="2"/>
  <c r="D23" i="2"/>
  <c r="D24" i="2"/>
  <c r="D30" i="2"/>
  <c r="D26" i="2"/>
  <c r="D29" i="2"/>
  <c r="D27" i="2"/>
  <c r="D28" i="2"/>
  <c r="D25" i="2"/>
  <c r="F25" i="2"/>
  <c r="G49" i="2" l="1"/>
  <c r="C23" i="2"/>
  <c r="B41" i="2" s="1"/>
  <c r="H23" i="2"/>
  <c r="E27" i="2"/>
  <c r="C45" i="2" s="1"/>
  <c r="E24" i="2"/>
  <c r="C42" i="2" s="1"/>
  <c r="F17" i="2"/>
  <c r="E14" i="2"/>
  <c r="D14" i="2"/>
  <c r="H26" i="2" s="1"/>
  <c r="H18" i="2"/>
  <c r="H15" i="2"/>
  <c r="E15" i="2"/>
  <c r="F16" i="2"/>
  <c r="I28" i="2" s="1"/>
  <c r="C13" i="2"/>
  <c r="B25" i="2" s="1"/>
  <c r="G13" i="2"/>
  <c r="D17" i="2"/>
  <c r="H29" i="2" s="1"/>
  <c r="B16" i="2"/>
  <c r="B14" i="2"/>
  <c r="E23" i="2"/>
  <c r="C41" i="2" s="1"/>
  <c r="C49" i="2" s="1"/>
  <c r="C50" i="2" s="1"/>
  <c r="E12" i="2"/>
  <c r="G12" i="2"/>
  <c r="C16" i="2"/>
  <c r="B28" i="2" s="1"/>
  <c r="D15" i="2"/>
  <c r="G15" i="2"/>
  <c r="G14" i="2"/>
  <c r="D18" i="2"/>
  <c r="H30" i="2" s="1"/>
  <c r="G17" i="2"/>
  <c r="H16" i="2"/>
  <c r="D16" i="2"/>
  <c r="H28" i="2" s="1"/>
  <c r="D13" i="2"/>
  <c r="E18" i="2"/>
  <c r="B18" i="2"/>
  <c r="C15" i="2"/>
  <c r="B27" i="2" s="1"/>
  <c r="G18" i="2"/>
  <c r="F15" i="2"/>
  <c r="I27" i="2" s="1"/>
  <c r="B12" i="2"/>
  <c r="H17" i="2"/>
  <c r="C17" i="2"/>
  <c r="B29" i="2" s="1"/>
  <c r="E13" i="2"/>
  <c r="F14" i="2"/>
  <c r="E49" i="2"/>
  <c r="E25" i="2"/>
  <c r="C43" i="2" s="1"/>
  <c r="C30" i="2"/>
  <c r="B48" i="2" s="1"/>
  <c r="D42" i="2"/>
  <c r="K42" i="2"/>
  <c r="I42" i="2" s="1"/>
  <c r="C26" i="2"/>
  <c r="B44" i="2" s="1"/>
  <c r="D41" i="2"/>
  <c r="H24" i="2"/>
  <c r="E30" i="2"/>
  <c r="C48" i="2" s="1"/>
  <c r="I23" i="2"/>
  <c r="B35" i="2" s="1"/>
  <c r="I26" i="2" l="1"/>
  <c r="E26" i="2"/>
  <c r="C44" i="2" s="1"/>
  <c r="D44" i="2" s="1"/>
  <c r="K44" i="2" s="1"/>
  <c r="I44" i="2" s="1"/>
  <c r="E28" i="2"/>
  <c r="C46" i="2" s="1"/>
  <c r="H27" i="2"/>
  <c r="C27" i="2"/>
  <c r="E29" i="2"/>
  <c r="C47" i="2" s="1"/>
  <c r="I29" i="2"/>
  <c r="D48" i="2"/>
  <c r="K48" i="2" s="1"/>
  <c r="I48" i="2" s="1"/>
  <c r="C29" i="2"/>
  <c r="B47" i="2" s="1"/>
  <c r="H25" i="2"/>
  <c r="C25" i="2"/>
  <c r="B43" i="2" s="1"/>
  <c r="H42" i="2"/>
  <c r="D49" i="2"/>
  <c r="K41" i="2"/>
  <c r="I41" i="2" s="1"/>
  <c r="D47" i="2" l="1"/>
  <c r="K47" i="2" s="1"/>
  <c r="I47" i="2" s="1"/>
  <c r="B45" i="2"/>
  <c r="D45" i="2" s="1"/>
  <c r="K45" i="2" s="1"/>
  <c r="I45" i="2" s="1"/>
  <c r="C28" i="2"/>
  <c r="D43" i="2"/>
  <c r="H44" i="2"/>
  <c r="H41" i="2"/>
  <c r="D50" i="2"/>
  <c r="K49" i="2"/>
  <c r="I49" i="2" s="1"/>
  <c r="H48" i="2"/>
  <c r="H47" i="2" l="1"/>
  <c r="B49" i="2"/>
  <c r="B50" i="2" s="1"/>
  <c r="H45" i="2"/>
  <c r="K43" i="2"/>
  <c r="I43" i="2" s="1"/>
  <c r="B46" i="2"/>
  <c r="D46" i="2" s="1"/>
  <c r="A35" i="2"/>
  <c r="C35" i="2"/>
  <c r="K50" i="2"/>
  <c r="I50" i="2" s="1"/>
  <c r="H49" i="2"/>
  <c r="K46" i="2" l="1"/>
  <c r="I46" i="2" s="1"/>
  <c r="H46" i="2"/>
  <c r="H43" i="2"/>
  <c r="H50" i="2"/>
</calcChain>
</file>

<file path=xl/sharedStrings.xml><?xml version="1.0" encoding="utf-8"?>
<sst xmlns="http://schemas.openxmlformats.org/spreadsheetml/2006/main" count="164" uniqueCount="66">
  <si>
    <t>Average Retained weight</t>
  </si>
  <si>
    <t>Average released Weight</t>
  </si>
  <si>
    <t>Average Release Probability (#)</t>
  </si>
  <si>
    <t>Commercial discard rate</t>
  </si>
  <si>
    <t>Recreational Discard Mortality</t>
  </si>
  <si>
    <t>Commercial Discard Mortality</t>
  </si>
  <si>
    <t>None</t>
  </si>
  <si>
    <t>% of total weight reconstructed</t>
  </si>
  <si>
    <t>Retained weight</t>
  </si>
  <si>
    <t>Released weight</t>
  </si>
  <si>
    <t>Total weight</t>
  </si>
  <si>
    <t>Discard mortality</t>
  </si>
  <si>
    <t>Summary with post release mortalities</t>
  </si>
  <si>
    <t>Total</t>
  </si>
  <si>
    <t>Parameters</t>
  </si>
  <si>
    <t>Value</t>
  </si>
  <si>
    <t>Source</t>
  </si>
  <si>
    <t>Init data</t>
  </si>
  <si>
    <t>Country</t>
  </si>
  <si>
    <t>Year</t>
  </si>
  <si>
    <t>Angler Numbers</t>
  </si>
  <si>
    <t>Retained Number</t>
  </si>
  <si>
    <t>Released Number</t>
  </si>
  <si>
    <t>Source/notes</t>
  </si>
  <si>
    <t>Reconstruction</t>
  </si>
  <si>
    <t>Calculations</t>
  </si>
  <si>
    <t>Angler numbers</t>
  </si>
  <si>
    <t>Notes</t>
  </si>
  <si>
    <t>Reconstructed retained?</t>
  </si>
  <si>
    <t>Reconstructed released?</t>
  </si>
  <si>
    <t>Retained Wt</t>
  </si>
  <si>
    <t>Retained # calculation</t>
  </si>
  <si>
    <t>Released # calculation</t>
  </si>
  <si>
    <t>DE</t>
  </si>
  <si>
    <t>LA</t>
  </si>
  <si>
    <t>Released Weight</t>
  </si>
  <si>
    <t>Recreational</t>
  </si>
  <si>
    <t>Commercial</t>
  </si>
  <si>
    <t>% of catch</t>
  </si>
  <si>
    <t>Kept</t>
  </si>
  <si>
    <t>Released mortality</t>
  </si>
  <si>
    <t>Removal</t>
  </si>
  <si>
    <t>Landings</t>
  </si>
  <si>
    <t>Total removal</t>
  </si>
  <si>
    <t>NA</t>
  </si>
  <si>
    <t>ICES WGBAST 2017</t>
  </si>
  <si>
    <t>2012 landings</t>
  </si>
  <si>
    <t>Total (ICES)</t>
  </si>
  <si>
    <t>Anglers</t>
  </si>
  <si>
    <t>Kept Wt.</t>
  </si>
  <si>
    <t>Kept #</t>
  </si>
  <si>
    <t>Released Wt.</t>
  </si>
  <si>
    <t>Released #</t>
  </si>
  <si>
    <t>Denmark</t>
  </si>
  <si>
    <t>395.7</t>
  </si>
  <si>
    <t>Estonia</t>
  </si>
  <si>
    <t>7.2</t>
  </si>
  <si>
    <t>Finland</t>
  </si>
  <si>
    <t>Germany</t>
  </si>
  <si>
    <t>Latvia</t>
  </si>
  <si>
    <t>Lithuania</t>
  </si>
  <si>
    <t>Poland</t>
  </si>
  <si>
    <t>Sweden</t>
  </si>
  <si>
    <t>Precautionary value due to lack of data</t>
  </si>
  <si>
    <t>trt-bal</t>
  </si>
  <si>
    <t>WGBAST (2017)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</si>
</sst>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  <xf numFmtId="10" fontId="0" fillId="0" borderId="0" xfId="0" applyNumberFormat="1"/>
    <xf numFmtId="0" fontId="2" fillId="3" borderId="0" xfId="0" applyFont="1" applyFill="1"/>
    <xf numFmtId="10" fontId="2" fillId="3" borderId="0" xfId="0" applyNumberFormat="1" applyFont="1" applyFill="1"/>
    <xf numFmtId="0" fontId="3" fillId="2" borderId="0" xfId="1" applyFont="1"/>
    <xf numFmtId="10" fontId="3" fillId="2" borderId="0" xfId="1" applyNumberFormat="1" applyFont="1"/>
    <xf numFmtId="0" fontId="0" fillId="0" borderId="0" xfId="0" applyFont="1"/>
    <xf numFmtId="0" fontId="0" fillId="0" borderId="0" xfId="0" applyFont="1" applyAlignment="1">
      <alignment vertical="center"/>
    </xf>
    <xf numFmtId="0" fontId="3" fillId="2" borderId="0" xfId="1" applyFont="1" applyAlignment="1">
      <alignment vertic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L50"/>
  <sheetViews>
    <sheetView tabSelected="1" zoomScale="75" zoomScaleNormal="75" workbookViewId="0">
      <selection activeCell="C5" sqref="C5"/>
    </sheetView>
  </sheetViews>
  <sheetFormatPr defaultColWidth="9.140625" defaultRowHeight="15" x14ac:dyDescent="0.25"/>
  <cols>
    <col min="1" max="1" width="29.28515625" bestFit="1" customWidth="1"/>
    <col min="2" max="2" width="16.140625" bestFit="1" customWidth="1"/>
    <col min="3" max="3" width="36.85546875" bestFit="1" customWidth="1"/>
    <col min="4" max="5" width="16.85546875" bestFit="1" customWidth="1"/>
    <col min="6" max="6" width="17" bestFit="1" customWidth="1"/>
    <col min="8" max="8" width="24.5703125" customWidth="1"/>
    <col min="9" max="9" width="23.28515625" bestFit="1" customWidth="1"/>
    <col min="10" max="10" width="21.140625" bestFit="1" customWidth="1"/>
    <col min="11" max="11" width="20.7109375" bestFit="1" customWidth="1"/>
    <col min="12" max="12" width="20.85546875" bestFit="1" customWidth="1"/>
  </cols>
  <sheetData>
    <row r="1" spans="1:8" x14ac:dyDescent="0.25">
      <c r="A1" t="s">
        <v>14</v>
      </c>
      <c r="B1" t="s">
        <v>15</v>
      </c>
      <c r="C1" t="s">
        <v>16</v>
      </c>
    </row>
    <row r="2" spans="1:8" x14ac:dyDescent="0.25">
      <c r="A2" t="s">
        <v>0</v>
      </c>
      <c r="B2" s="2" t="e">
        <f>(SUMIFS('Recreational trs-22-32'!D2:D14,'Recreational trs-22-32'!D2:D14,"&lt;&gt;NA",'Recreational trs-22-32'!E2:E14,"&lt;&gt;NA")/SUMIFS('Recreational trs-22-32'!E2:E14,'Recreational trs-22-32'!E2:E14,"&lt;&gt;NA",'Recreational trs-22-32'!D2:D14,"&lt;&gt;NA"))*1000</f>
        <v>#DIV/0!</v>
      </c>
    </row>
    <row r="3" spans="1:8" x14ac:dyDescent="0.25">
      <c r="A3" t="s">
        <v>1</v>
      </c>
      <c r="B3" s="2" t="e">
        <f>(SUMIFS('Recreational trs-22-32'!F2:F14,'Recreational trs-22-32'!F2:F14,"&lt;&gt;NA",'Recreational trs-22-32'!G2:G14,"&lt;&gt;NA")/SUMIFS('Recreational trs-22-32'!G2:G14,'Recreational trs-22-32'!G2:G14,"&lt;&gt;NA",'Recreational trs-22-32'!F2:F14,"&lt;&gt;NA"))*1000</f>
        <v>#DIV/0!</v>
      </c>
    </row>
    <row r="4" spans="1:8" x14ac:dyDescent="0.25">
      <c r="A4" t="s">
        <v>2</v>
      </c>
      <c r="B4" s="2" t="e">
        <f>SUMIFS('Recreational trs-22-32'!F2:F14,'Recreational trs-22-32'!F2:F14,"&lt;&gt;NA",'Recreational trs-22-32'!D2:D14,"&lt;&gt;NA")/SUMIFS('Recreational trs-22-32'!D2:D14,'Recreational trs-22-32'!F2:F14,"&lt;&gt;NA",'Recreational trs-22-32'!D2:D14,"&lt;&gt;NA")</f>
        <v>#DIV/0!</v>
      </c>
    </row>
    <row r="5" spans="1:8" x14ac:dyDescent="0.25">
      <c r="A5" t="s">
        <v>3</v>
      </c>
      <c r="B5" s="2" t="str">
        <f>'Discard rate'!A2</f>
        <v>NA</v>
      </c>
      <c r="C5" s="2" t="str">
        <f>'Discard rate'!B2</f>
        <v>WGBAST (2017)</v>
      </c>
    </row>
    <row r="6" spans="1:8" x14ac:dyDescent="0.25">
      <c r="A6" t="s">
        <v>4</v>
      </c>
      <c r="B6" s="2">
        <f>'Discard mortality'!A2</f>
        <v>1</v>
      </c>
      <c r="C6" s="2" t="str">
        <f>'Discard mortality'!B2</f>
        <v>Precautionary value due to lack of data</v>
      </c>
    </row>
    <row r="7" spans="1:8" x14ac:dyDescent="0.25">
      <c r="A7" t="s">
        <v>5</v>
      </c>
      <c r="B7" s="2">
        <f>'Discard mortality'!C2</f>
        <v>1</v>
      </c>
      <c r="C7" s="2" t="str">
        <f>'Discard mortality'!D2</f>
        <v>Precautionary value due to lack of data</v>
      </c>
    </row>
    <row r="9" spans="1:8" x14ac:dyDescent="0.25">
      <c r="A9" s="16" t="s">
        <v>17</v>
      </c>
      <c r="B9" s="16"/>
      <c r="C9" s="16"/>
      <c r="D9" s="16"/>
      <c r="E9" s="16"/>
      <c r="F9" s="16"/>
      <c r="G9" s="16"/>
      <c r="H9" s="16"/>
    </row>
    <row r="10" spans="1:8" x14ac:dyDescent="0.25">
      <c r="A10" t="s">
        <v>18</v>
      </c>
      <c r="B10" t="s">
        <v>19</v>
      </c>
      <c r="C10" t="s">
        <v>20</v>
      </c>
      <c r="D10" t="s">
        <v>8</v>
      </c>
      <c r="E10" t="s">
        <v>21</v>
      </c>
      <c r="F10" t="s">
        <v>9</v>
      </c>
      <c r="G10" t="s">
        <v>22</v>
      </c>
      <c r="H10" t="s">
        <v>23</v>
      </c>
    </row>
    <row r="11" spans="1:8" x14ac:dyDescent="0.25">
      <c r="A11" t="str">
        <f>'Recreational trs-22-32'!A2</f>
        <v>Denmark</v>
      </c>
      <c r="B11">
        <f>VLOOKUP($A11,'Recreational trs-22-32'!$A$1:$H$9,2,FALSE)</f>
        <v>2015</v>
      </c>
      <c r="C11">
        <f>VLOOKUP($A11,'Recreational trs-22-32'!$A$1:$H$9,3,FALSE)</f>
        <v>386000</v>
      </c>
      <c r="D11" t="str">
        <f>VLOOKUP($A11,'Recreational trs-22-32'!$A$1:$H$9,4,FALSE)</f>
        <v>395.7</v>
      </c>
      <c r="E11" t="str">
        <f>VLOOKUP($A11,'Recreational trs-22-32'!$A$1:$H$9,5,FALSE)</f>
        <v>NA</v>
      </c>
      <c r="F11" t="str">
        <f>VLOOKUP($A11,'Recreational trs-22-32'!$A$1:$H$9,6,FALSE)</f>
        <v>NA</v>
      </c>
      <c r="G11" t="str">
        <f>VLOOKUP($A11,'Recreational trs-22-32'!$A$1:$H$9,7,FALSE)</f>
        <v>NA</v>
      </c>
      <c r="H11" t="str">
        <f>VLOOKUP($A11,'Recreational trs-22-32'!$A$1:$H$9,8,FALSE)</f>
        <v>WGBAST (2017)</v>
      </c>
    </row>
    <row r="12" spans="1:8" x14ac:dyDescent="0.25">
      <c r="A12" t="str">
        <f>'Recreational trs-22-32'!A3</f>
        <v>Estonia</v>
      </c>
      <c r="B12">
        <f>VLOOKUP(A12,'Recreational trs-22-32'!$A$1:$H$9,2,FALSE)</f>
        <v>2016</v>
      </c>
      <c r="C12">
        <f>VLOOKUP($A12,'Recreational trs-22-32'!$A$1:$H$9,3,FALSE)</f>
        <v>20000</v>
      </c>
      <c r="D12" t="str">
        <f>VLOOKUP($A12,'Recreational trs-22-32'!$A$1:$H$9,4,FALSE)</f>
        <v>7.2</v>
      </c>
      <c r="E12" t="str">
        <f>VLOOKUP($A12,'Recreational trs-22-32'!$A$1:$H$9,5,FALSE)</f>
        <v>NA</v>
      </c>
      <c r="F12" t="str">
        <f>VLOOKUP($A12,'Recreational trs-22-32'!$A$1:$H$9,6,FALSE)</f>
        <v>NA</v>
      </c>
      <c r="G12" t="str">
        <f>VLOOKUP($A12,'Recreational trs-22-32'!$A$1:$H$9,7,FALSE)</f>
        <v>NA</v>
      </c>
      <c r="H12" t="str">
        <f>VLOOKUP($A12,'Recreational trs-22-32'!$A$1:$H$9,8,FALSE)</f>
        <v>WGBAST (2017)</v>
      </c>
    </row>
    <row r="13" spans="1:8" x14ac:dyDescent="0.25">
      <c r="A13" t="str">
        <f>'Recreational trs-22-32'!A4</f>
        <v>Finland</v>
      </c>
      <c r="B13">
        <f>VLOOKUP(A13,'Recreational trs-22-32'!$A$1:$H$9,2,FALSE)</f>
        <v>2016</v>
      </c>
      <c r="C13">
        <f>VLOOKUP($A13,'Recreational trs-22-32'!$A$1:$H$9,3,FALSE)</f>
        <v>300000</v>
      </c>
      <c r="D13">
        <f>VLOOKUP($A13,'Recreational trs-22-32'!$A$1:$H$9,4,FALSE)</f>
        <v>71</v>
      </c>
      <c r="E13" t="str">
        <f>VLOOKUP($A13,'Recreational trs-22-32'!$A$1:$H$9,5,FALSE)</f>
        <v>NA</v>
      </c>
      <c r="F13" t="str">
        <f>VLOOKUP($A13,'Recreational trs-22-32'!$A$1:$H$9,6,FALSE)</f>
        <v>NA</v>
      </c>
      <c r="G13" t="str">
        <f>VLOOKUP($A13,'Recreational trs-22-32'!$A$1:$H$9,7,FALSE)</f>
        <v>NA</v>
      </c>
      <c r="H13" t="str">
        <f>VLOOKUP($A13,'Recreational trs-22-32'!$A$1:$H$9,8,FALSE)</f>
        <v>WGBAST (2017)</v>
      </c>
    </row>
    <row r="14" spans="1:8" x14ac:dyDescent="0.25">
      <c r="A14" t="str">
        <f>'Recreational trs-22-32'!A5</f>
        <v>Germany</v>
      </c>
      <c r="B14">
        <f>VLOOKUP(A14,'Recreational trs-22-32'!$A$1:$H$9,2,FALSE)</f>
        <v>2016</v>
      </c>
      <c r="C14">
        <f>VLOOKUP($A14,'Recreational trs-22-32'!$A$1:$H$9,3,FALSE)</f>
        <v>163000</v>
      </c>
      <c r="D14" t="str">
        <f>VLOOKUP($A14,'Recreational trs-22-32'!$A$1:$H$9,4,FALSE)</f>
        <v>NA</v>
      </c>
      <c r="E14" t="str">
        <f>VLOOKUP($A14,'Recreational trs-22-32'!$A$1:$H$9,5,FALSE)</f>
        <v>NA</v>
      </c>
      <c r="F14" t="str">
        <f>VLOOKUP($A14,'Recreational trs-22-32'!$A$1:$H$9,6,FALSE)</f>
        <v>NA</v>
      </c>
      <c r="G14" t="str">
        <f>VLOOKUP($A14,'Recreational trs-22-32'!$A$1:$H$9,7,FALSE)</f>
        <v>NA</v>
      </c>
      <c r="H14" t="str">
        <f>VLOOKUP($A14,'Recreational trs-22-32'!$A$1:$H$9,8,FALSE)</f>
        <v>WGBAST (2017)</v>
      </c>
    </row>
    <row r="15" spans="1:8" x14ac:dyDescent="0.25">
      <c r="A15" t="str">
        <f>'Recreational trs-22-32'!A6</f>
        <v>Latvia</v>
      </c>
      <c r="B15">
        <f>VLOOKUP(A15,'Recreational trs-22-32'!$A$1:$H$9,2,FALSE)</f>
        <v>2016</v>
      </c>
      <c r="C15">
        <f>VLOOKUP($A15,'Recreational trs-22-32'!$A$1:$H$9,3,FALSE)</f>
        <v>41000</v>
      </c>
      <c r="D15">
        <f>VLOOKUP($A15,'Recreational trs-22-32'!$A$1:$H$9,4,FALSE)</f>
        <v>5</v>
      </c>
      <c r="E15" t="str">
        <f>VLOOKUP($A15,'Recreational trs-22-32'!$A$1:$H$9,5,FALSE)</f>
        <v>NA</v>
      </c>
      <c r="F15" t="str">
        <f>VLOOKUP($A15,'Recreational trs-22-32'!$A$1:$H$9,6,FALSE)</f>
        <v>NA</v>
      </c>
      <c r="G15" t="str">
        <f>VLOOKUP($A15,'Recreational trs-22-32'!$A$1:$H$9,7,FALSE)</f>
        <v>NA</v>
      </c>
      <c r="H15" t="str">
        <f>VLOOKUP($A15,'Recreational trs-22-32'!$A$1:$H$9,8,FALSE)</f>
        <v>WGBAST (2017)</v>
      </c>
    </row>
    <row r="16" spans="1:8" x14ac:dyDescent="0.25">
      <c r="A16" t="str">
        <f>'Recreational trs-22-32'!A7</f>
        <v>Lithuania</v>
      </c>
      <c r="B16">
        <f>VLOOKUP(A16,'Recreational trs-22-32'!$A$1:$H$9,2,FALSE)</f>
        <v>2016</v>
      </c>
      <c r="C16">
        <f>VLOOKUP($A16,'Recreational trs-22-32'!$A$1:$H$9,3,FALSE)</f>
        <v>60000</v>
      </c>
      <c r="D16" t="str">
        <f>VLOOKUP($A16,'Recreational trs-22-32'!$A$1:$H$9,4,FALSE)</f>
        <v>NA</v>
      </c>
      <c r="E16" t="str">
        <f>VLOOKUP($A16,'Recreational trs-22-32'!$A$1:$H$9,5,FALSE)</f>
        <v>NA</v>
      </c>
      <c r="F16" t="str">
        <f>VLOOKUP($A16,'Recreational trs-22-32'!$A$1:$H$9,6,FALSE)</f>
        <v>NA</v>
      </c>
      <c r="G16" t="str">
        <f>VLOOKUP($A16,'Recreational trs-22-32'!$A$1:$H$9,7,FALSE)</f>
        <v>NA</v>
      </c>
      <c r="H16" t="str">
        <f>VLOOKUP($A16,'Recreational trs-22-32'!$A$1:$H$9,8,FALSE)</f>
        <v>WGBAST (2017)</v>
      </c>
    </row>
    <row r="17" spans="1:12" x14ac:dyDescent="0.25">
      <c r="A17" t="str">
        <f>'Recreational trs-22-32'!A8</f>
        <v>Poland</v>
      </c>
      <c r="B17">
        <f>VLOOKUP(A17,'Recreational trs-22-32'!$A$1:$H$9,2,FALSE)</f>
        <v>2016</v>
      </c>
      <c r="C17">
        <f>VLOOKUP($A17,'Recreational trs-22-32'!$A$1:$H$9,3,FALSE)</f>
        <v>82000</v>
      </c>
      <c r="D17" t="str">
        <f>VLOOKUP($A17,'Recreational trs-22-32'!$A$1:$H$9,4,FALSE)</f>
        <v>NA</v>
      </c>
      <c r="E17" t="str">
        <f>VLOOKUP($A17,'Recreational trs-22-32'!$A$1:$H$9,5,FALSE)</f>
        <v>NA</v>
      </c>
      <c r="F17" t="str">
        <f>VLOOKUP($A17,'Recreational trs-22-32'!$A$1:$H$9,6,FALSE)</f>
        <v>NA</v>
      </c>
      <c r="G17" t="str">
        <f>VLOOKUP($A17,'Recreational trs-22-32'!$A$1:$H$9,7,FALSE)</f>
        <v>NA</v>
      </c>
      <c r="H17" t="str">
        <f>VLOOKUP($A17,'Recreational trs-22-32'!$A$1:$H$9,8,FALSE)</f>
        <v>WGBAST (2017)</v>
      </c>
    </row>
    <row r="18" spans="1:12" x14ac:dyDescent="0.25">
      <c r="A18" t="str">
        <f>'Recreational trs-22-32'!A9</f>
        <v>Sweden</v>
      </c>
      <c r="B18">
        <f>VLOOKUP(A18,'Recreational trs-22-32'!$A$1:$H$9,2,FALSE)</f>
        <v>2016</v>
      </c>
      <c r="C18">
        <f>VLOOKUP($A18,'Recreational trs-22-32'!$A$1:$H$9,3,FALSE)</f>
        <v>565634</v>
      </c>
      <c r="D18" t="str">
        <f>VLOOKUP($A18,'Recreational trs-22-32'!$A$1:$H$9,4,FALSE)</f>
        <v>NA</v>
      </c>
      <c r="E18" t="str">
        <f>VLOOKUP($A18,'Recreational trs-22-32'!$A$1:$H$9,5,FALSE)</f>
        <v>NA</v>
      </c>
      <c r="F18" t="str">
        <f>VLOOKUP($A18,'Recreational trs-22-32'!$A$1:$H$9,6,FALSE)</f>
        <v>NA</v>
      </c>
      <c r="G18" t="str">
        <f>VLOOKUP($A18,'Recreational trs-22-32'!$A$1:$H$9,7,FALSE)</f>
        <v>NA</v>
      </c>
      <c r="H18" t="str">
        <f>VLOOKUP($A18,'Recreational trs-22-32'!$A$1:$H$9,8,FALSE)</f>
        <v>WGBAST (2017)</v>
      </c>
    </row>
    <row r="21" spans="1:12" x14ac:dyDescent="0.25">
      <c r="A21" s="16" t="s">
        <v>24</v>
      </c>
      <c r="B21" s="16"/>
      <c r="C21" s="16"/>
      <c r="D21" s="16"/>
      <c r="E21" s="16"/>
      <c r="F21" s="16"/>
      <c r="G21" s="16"/>
      <c r="H21" s="16"/>
      <c r="I21" s="16"/>
      <c r="J21" s="16" t="s">
        <v>25</v>
      </c>
      <c r="K21" s="16"/>
      <c r="L21" s="16"/>
    </row>
    <row r="22" spans="1:12" x14ac:dyDescent="0.25">
      <c r="A22" t="s">
        <v>18</v>
      </c>
      <c r="B22" t="s">
        <v>26</v>
      </c>
      <c r="C22" t="s">
        <v>8</v>
      </c>
      <c r="D22" t="s">
        <v>21</v>
      </c>
      <c r="E22" t="s">
        <v>9</v>
      </c>
      <c r="F22" t="s">
        <v>22</v>
      </c>
      <c r="G22" t="s">
        <v>27</v>
      </c>
      <c r="H22" t="s">
        <v>28</v>
      </c>
      <c r="I22" t="s">
        <v>29</v>
      </c>
      <c r="J22" t="s">
        <v>30</v>
      </c>
      <c r="K22" t="s">
        <v>31</v>
      </c>
      <c r="L22" t="s">
        <v>32</v>
      </c>
    </row>
    <row r="23" spans="1:12" x14ac:dyDescent="0.25">
      <c r="A23" t="str">
        <f>A11</f>
        <v>Denmark</v>
      </c>
      <c r="B23">
        <f>C11</f>
        <v>386000</v>
      </c>
      <c r="C23" t="str">
        <f>IF(J23 = "DE", B23/$B$23*$C$23, IF(J23 = "LA", B23/$B$27*$C$27,IF(J23 = "None", D11, "Help")))</f>
        <v>395.7</v>
      </c>
      <c r="D23" t="e">
        <f>ROUND(IF(K23 = "EN",B23/$C$12*$E$12, IF(K23 = "Avg", C23/($B$2/1000),IF(K23 = "None", E11, "help"))),0)</f>
        <v>#VALUE!</v>
      </c>
      <c r="E23" t="e">
        <f>ROUND(IF(F11 = "NA", F23*($B$3/1000), F11),2)</f>
        <v>#VALUE!</v>
      </c>
      <c r="F23" t="e">
        <f>ROUND(IF(L23 = "EN", B23/$C$12*$G$12, IF(L23 = "Prop", D23*$B$4, IF(L23 = "None", G11, "help"))),0)</f>
        <v>#VALUE!</v>
      </c>
      <c r="H23" t="str">
        <f>IF(D11 = "NA", "Y","N")</f>
        <v>N</v>
      </c>
      <c r="I23" t="str">
        <f>IF(F11 = "NA", "Y","N")</f>
        <v>Y</v>
      </c>
      <c r="J23" t="s">
        <v>6</v>
      </c>
    </row>
    <row r="24" spans="1:12" x14ac:dyDescent="0.25">
      <c r="A24" t="str">
        <f t="shared" ref="A24:A29" si="0">A12</f>
        <v>Estonia</v>
      </c>
      <c r="B24">
        <f t="shared" ref="B24:B30" si="1">C12</f>
        <v>20000</v>
      </c>
      <c r="C24" t="str">
        <f t="shared" ref="C24:C30" si="2">IF(J24 = "DE", B24/$B$23*$C$23, IF(J24 = "LA", B24/$B$27*$C$27,IF(J24 = "None", D12, "Help")))</f>
        <v>7.2</v>
      </c>
      <c r="D24" t="e">
        <f t="shared" ref="D24:D30" si="3">ROUND(IF(K24 = "EN",B24/$C$12*$E$12, IF(K24 = "Avg", C24/($B$2/1000),IF(K24 = "None", E12, "help"))),0)</f>
        <v>#VALUE!</v>
      </c>
      <c r="E24" t="e">
        <f t="shared" ref="E24:E30" si="4">ROUND(IF(F12 = "NA", F24*($B$3/1000), F12),2)</f>
        <v>#VALUE!</v>
      </c>
      <c r="F24" t="e">
        <f t="shared" ref="F24:F30" si="5">ROUND(IF(L24 = "EN", B24/$C$12*$G$12, IF(L24 = "Prop", D24*$B$4, IF(L24 = "None", G12, "help"))),0)</f>
        <v>#VALUE!</v>
      </c>
      <c r="H24" t="str">
        <f t="shared" ref="H24:H30" si="6">IF(D12 = "NA", "Y","N")</f>
        <v>N</v>
      </c>
      <c r="I24" t="str">
        <f t="shared" ref="I24:I30" si="7">IF(F12 = "NA", "Y","N")</f>
        <v>Y</v>
      </c>
      <c r="J24" t="s">
        <v>6</v>
      </c>
    </row>
    <row r="25" spans="1:12" x14ac:dyDescent="0.25">
      <c r="A25" t="str">
        <f t="shared" si="0"/>
        <v>Finland</v>
      </c>
      <c r="B25">
        <f t="shared" si="1"/>
        <v>300000</v>
      </c>
      <c r="C25">
        <f t="shared" si="2"/>
        <v>71</v>
      </c>
      <c r="D25" t="e">
        <f t="shared" si="3"/>
        <v>#VALUE!</v>
      </c>
      <c r="E25" t="e">
        <f t="shared" si="4"/>
        <v>#VALUE!</v>
      </c>
      <c r="F25" t="e">
        <f>ROUND(IF(L25 = "EN", B25/$C$12*$G$12, IF(L25 = "Prop", D25*$B$4, IF(L25 = "None", G13, "help"))),0)</f>
        <v>#VALUE!</v>
      </c>
      <c r="H25" t="str">
        <f t="shared" si="6"/>
        <v>N</v>
      </c>
      <c r="I25" t="str">
        <f t="shared" si="7"/>
        <v>Y</v>
      </c>
      <c r="J25" t="s">
        <v>6</v>
      </c>
    </row>
    <row r="26" spans="1:12" x14ac:dyDescent="0.25">
      <c r="A26" t="str">
        <f t="shared" si="0"/>
        <v>Germany</v>
      </c>
      <c r="B26">
        <f t="shared" si="1"/>
        <v>163000</v>
      </c>
      <c r="C26">
        <f t="shared" si="2"/>
        <v>167.0961139896373</v>
      </c>
      <c r="D26" t="e">
        <f t="shared" si="3"/>
        <v>#VALUE!</v>
      </c>
      <c r="E26" t="e">
        <f t="shared" si="4"/>
        <v>#VALUE!</v>
      </c>
      <c r="F26" t="e">
        <f t="shared" si="5"/>
        <v>#VALUE!</v>
      </c>
      <c r="H26" t="str">
        <f t="shared" si="6"/>
        <v>Y</v>
      </c>
      <c r="I26" t="str">
        <f t="shared" si="7"/>
        <v>Y</v>
      </c>
      <c r="J26" t="s">
        <v>33</v>
      </c>
    </row>
    <row r="27" spans="1:12" x14ac:dyDescent="0.25">
      <c r="A27" t="str">
        <f t="shared" si="0"/>
        <v>Latvia</v>
      </c>
      <c r="B27">
        <f t="shared" si="1"/>
        <v>41000</v>
      </c>
      <c r="C27">
        <f t="shared" si="2"/>
        <v>5</v>
      </c>
      <c r="D27" t="e">
        <f t="shared" si="3"/>
        <v>#VALUE!</v>
      </c>
      <c r="E27" t="e">
        <f t="shared" si="4"/>
        <v>#VALUE!</v>
      </c>
      <c r="F27" t="e">
        <f t="shared" si="5"/>
        <v>#VALUE!</v>
      </c>
      <c r="H27" t="str">
        <f t="shared" si="6"/>
        <v>N</v>
      </c>
      <c r="I27" t="str">
        <f t="shared" si="7"/>
        <v>Y</v>
      </c>
      <c r="J27" t="s">
        <v>6</v>
      </c>
    </row>
    <row r="28" spans="1:12" x14ac:dyDescent="0.25">
      <c r="A28" t="str">
        <f t="shared" si="0"/>
        <v>Lithuania</v>
      </c>
      <c r="B28">
        <f t="shared" si="1"/>
        <v>60000</v>
      </c>
      <c r="C28">
        <f t="shared" si="2"/>
        <v>7.3170731707317067</v>
      </c>
      <c r="D28" t="e">
        <f t="shared" si="3"/>
        <v>#VALUE!</v>
      </c>
      <c r="E28" t="e">
        <f t="shared" si="4"/>
        <v>#VALUE!</v>
      </c>
      <c r="F28" t="e">
        <f t="shared" si="5"/>
        <v>#VALUE!</v>
      </c>
      <c r="H28" t="str">
        <f t="shared" si="6"/>
        <v>Y</v>
      </c>
      <c r="I28" t="str">
        <f t="shared" si="7"/>
        <v>Y</v>
      </c>
      <c r="J28" t="s">
        <v>34</v>
      </c>
    </row>
    <row r="29" spans="1:12" x14ac:dyDescent="0.25">
      <c r="A29" t="str">
        <f t="shared" si="0"/>
        <v>Poland</v>
      </c>
      <c r="B29">
        <f t="shared" si="1"/>
        <v>82000</v>
      </c>
      <c r="C29">
        <f t="shared" si="2"/>
        <v>84.060621761658027</v>
      </c>
      <c r="D29" t="e">
        <f t="shared" si="3"/>
        <v>#VALUE!</v>
      </c>
      <c r="E29" t="e">
        <f t="shared" si="4"/>
        <v>#VALUE!</v>
      </c>
      <c r="F29" t="e">
        <f t="shared" si="5"/>
        <v>#VALUE!</v>
      </c>
      <c r="H29" t="str">
        <f t="shared" si="6"/>
        <v>Y</v>
      </c>
      <c r="I29" t="str">
        <f t="shared" si="7"/>
        <v>Y</v>
      </c>
      <c r="J29" t="s">
        <v>33</v>
      </c>
    </row>
    <row r="30" spans="1:12" x14ac:dyDescent="0.25">
      <c r="A30" t="str">
        <f>A18</f>
        <v>Sweden</v>
      </c>
      <c r="B30">
        <f t="shared" si="1"/>
        <v>565634</v>
      </c>
      <c r="C30">
        <f t="shared" si="2"/>
        <v>579.84811865284973</v>
      </c>
      <c r="D30" t="e">
        <f t="shared" si="3"/>
        <v>#VALUE!</v>
      </c>
      <c r="E30" t="e">
        <f t="shared" si="4"/>
        <v>#VALUE!</v>
      </c>
      <c r="F30" t="e">
        <f t="shared" si="5"/>
        <v>#VALUE!</v>
      </c>
      <c r="H30" t="str">
        <f t="shared" si="6"/>
        <v>Y</v>
      </c>
      <c r="I30" t="str">
        <f t="shared" si="7"/>
        <v>Y</v>
      </c>
      <c r="J30" t="s">
        <v>33</v>
      </c>
    </row>
    <row r="33" spans="1:11" x14ac:dyDescent="0.25">
      <c r="A33" s="16" t="s">
        <v>7</v>
      </c>
      <c r="B33" s="16"/>
      <c r="C33" s="16"/>
    </row>
    <row r="34" spans="1:11" x14ac:dyDescent="0.25">
      <c r="A34" t="s">
        <v>8</v>
      </c>
      <c r="B34" t="s">
        <v>35</v>
      </c>
      <c r="C34" t="s">
        <v>10</v>
      </c>
    </row>
    <row r="35" spans="1:11" x14ac:dyDescent="0.25">
      <c r="A35" s="3">
        <f>SUMIF(H23:H30,"&lt;&gt;N",C23:C30)/SUM(C23:C30)</f>
        <v>0.91687829230828977</v>
      </c>
      <c r="B35" s="3" t="e">
        <f>SUMIF(I23:I30,"&lt;&gt;N",E23:E30)/SUM(E23:E30)</f>
        <v>#VALUE!</v>
      </c>
      <c r="C35" s="3" t="e">
        <f>(SUMIF(H23:H30,"&lt;&gt;N",C23:C30)+SUMIF(I23:I30,"&lt;&gt;N",E23:E30))/SUM(C23:C30,E23:E30)</f>
        <v>#VALUE!</v>
      </c>
    </row>
    <row r="38" spans="1:11" x14ac:dyDescent="0.25">
      <c r="A38" s="16" t="s">
        <v>12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B39" s="16" t="s">
        <v>36</v>
      </c>
      <c r="C39" s="16"/>
      <c r="D39" s="16"/>
      <c r="E39" s="16" t="s">
        <v>37</v>
      </c>
      <c r="F39" s="16"/>
      <c r="G39" s="16"/>
      <c r="H39" s="16" t="s">
        <v>38</v>
      </c>
      <c r="I39" s="16"/>
    </row>
    <row r="40" spans="1:11" x14ac:dyDescent="0.25">
      <c r="A40" t="s">
        <v>18</v>
      </c>
      <c r="B40" t="s">
        <v>39</v>
      </c>
      <c r="C40" t="s">
        <v>40</v>
      </c>
      <c r="D40" t="s">
        <v>41</v>
      </c>
      <c r="E40" t="s">
        <v>42</v>
      </c>
      <c r="F40" t="s">
        <v>11</v>
      </c>
      <c r="G40" t="s">
        <v>41</v>
      </c>
      <c r="H40" t="s">
        <v>36</v>
      </c>
      <c r="I40" t="s">
        <v>37</v>
      </c>
      <c r="J40" t="s">
        <v>16</v>
      </c>
      <c r="K40" t="s">
        <v>43</v>
      </c>
    </row>
    <row r="41" spans="1:11" x14ac:dyDescent="0.25">
      <c r="A41" t="str">
        <f>A23</f>
        <v>Denmark</v>
      </c>
      <c r="B41" t="str">
        <f>C23</f>
        <v>395.7</v>
      </c>
      <c r="C41" t="e">
        <f>E23</f>
        <v>#VALUE!</v>
      </c>
      <c r="D41" t="e">
        <f>B41+C41</f>
        <v>#VALUE!</v>
      </c>
      <c r="E41">
        <f>ROUND(VLOOKUP($A41,'Commercial trs-22-32'!$A$1:$G$18,3, FALSE),2)</f>
        <v>1</v>
      </c>
      <c r="F41" t="s">
        <v>44</v>
      </c>
      <c r="G41">
        <f>E41</f>
        <v>1</v>
      </c>
      <c r="H41" s="3" t="e">
        <f>D41/K41</f>
        <v>#VALUE!</v>
      </c>
      <c r="I41" s="3" t="e">
        <f>G41/K41</f>
        <v>#VALUE!</v>
      </c>
      <c r="J41" s="14" t="s">
        <v>45</v>
      </c>
      <c r="K41" t="e">
        <f>D41+G41</f>
        <v>#VALUE!</v>
      </c>
    </row>
    <row r="42" spans="1:11" x14ac:dyDescent="0.25">
      <c r="A42" t="str">
        <f t="shared" ref="A42:A48" si="8">A24</f>
        <v>Estonia</v>
      </c>
      <c r="B42" t="str">
        <f t="shared" ref="B42:B48" si="9">C24</f>
        <v>7.2</v>
      </c>
      <c r="C42" t="e">
        <f t="shared" ref="C42:C48" si="10">E24</f>
        <v>#VALUE!</v>
      </c>
      <c r="D42" t="e">
        <f t="shared" ref="D42:D48" si="11">B42+C42</f>
        <v>#VALUE!</v>
      </c>
      <c r="E42">
        <f>ROUND(VLOOKUP($A42,'Commercial trs-22-32'!$A$1:$G$18,3, FALSE),2)</f>
        <v>20</v>
      </c>
      <c r="F42" t="s">
        <v>44</v>
      </c>
      <c r="G42">
        <f t="shared" ref="G42:G48" si="12">E42</f>
        <v>20</v>
      </c>
      <c r="H42" s="3" t="e">
        <f t="shared" ref="H42:H48" si="13">D42/K42</f>
        <v>#VALUE!</v>
      </c>
      <c r="I42" s="3" t="e">
        <f t="shared" ref="I42:I48" si="14">G42/K42</f>
        <v>#VALUE!</v>
      </c>
      <c r="J42" s="14" t="s">
        <v>45</v>
      </c>
      <c r="K42" t="e">
        <f t="shared" ref="K42:K48" si="15">D42+G42</f>
        <v>#VALUE!</v>
      </c>
    </row>
    <row r="43" spans="1:11" x14ac:dyDescent="0.25">
      <c r="A43" t="str">
        <f t="shared" si="8"/>
        <v>Finland</v>
      </c>
      <c r="B43">
        <f t="shared" si="9"/>
        <v>71</v>
      </c>
      <c r="C43" t="e">
        <f t="shared" si="10"/>
        <v>#VALUE!</v>
      </c>
      <c r="D43" t="e">
        <f t="shared" si="11"/>
        <v>#VALUE!</v>
      </c>
      <c r="E43">
        <f>ROUND(VLOOKUP($A43,'Commercial trs-22-32'!$A$1:$G$18,3, FALSE),2)</f>
        <v>27</v>
      </c>
      <c r="F43" t="s">
        <v>44</v>
      </c>
      <c r="G43">
        <f t="shared" si="12"/>
        <v>27</v>
      </c>
      <c r="H43" s="3" t="e">
        <f t="shared" si="13"/>
        <v>#VALUE!</v>
      </c>
      <c r="I43" s="3" t="e">
        <f t="shared" si="14"/>
        <v>#VALUE!</v>
      </c>
      <c r="J43" s="14" t="s">
        <v>45</v>
      </c>
      <c r="K43" t="e">
        <f t="shared" si="15"/>
        <v>#VALUE!</v>
      </c>
    </row>
    <row r="44" spans="1:11" x14ac:dyDescent="0.25">
      <c r="A44" t="str">
        <f t="shared" si="8"/>
        <v>Germany</v>
      </c>
      <c r="B44">
        <f t="shared" si="9"/>
        <v>167.0961139896373</v>
      </c>
      <c r="C44" t="e">
        <f t="shared" si="10"/>
        <v>#VALUE!</v>
      </c>
      <c r="D44" t="e">
        <f t="shared" si="11"/>
        <v>#VALUE!</v>
      </c>
      <c r="E44">
        <f>ROUND(VLOOKUP($A44,'Commercial trs-22-32'!$A$1:$G$18,3, FALSE),2)</f>
        <v>12</v>
      </c>
      <c r="F44" t="s">
        <v>44</v>
      </c>
      <c r="G44">
        <f t="shared" si="12"/>
        <v>12</v>
      </c>
      <c r="H44" s="3" t="e">
        <f t="shared" si="13"/>
        <v>#VALUE!</v>
      </c>
      <c r="I44" s="3" t="e">
        <f t="shared" si="14"/>
        <v>#VALUE!</v>
      </c>
      <c r="J44" s="14" t="s">
        <v>45</v>
      </c>
      <c r="K44" t="e">
        <f t="shared" si="15"/>
        <v>#VALUE!</v>
      </c>
    </row>
    <row r="45" spans="1:11" x14ac:dyDescent="0.25">
      <c r="A45" t="str">
        <f t="shared" si="8"/>
        <v>Latvia</v>
      </c>
      <c r="B45">
        <f t="shared" si="9"/>
        <v>5</v>
      </c>
      <c r="C45" t="e">
        <f t="shared" si="10"/>
        <v>#VALUE!</v>
      </c>
      <c r="D45" t="e">
        <f t="shared" si="11"/>
        <v>#VALUE!</v>
      </c>
      <c r="E45">
        <f>ROUND(VLOOKUP($A45,'Commercial trs-22-32'!$A$1:$G$18,3, FALSE),2)</f>
        <v>5</v>
      </c>
      <c r="F45" t="s">
        <v>44</v>
      </c>
      <c r="G45">
        <f t="shared" si="12"/>
        <v>5</v>
      </c>
      <c r="H45" s="3" t="e">
        <f t="shared" si="13"/>
        <v>#VALUE!</v>
      </c>
      <c r="I45" s="3" t="e">
        <f t="shared" si="14"/>
        <v>#VALUE!</v>
      </c>
      <c r="J45" s="14" t="s">
        <v>45</v>
      </c>
      <c r="K45" t="e">
        <f t="shared" si="15"/>
        <v>#VALUE!</v>
      </c>
    </row>
    <row r="46" spans="1:11" x14ac:dyDescent="0.25">
      <c r="A46" t="str">
        <f t="shared" si="8"/>
        <v>Lithuania</v>
      </c>
      <c r="B46">
        <f t="shared" si="9"/>
        <v>7.3170731707317067</v>
      </c>
      <c r="C46" t="e">
        <f t="shared" si="10"/>
        <v>#VALUE!</v>
      </c>
      <c r="D46" t="e">
        <f t="shared" si="11"/>
        <v>#VALUE!</v>
      </c>
      <c r="E46">
        <f>ROUND(VLOOKUP($A46,'Commercial trs-22-32'!$A$1:$G$18,3, FALSE),2)</f>
        <v>4</v>
      </c>
      <c r="F46" t="s">
        <v>44</v>
      </c>
      <c r="G46">
        <f t="shared" si="12"/>
        <v>4</v>
      </c>
      <c r="H46" s="3" t="e">
        <f t="shared" si="13"/>
        <v>#VALUE!</v>
      </c>
      <c r="I46" s="3" t="e">
        <f t="shared" si="14"/>
        <v>#VALUE!</v>
      </c>
      <c r="J46" s="14" t="s">
        <v>45</v>
      </c>
      <c r="K46" t="e">
        <f t="shared" si="15"/>
        <v>#VALUE!</v>
      </c>
    </row>
    <row r="47" spans="1:11" x14ac:dyDescent="0.25">
      <c r="A47" t="str">
        <f t="shared" si="8"/>
        <v>Poland</v>
      </c>
      <c r="B47">
        <f t="shared" si="9"/>
        <v>84.060621761658027</v>
      </c>
      <c r="C47" t="e">
        <f t="shared" si="10"/>
        <v>#VALUE!</v>
      </c>
      <c r="D47" t="e">
        <f t="shared" si="11"/>
        <v>#VALUE!</v>
      </c>
      <c r="E47">
        <f>ROUND(VLOOKUP($A47,'Commercial trs-22-32'!$A$1:$G$18,3, FALSE),2)</f>
        <v>148</v>
      </c>
      <c r="F47" t="s">
        <v>44</v>
      </c>
      <c r="G47">
        <f t="shared" si="12"/>
        <v>148</v>
      </c>
      <c r="H47" s="3" t="e">
        <f t="shared" si="13"/>
        <v>#VALUE!</v>
      </c>
      <c r="I47" s="3" t="e">
        <f t="shared" si="14"/>
        <v>#VALUE!</v>
      </c>
      <c r="J47" s="14" t="s">
        <v>45</v>
      </c>
      <c r="K47" t="e">
        <f t="shared" si="15"/>
        <v>#VALUE!</v>
      </c>
    </row>
    <row r="48" spans="1:11" x14ac:dyDescent="0.25">
      <c r="A48" t="str">
        <f t="shared" si="8"/>
        <v>Sweden</v>
      </c>
      <c r="B48">
        <f t="shared" si="9"/>
        <v>579.84811865284973</v>
      </c>
      <c r="C48" t="e">
        <f t="shared" si="10"/>
        <v>#VALUE!</v>
      </c>
      <c r="D48" t="e">
        <f t="shared" si="11"/>
        <v>#VALUE!</v>
      </c>
      <c r="E48">
        <f>ROUND(VLOOKUP($A48,'Commercial trs-22-32'!$A$1:$G$18,3, FALSE),2)</f>
        <v>12</v>
      </c>
      <c r="F48" t="s">
        <v>44</v>
      </c>
      <c r="G48">
        <f t="shared" si="12"/>
        <v>12</v>
      </c>
      <c r="H48" s="3" t="e">
        <f t="shared" si="13"/>
        <v>#VALUE!</v>
      </c>
      <c r="I48" s="3" t="e">
        <f t="shared" si="14"/>
        <v>#VALUE!</v>
      </c>
      <c r="J48" s="14" t="s">
        <v>45</v>
      </c>
      <c r="K48" t="e">
        <f t="shared" si="15"/>
        <v>#VALUE!</v>
      </c>
    </row>
    <row r="49" spans="1:11" x14ac:dyDescent="0.25">
      <c r="A49" s="4" t="s">
        <v>13</v>
      </c>
      <c r="B49" s="4">
        <f t="shared" ref="B49:G49" si="16">SUM(B41:B48)</f>
        <v>914.32192757487678</v>
      </c>
      <c r="C49" s="4" t="e">
        <f t="shared" si="16"/>
        <v>#VALUE!</v>
      </c>
      <c r="D49" s="4" t="e">
        <f t="shared" si="16"/>
        <v>#VALUE!</v>
      </c>
      <c r="E49" s="4">
        <f t="shared" si="16"/>
        <v>229</v>
      </c>
      <c r="F49" s="4" t="s">
        <v>44</v>
      </c>
      <c r="G49" s="4">
        <f t="shared" si="16"/>
        <v>229</v>
      </c>
      <c r="H49" s="5" t="e">
        <f>D49/K49</f>
        <v>#VALUE!</v>
      </c>
      <c r="I49" s="5" t="e">
        <f>G49/K49</f>
        <v>#VALUE!</v>
      </c>
      <c r="J49" s="4" t="s">
        <v>46</v>
      </c>
      <c r="K49" s="4" t="e">
        <f>G49+D49</f>
        <v>#VALUE!</v>
      </c>
    </row>
    <row r="50" spans="1:11" x14ac:dyDescent="0.25">
      <c r="A50" s="10" t="s">
        <v>47</v>
      </c>
      <c r="B50" s="6">
        <f t="shared" ref="B50:D50" si="17">B$49</f>
        <v>914.32192757487678</v>
      </c>
      <c r="C50" s="6" t="e">
        <f t="shared" si="17"/>
        <v>#VALUE!</v>
      </c>
      <c r="D50" s="6" t="e">
        <f t="shared" si="17"/>
        <v>#VALUE!</v>
      </c>
      <c r="E50" s="6" t="e">
        <f>ROUND(VLOOKUP($A50,'Commercial trs-22-32'!$A$1:$G$18,3, FALSE),2)</f>
        <v>#N/A</v>
      </c>
      <c r="F50" s="6" t="s">
        <v>44</v>
      </c>
      <c r="G50" s="6" t="e">
        <f>E50+F50</f>
        <v>#N/A</v>
      </c>
      <c r="H50" s="7" t="e">
        <f>D50/K50</f>
        <v>#VALUE!</v>
      </c>
      <c r="I50" s="7" t="e">
        <f>G50/K50</f>
        <v>#N/A</v>
      </c>
      <c r="J50" s="6" t="e">
        <f>VLOOKUP($A50,'Commercial trs-22-32'!$A$1:$G$18,3, FALSE)</f>
        <v>#N/A</v>
      </c>
      <c r="K50" s="6" t="e">
        <f>G50+D50</f>
        <v>#N/A</v>
      </c>
    </row>
  </sheetData>
  <mergeCells count="8">
    <mergeCell ref="B39:D39"/>
    <mergeCell ref="E39:G39"/>
    <mergeCell ref="H39:I39"/>
    <mergeCell ref="A9:H9"/>
    <mergeCell ref="A21:I21"/>
    <mergeCell ref="J21:L21"/>
    <mergeCell ref="A33:C33"/>
    <mergeCell ref="A38:K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12"/>
  <sheetViews>
    <sheetView workbookViewId="0">
      <selection activeCell="H3" sqref="H3"/>
    </sheetView>
  </sheetViews>
  <sheetFormatPr defaultColWidth="9.140625" defaultRowHeight="15" x14ac:dyDescent="0.25"/>
  <cols>
    <col min="1" max="1" width="16" bestFit="1" customWidth="1"/>
    <col min="2" max="2" width="9.7109375" bestFit="1" customWidth="1"/>
    <col min="3" max="3" width="9.5703125" bestFit="1" customWidth="1"/>
    <col min="5" max="5" width="9.5703125" bestFit="1" customWidth="1"/>
    <col min="6" max="6" width="12.7109375" bestFit="1" customWidth="1"/>
    <col min="7" max="7" width="10.5703125" bestFit="1" customWidth="1"/>
    <col min="8" max="8" width="18" bestFit="1" customWidth="1"/>
  </cols>
  <sheetData>
    <row r="1" spans="1:8" x14ac:dyDescent="0.25">
      <c r="A1" t="s">
        <v>18</v>
      </c>
      <c r="B1" t="s">
        <v>19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16</v>
      </c>
    </row>
    <row r="2" spans="1:8" x14ac:dyDescent="0.25">
      <c r="A2" t="s">
        <v>53</v>
      </c>
      <c r="B2" s="14">
        <v>2015</v>
      </c>
      <c r="C2" s="13">
        <v>386000</v>
      </c>
      <c r="D2" s="14" t="s">
        <v>54</v>
      </c>
      <c r="E2" s="14" t="s">
        <v>44</v>
      </c>
      <c r="F2" s="14" t="s">
        <v>44</v>
      </c>
      <c r="G2" s="14" t="s">
        <v>44</v>
      </c>
      <c r="H2" s="14" t="s">
        <v>65</v>
      </c>
    </row>
    <row r="3" spans="1:8" x14ac:dyDescent="0.25">
      <c r="A3" t="s">
        <v>55</v>
      </c>
      <c r="B3" s="14">
        <v>2016</v>
      </c>
      <c r="C3">
        <v>20000</v>
      </c>
      <c r="D3" s="12" t="s">
        <v>56</v>
      </c>
      <c r="E3" s="14" t="s">
        <v>44</v>
      </c>
      <c r="F3" s="14" t="s">
        <v>44</v>
      </c>
      <c r="G3" s="14" t="s">
        <v>44</v>
      </c>
      <c r="H3" s="15" t="s">
        <v>65</v>
      </c>
    </row>
    <row r="4" spans="1:8" x14ac:dyDescent="0.25">
      <c r="A4" t="s">
        <v>57</v>
      </c>
      <c r="B4" s="14">
        <v>2016</v>
      </c>
      <c r="C4">
        <v>300000</v>
      </c>
      <c r="D4" s="14">
        <v>71</v>
      </c>
      <c r="E4" s="14" t="s">
        <v>44</v>
      </c>
      <c r="F4" s="14" t="s">
        <v>44</v>
      </c>
      <c r="G4" s="14" t="s">
        <v>44</v>
      </c>
      <c r="H4" s="15" t="s">
        <v>65</v>
      </c>
    </row>
    <row r="5" spans="1:8" x14ac:dyDescent="0.25">
      <c r="A5" t="s">
        <v>58</v>
      </c>
      <c r="B5" s="14">
        <v>2016</v>
      </c>
      <c r="C5" s="13">
        <v>163000</v>
      </c>
      <c r="D5" s="14" t="s">
        <v>44</v>
      </c>
      <c r="E5" s="14" t="s">
        <v>44</v>
      </c>
      <c r="F5" s="14" t="s">
        <v>44</v>
      </c>
      <c r="G5" s="14" t="s">
        <v>44</v>
      </c>
      <c r="H5" s="15" t="s">
        <v>65</v>
      </c>
    </row>
    <row r="6" spans="1:8" x14ac:dyDescent="0.25">
      <c r="A6" t="s">
        <v>59</v>
      </c>
      <c r="B6" s="14">
        <v>2016</v>
      </c>
      <c r="C6">
        <v>41000</v>
      </c>
      <c r="D6" s="14">
        <v>5</v>
      </c>
      <c r="E6" s="14" t="s">
        <v>44</v>
      </c>
      <c r="F6" s="14" t="s">
        <v>44</v>
      </c>
      <c r="G6" s="14" t="s">
        <v>44</v>
      </c>
      <c r="H6" s="15" t="s">
        <v>65</v>
      </c>
    </row>
    <row r="7" spans="1:8" x14ac:dyDescent="0.25">
      <c r="A7" t="s">
        <v>60</v>
      </c>
      <c r="B7" s="14">
        <v>2016</v>
      </c>
      <c r="C7">
        <v>60000</v>
      </c>
      <c r="D7" s="14" t="s">
        <v>44</v>
      </c>
      <c r="E7" s="14" t="s">
        <v>44</v>
      </c>
      <c r="F7" s="14" t="s">
        <v>44</v>
      </c>
      <c r="G7" s="14" t="s">
        <v>44</v>
      </c>
      <c r="H7" s="15" t="s">
        <v>65</v>
      </c>
    </row>
    <row r="8" spans="1:8" x14ac:dyDescent="0.25">
      <c r="A8" t="s">
        <v>61</v>
      </c>
      <c r="B8" s="14">
        <v>2016</v>
      </c>
      <c r="C8">
        <v>82000</v>
      </c>
      <c r="D8" s="14" t="s">
        <v>44</v>
      </c>
      <c r="E8" s="14" t="s">
        <v>44</v>
      </c>
      <c r="F8" s="14" t="s">
        <v>44</v>
      </c>
      <c r="G8" s="14" t="s">
        <v>44</v>
      </c>
      <c r="H8" s="15" t="s">
        <v>65</v>
      </c>
    </row>
    <row r="9" spans="1:8" x14ac:dyDescent="0.25">
      <c r="A9" t="s">
        <v>62</v>
      </c>
      <c r="B9" s="14">
        <v>2016</v>
      </c>
      <c r="C9">
        <v>565634</v>
      </c>
      <c r="D9" s="14" t="s">
        <v>44</v>
      </c>
      <c r="E9" s="14" t="s">
        <v>44</v>
      </c>
      <c r="F9" s="14" t="s">
        <v>44</v>
      </c>
      <c r="G9" s="14" t="s">
        <v>44</v>
      </c>
      <c r="H9" s="15" t="s">
        <v>65</v>
      </c>
    </row>
    <row r="12" spans="1:8" x14ac:dyDescent="0.25">
      <c r="B12" s="1"/>
      <c r="C12" s="1"/>
      <c r="D12" s="1"/>
      <c r="E12" s="1"/>
    </row>
  </sheetData>
  <sortState ref="A2:H9">
    <sortCondition ref="A2:A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C41"/>
  <sheetViews>
    <sheetView workbookViewId="0">
      <selection activeCell="D2" sqref="D2:D9"/>
    </sheetView>
  </sheetViews>
  <sheetFormatPr defaultColWidth="9.140625" defaultRowHeight="15" x14ac:dyDescent="0.25"/>
  <cols>
    <col min="1" max="1" width="18.42578125" style="8" bestFit="1" customWidth="1"/>
    <col min="2" max="2" width="18.42578125" style="8" customWidth="1"/>
    <col min="3" max="3" width="9.5703125" style="8" bestFit="1" customWidth="1"/>
    <col min="4" max="4" width="20.85546875" style="8" bestFit="1" customWidth="1"/>
    <col min="5" max="16384" width="9.140625" style="8"/>
  </cols>
  <sheetData>
    <row r="1" spans="1:29" ht="15" customHeight="1" x14ac:dyDescent="0.25">
      <c r="A1" s="11" t="s">
        <v>18</v>
      </c>
      <c r="B1" s="11" t="s">
        <v>19</v>
      </c>
      <c r="C1" s="11" t="s">
        <v>42</v>
      </c>
      <c r="D1" s="11" t="s">
        <v>16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5" customHeight="1" x14ac:dyDescent="0.25">
      <c r="A2" t="s">
        <v>53</v>
      </c>
      <c r="B2">
        <v>2016</v>
      </c>
      <c r="C2">
        <v>1</v>
      </c>
      <c r="D2" s="15" t="s">
        <v>65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5" customHeight="1" x14ac:dyDescent="0.25">
      <c r="A3" t="s">
        <v>55</v>
      </c>
      <c r="B3">
        <v>2016</v>
      </c>
      <c r="C3">
        <v>20</v>
      </c>
      <c r="D3" s="15" t="s">
        <v>65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5" customHeight="1" x14ac:dyDescent="0.25">
      <c r="A4" t="s">
        <v>57</v>
      </c>
      <c r="B4">
        <v>2016</v>
      </c>
      <c r="C4">
        <v>27</v>
      </c>
      <c r="D4" s="15" t="s">
        <v>65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5" customHeight="1" x14ac:dyDescent="0.25">
      <c r="A5" t="s">
        <v>58</v>
      </c>
      <c r="B5">
        <v>2016</v>
      </c>
      <c r="C5">
        <v>12</v>
      </c>
      <c r="D5" s="15" t="s">
        <v>65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5" customHeight="1" x14ac:dyDescent="0.25">
      <c r="A6" t="s">
        <v>59</v>
      </c>
      <c r="B6">
        <v>2016</v>
      </c>
      <c r="C6">
        <v>5</v>
      </c>
      <c r="D6" s="15" t="s">
        <v>65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5" customHeight="1" x14ac:dyDescent="0.25">
      <c r="A7" t="s">
        <v>60</v>
      </c>
      <c r="B7">
        <v>2016</v>
      </c>
      <c r="C7">
        <v>4</v>
      </c>
      <c r="D7" s="15" t="s">
        <v>65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5" customHeight="1" x14ac:dyDescent="0.25">
      <c r="A8" t="s">
        <v>61</v>
      </c>
      <c r="B8">
        <v>2016</v>
      </c>
      <c r="C8">
        <v>148</v>
      </c>
      <c r="D8" s="15" t="s">
        <v>65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5" customHeight="1" x14ac:dyDescent="0.25">
      <c r="A9" t="s">
        <v>62</v>
      </c>
      <c r="B9">
        <v>2016</v>
      </c>
      <c r="C9">
        <v>12</v>
      </c>
      <c r="D9" s="15" t="s">
        <v>65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1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1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D2"/>
  <sheetViews>
    <sheetView workbookViewId="0">
      <selection activeCell="C41" sqref="C41"/>
    </sheetView>
  </sheetViews>
  <sheetFormatPr defaultColWidth="9.140625" defaultRowHeight="15" x14ac:dyDescent="0.25"/>
  <cols>
    <col min="1" max="1" width="12.140625" bestFit="1" customWidth="1"/>
    <col min="2" max="2" width="35.7109375" bestFit="1" customWidth="1"/>
    <col min="3" max="3" width="11.5703125" bestFit="1" customWidth="1"/>
    <col min="4" max="4" width="35.7109375" bestFit="1" customWidth="1"/>
  </cols>
  <sheetData>
    <row r="1" spans="1:4" x14ac:dyDescent="0.25">
      <c r="A1" s="11" t="s">
        <v>36</v>
      </c>
      <c r="B1" s="11" t="s">
        <v>16</v>
      </c>
      <c r="C1" s="11" t="s">
        <v>37</v>
      </c>
      <c r="D1" s="11" t="s">
        <v>16</v>
      </c>
    </row>
    <row r="2" spans="1:4" x14ac:dyDescent="0.25">
      <c r="A2">
        <v>1</v>
      </c>
      <c r="B2" t="s">
        <v>63</v>
      </c>
      <c r="C2">
        <v>1</v>
      </c>
      <c r="D2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2"/>
  <sheetViews>
    <sheetView workbookViewId="0">
      <selection activeCell="C12" sqref="C12"/>
    </sheetView>
  </sheetViews>
  <sheetFormatPr defaultColWidth="9.140625" defaultRowHeight="15" x14ac:dyDescent="0.25"/>
  <cols>
    <col min="2" max="2" width="18" bestFit="1" customWidth="1"/>
    <col min="4" max="4" width="28" bestFit="1" customWidth="1"/>
  </cols>
  <sheetData>
    <row r="1" spans="1:2" x14ac:dyDescent="0.25">
      <c r="A1" s="11" t="s">
        <v>64</v>
      </c>
      <c r="B1" s="11" t="s">
        <v>16</v>
      </c>
    </row>
    <row r="2" spans="1:2" x14ac:dyDescent="0.25">
      <c r="A2" t="s">
        <v>44</v>
      </c>
      <c r="B2" s="15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trs-22-32</vt:lpstr>
      <vt:lpstr>Recreational trs-22-32</vt:lpstr>
      <vt:lpstr>Commercial trs-22-32</vt:lpstr>
      <vt:lpstr>Discard mortality</vt:lpstr>
      <vt:lpstr>Discard 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Radford (Cefas)</dc:creator>
  <cp:keywords/>
  <dc:description/>
  <cp:lastModifiedBy>Zachary Radford (Cefas)</cp:lastModifiedBy>
  <cp:revision/>
  <dcterms:created xsi:type="dcterms:W3CDTF">2017-04-18T10:25:46Z</dcterms:created>
  <dcterms:modified xsi:type="dcterms:W3CDTF">2018-05-14T08:21:28Z</dcterms:modified>
  <cp:category/>
  <cp:contentStatus/>
</cp:coreProperties>
</file>