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184" documentId="8_{5F003D5B-F9B4-47F6-A522-5BAB89DD14AC}" xr6:coauthVersionLast="33" xr6:coauthVersionMax="33" xr10:uidLastSave="{83909EF7-EF38-47E9-86C2-8A1A8FEB9D3A}"/>
  <bookViews>
    <workbookView xWindow="0" yWindow="0" windowWidth="10215" windowHeight="7050" xr2:uid="{00000000-000D-0000-FFFF-FFFF00000000}"/>
  </bookViews>
  <sheets>
    <sheet name="ele-3a,4,7" sheetId="8" r:id="rId1"/>
    <sheet name="ele-balti" sheetId="9" r:id="rId2"/>
    <sheet name="Recreational ele-nsea-chnl-celt" sheetId="10" r:id="rId3"/>
    <sheet name="Recreational ele-balt" sheetId="11" r:id="rId4"/>
    <sheet name="Commercial ele-nsea-chnl-celt" sheetId="12" r:id="rId5"/>
    <sheet name="Commercial ele-balt" sheetId="13" r:id="rId6"/>
    <sheet name="Discard mortality" sheetId="6" r:id="rId7"/>
    <sheet name="Discard rate" sheetId="5" r:id="rId8"/>
    <sheet name="Denmark landings" sheetId="14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9" l="1"/>
  <c r="H56" i="8"/>
  <c r="A44" i="14" l="1"/>
  <c r="Q3" i="10" s="1"/>
  <c r="A46" i="14"/>
  <c r="A19" i="14"/>
  <c r="D3" i="10" s="1"/>
  <c r="K61" i="8" l="1"/>
  <c r="K62" i="8"/>
  <c r="K63" i="8"/>
  <c r="K64" i="8"/>
  <c r="K65" i="8"/>
  <c r="K66" i="8"/>
  <c r="K67" i="8"/>
  <c r="K68" i="8"/>
  <c r="K69" i="8"/>
  <c r="K60" i="8"/>
  <c r="F55" i="8" l="1"/>
  <c r="E45" i="8" l="1"/>
  <c r="F51" i="9"/>
  <c r="A13" i="9"/>
  <c r="F13" i="9" s="1"/>
  <c r="I26" i="9" s="1"/>
  <c r="A14" i="9"/>
  <c r="C14" i="9" s="1"/>
  <c r="B27" i="9" s="1"/>
  <c r="A15" i="9"/>
  <c r="C15" i="9" s="1"/>
  <c r="B28" i="9" s="1"/>
  <c r="A16" i="9"/>
  <c r="C16" i="9" s="1"/>
  <c r="B29" i="9" s="1"/>
  <c r="A17" i="9"/>
  <c r="C17" i="9" s="1"/>
  <c r="B30" i="9" s="1"/>
  <c r="A18" i="9"/>
  <c r="C18" i="9" s="1"/>
  <c r="B31" i="9" s="1"/>
  <c r="A19" i="9"/>
  <c r="B19" i="9" s="1"/>
  <c r="C12" i="9"/>
  <c r="B25" i="9" s="1"/>
  <c r="A12" i="9"/>
  <c r="E12" i="9" s="1"/>
  <c r="B2" i="9"/>
  <c r="B3" i="9"/>
  <c r="C7" i="9"/>
  <c r="B7" i="9"/>
  <c r="C6" i="9"/>
  <c r="B6" i="9"/>
  <c r="C5" i="9"/>
  <c r="B5" i="9"/>
  <c r="A21" i="8"/>
  <c r="D21" i="8" s="1"/>
  <c r="H34" i="8" s="1"/>
  <c r="A22" i="8"/>
  <c r="G22" i="8" s="1"/>
  <c r="A21" i="14"/>
  <c r="B21" i="14"/>
  <c r="F12" i="9" l="1"/>
  <c r="I25" i="9" s="1"/>
  <c r="B18" i="9"/>
  <c r="B16" i="9"/>
  <c r="B14" i="9"/>
  <c r="A27" i="9"/>
  <c r="A45" i="9" s="1"/>
  <c r="G12" i="9"/>
  <c r="F25" i="9" s="1"/>
  <c r="B12" i="9"/>
  <c r="B17" i="9"/>
  <c r="B15" i="9"/>
  <c r="B13" i="9"/>
  <c r="B19" i="14"/>
  <c r="G3" i="10" s="1"/>
  <c r="B3" i="8" s="1"/>
  <c r="E45" i="9"/>
  <c r="G45" i="9" s="1"/>
  <c r="J45" i="9"/>
  <c r="A31" i="9"/>
  <c r="A49" i="9" s="1"/>
  <c r="C19" i="9"/>
  <c r="B32" i="9" s="1"/>
  <c r="D19" i="9"/>
  <c r="H32" i="9" s="1"/>
  <c r="H19" i="9"/>
  <c r="G19" i="9"/>
  <c r="F32" i="9" s="1"/>
  <c r="E19" i="9"/>
  <c r="F19" i="9"/>
  <c r="I32" i="9" s="1"/>
  <c r="A30" i="9"/>
  <c r="A48" i="9" s="1"/>
  <c r="D12" i="9"/>
  <c r="H25" i="9" s="1"/>
  <c r="H12" i="9"/>
  <c r="F18" i="9"/>
  <c r="I31" i="9" s="1"/>
  <c r="F17" i="9"/>
  <c r="I30" i="9" s="1"/>
  <c r="F16" i="9"/>
  <c r="I29" i="9" s="1"/>
  <c r="F15" i="9"/>
  <c r="I28" i="9" s="1"/>
  <c r="F14" i="9"/>
  <c r="I27" i="9" s="1"/>
  <c r="A25" i="9"/>
  <c r="A43" i="9" s="1"/>
  <c r="A29" i="9"/>
  <c r="A47" i="9" s="1"/>
  <c r="C13" i="9"/>
  <c r="B26" i="9" s="1"/>
  <c r="H13" i="9"/>
  <c r="A26" i="9"/>
  <c r="A44" i="9" s="1"/>
  <c r="E18" i="9"/>
  <c r="E17" i="9"/>
  <c r="E16" i="9"/>
  <c r="E15" i="9"/>
  <c r="D28" i="9" s="1"/>
  <c r="E14" i="9"/>
  <c r="E13" i="9"/>
  <c r="A32" i="9"/>
  <c r="A50" i="9" s="1"/>
  <c r="A28" i="9"/>
  <c r="A46" i="9" s="1"/>
  <c r="D32" i="9"/>
  <c r="E25" i="9"/>
  <c r="H18" i="9"/>
  <c r="D18" i="9"/>
  <c r="H31" i="9" s="1"/>
  <c r="H17" i="9"/>
  <c r="D17" i="9"/>
  <c r="H16" i="9"/>
  <c r="D16" i="9"/>
  <c r="H15" i="9"/>
  <c r="D15" i="9"/>
  <c r="H14" i="9"/>
  <c r="D14" i="9"/>
  <c r="D13" i="9"/>
  <c r="G18" i="9"/>
  <c r="G17" i="9"/>
  <c r="G16" i="9"/>
  <c r="F29" i="9" s="1"/>
  <c r="G15" i="9"/>
  <c r="G14" i="9"/>
  <c r="G13" i="9"/>
  <c r="A35" i="8"/>
  <c r="A34" i="8"/>
  <c r="B21" i="8"/>
  <c r="E22" i="8"/>
  <c r="F21" i="8"/>
  <c r="B22" i="8"/>
  <c r="F22" i="8"/>
  <c r="G21" i="8"/>
  <c r="C22" i="8"/>
  <c r="B35" i="8" s="1"/>
  <c r="H22" i="8"/>
  <c r="D22" i="8"/>
  <c r="H35" i="8" s="1"/>
  <c r="E21" i="8"/>
  <c r="C21" i="8"/>
  <c r="B34" i="8" s="1"/>
  <c r="H21" i="8"/>
  <c r="E28" i="9" l="1"/>
  <c r="C46" i="9" s="1"/>
  <c r="E27" i="9"/>
  <c r="C45" i="9" s="1"/>
  <c r="J47" i="9"/>
  <c r="E47" i="9"/>
  <c r="G47" i="9" s="1"/>
  <c r="E46" i="9"/>
  <c r="G46" i="9" s="1"/>
  <c r="J46" i="9"/>
  <c r="J44" i="9"/>
  <c r="E44" i="9"/>
  <c r="G44" i="9" s="1"/>
  <c r="J43" i="9"/>
  <c r="E43" i="9"/>
  <c r="D31" i="9"/>
  <c r="C31" i="9" s="1"/>
  <c r="B49" i="9" s="1"/>
  <c r="E50" i="9"/>
  <c r="G50" i="9" s="1"/>
  <c r="J50" i="9"/>
  <c r="E49" i="9"/>
  <c r="G49" i="9" s="1"/>
  <c r="J49" i="9"/>
  <c r="C25" i="9"/>
  <c r="B43" i="9" s="1"/>
  <c r="J48" i="9"/>
  <c r="E48" i="9"/>
  <c r="G48" i="9" s="1"/>
  <c r="F28" i="9"/>
  <c r="B4" i="9"/>
  <c r="F31" i="9" s="1"/>
  <c r="A53" i="8"/>
  <c r="A54" i="8"/>
  <c r="I34" i="8"/>
  <c r="I35" i="8"/>
  <c r="E29" i="9"/>
  <c r="E32" i="9"/>
  <c r="C50" i="9" s="1"/>
  <c r="H27" i="9"/>
  <c r="C27" i="9"/>
  <c r="C29" i="9"/>
  <c r="H29" i="9"/>
  <c r="C43" i="9"/>
  <c r="D25" i="9"/>
  <c r="C26" i="9"/>
  <c r="H26" i="9"/>
  <c r="H28" i="9"/>
  <c r="C28" i="9"/>
  <c r="C30" i="9"/>
  <c r="H30" i="9"/>
  <c r="C32" i="9"/>
  <c r="F27" i="9" l="1"/>
  <c r="G43" i="9"/>
  <c r="G51" i="9" s="1"/>
  <c r="E51" i="9"/>
  <c r="E31" i="9"/>
  <c r="E54" i="8"/>
  <c r="G54" i="8" s="1"/>
  <c r="J54" i="8"/>
  <c r="E53" i="8"/>
  <c r="G53" i="8" s="1"/>
  <c r="J53" i="8"/>
  <c r="C47" i="9"/>
  <c r="B46" i="9"/>
  <c r="D46" i="9" s="1"/>
  <c r="L46" i="9" s="1"/>
  <c r="D27" i="9"/>
  <c r="B45" i="9"/>
  <c r="D45" i="9" s="1"/>
  <c r="L45" i="9" s="1"/>
  <c r="D43" i="9"/>
  <c r="L43" i="9" s="1"/>
  <c r="A37" i="9"/>
  <c r="B50" i="9"/>
  <c r="D50" i="9" s="1"/>
  <c r="L50" i="9" s="1"/>
  <c r="D30" i="9"/>
  <c r="B48" i="9"/>
  <c r="D26" i="9"/>
  <c r="B44" i="9"/>
  <c r="B47" i="9"/>
  <c r="D29" i="9"/>
  <c r="C49" i="9" l="1"/>
  <c r="D49" i="9" s="1"/>
  <c r="L49" i="9" s="1"/>
  <c r="D47" i="9"/>
  <c r="F26" i="9"/>
  <c r="K50" i="9"/>
  <c r="I50" i="9" s="1"/>
  <c r="K43" i="9"/>
  <c r="H43" i="9" s="1"/>
  <c r="K45" i="9"/>
  <c r="I45" i="9" s="1"/>
  <c r="F30" i="9"/>
  <c r="B51" i="9"/>
  <c r="K46" i="9"/>
  <c r="I46" i="9" s="1"/>
  <c r="K49" i="9" l="1"/>
  <c r="I49" i="9" s="1"/>
  <c r="K47" i="9"/>
  <c r="I47" i="9" s="1"/>
  <c r="L47" i="9"/>
  <c r="H46" i="9"/>
  <c r="H50" i="9"/>
  <c r="E26" i="9"/>
  <c r="E30" i="9"/>
  <c r="H45" i="9"/>
  <c r="I43" i="9"/>
  <c r="A20" i="8"/>
  <c r="D20" i="8" s="1"/>
  <c r="H33" i="8" s="1"/>
  <c r="A16" i="8"/>
  <c r="C16" i="8" s="1"/>
  <c r="A19" i="8"/>
  <c r="D19" i="8" s="1"/>
  <c r="H32" i="8" s="1"/>
  <c r="A15" i="8"/>
  <c r="D15" i="8" s="1"/>
  <c r="H29" i="8" s="1"/>
  <c r="A13" i="8"/>
  <c r="A14" i="8"/>
  <c r="G14" i="8" s="1"/>
  <c r="F28" i="8" s="1"/>
  <c r="A17" i="8"/>
  <c r="E17" i="8" s="1"/>
  <c r="A18" i="8"/>
  <c r="A12" i="8"/>
  <c r="E12" i="8" s="1"/>
  <c r="B7" i="8"/>
  <c r="C7" i="8"/>
  <c r="C6" i="8"/>
  <c r="B6" i="8"/>
  <c r="C5" i="8"/>
  <c r="B5" i="8"/>
  <c r="B2" i="8"/>
  <c r="E13" i="8" l="1"/>
  <c r="H13" i="8"/>
  <c r="D18" i="8"/>
  <c r="C31" i="8" s="1"/>
  <c r="H18" i="8"/>
  <c r="H49" i="9"/>
  <c r="D26" i="8"/>
  <c r="H47" i="9"/>
  <c r="C44" i="9"/>
  <c r="B37" i="9"/>
  <c r="C37" i="9"/>
  <c r="C48" i="9"/>
  <c r="D48" i="9" s="1"/>
  <c r="L48" i="9" s="1"/>
  <c r="G19" i="8"/>
  <c r="F20" i="8"/>
  <c r="C20" i="8"/>
  <c r="B33" i="8" s="1"/>
  <c r="B20" i="8"/>
  <c r="G20" i="8"/>
  <c r="A33" i="8"/>
  <c r="E20" i="8"/>
  <c r="B16" i="8"/>
  <c r="H20" i="8"/>
  <c r="F16" i="8"/>
  <c r="E16" i="8"/>
  <c r="F19" i="8"/>
  <c r="E19" i="8"/>
  <c r="H16" i="8"/>
  <c r="D16" i="8"/>
  <c r="B19" i="8"/>
  <c r="G16" i="8"/>
  <c r="F35" i="8" s="1"/>
  <c r="A29" i="8"/>
  <c r="C19" i="8"/>
  <c r="B32" i="8" s="1"/>
  <c r="A32" i="8"/>
  <c r="H19" i="8"/>
  <c r="C15" i="8"/>
  <c r="B29" i="8" s="1"/>
  <c r="A28" i="8"/>
  <c r="B15" i="8"/>
  <c r="G15" i="8"/>
  <c r="F29" i="8" s="1"/>
  <c r="F15" i="8"/>
  <c r="G17" i="8"/>
  <c r="G13" i="8"/>
  <c r="F27" i="8" s="1"/>
  <c r="A27" i="8"/>
  <c r="C17" i="8"/>
  <c r="B30" i="8" s="1"/>
  <c r="A26" i="8"/>
  <c r="E15" i="8"/>
  <c r="D29" i="8" s="1"/>
  <c r="C29" i="8" s="1"/>
  <c r="A30" i="8"/>
  <c r="H15" i="8"/>
  <c r="C18" i="8"/>
  <c r="B31" i="8" s="1"/>
  <c r="C13" i="8"/>
  <c r="B27" i="8" s="1"/>
  <c r="D17" i="8"/>
  <c r="H30" i="8" s="1"/>
  <c r="D13" i="8"/>
  <c r="G18" i="8"/>
  <c r="F31" i="8" s="1"/>
  <c r="H17" i="8"/>
  <c r="A31" i="8"/>
  <c r="B12" i="8"/>
  <c r="B14" i="8"/>
  <c r="F12" i="8"/>
  <c r="E26" i="8" s="1"/>
  <c r="F14" i="8"/>
  <c r="E28" i="8" s="1"/>
  <c r="B18" i="8"/>
  <c r="G12" i="8"/>
  <c r="F18" i="8"/>
  <c r="E14" i="8"/>
  <c r="D28" i="8" s="1"/>
  <c r="B17" i="8"/>
  <c r="B13" i="8"/>
  <c r="D12" i="8"/>
  <c r="H12" i="8"/>
  <c r="E18" i="8"/>
  <c r="F17" i="8"/>
  <c r="H14" i="8"/>
  <c r="D14" i="8"/>
  <c r="F13" i="8"/>
  <c r="C12" i="8"/>
  <c r="B26" i="8" s="1"/>
  <c r="C14" i="8"/>
  <c r="B28" i="8" s="1"/>
  <c r="E29" i="8" l="1"/>
  <c r="C27" i="8"/>
  <c r="B46" i="8" s="1"/>
  <c r="H27" i="8"/>
  <c r="C28" i="8"/>
  <c r="H28" i="8"/>
  <c r="C26" i="8"/>
  <c r="H26" i="8"/>
  <c r="H31" i="8"/>
  <c r="A45" i="8"/>
  <c r="A50" i="8"/>
  <c r="E50" i="8" s="1"/>
  <c r="G50" i="8" s="1"/>
  <c r="A48" i="8"/>
  <c r="J48" i="8" s="1"/>
  <c r="A52" i="8"/>
  <c r="E52" i="8" s="1"/>
  <c r="G52" i="8" s="1"/>
  <c r="A47" i="8"/>
  <c r="A49" i="8"/>
  <c r="E49" i="8" s="1"/>
  <c r="G49" i="8" s="1"/>
  <c r="A46" i="8"/>
  <c r="J46" i="8" s="1"/>
  <c r="A51" i="8"/>
  <c r="J51" i="8" s="1"/>
  <c r="E31" i="8"/>
  <c r="E27" i="8"/>
  <c r="F26" i="8"/>
  <c r="B4" i="8"/>
  <c r="D31" i="8"/>
  <c r="D32" i="8"/>
  <c r="C32" i="8" s="1"/>
  <c r="F33" i="8"/>
  <c r="D33" i="8"/>
  <c r="C33" i="8" s="1"/>
  <c r="D35" i="8"/>
  <c r="C35" i="8" s="1"/>
  <c r="D27" i="8"/>
  <c r="D30" i="8"/>
  <c r="D34" i="8"/>
  <c r="C34" i="8" s="1"/>
  <c r="E35" i="8"/>
  <c r="K48" i="9"/>
  <c r="I48" i="9" s="1"/>
  <c r="C51" i="9"/>
  <c r="D44" i="9"/>
  <c r="L44" i="9" s="1"/>
  <c r="B50" i="8"/>
  <c r="B48" i="8"/>
  <c r="F34" i="8"/>
  <c r="I33" i="8"/>
  <c r="I32" i="8"/>
  <c r="I30" i="8"/>
  <c r="F30" i="8"/>
  <c r="B47" i="8"/>
  <c r="I28" i="8"/>
  <c r="C47" i="8"/>
  <c r="B45" i="8"/>
  <c r="I31" i="8"/>
  <c r="C45" i="8"/>
  <c r="I26" i="8"/>
  <c r="J50" i="8"/>
  <c r="J45" i="8"/>
  <c r="E47" i="8"/>
  <c r="G47" i="8" s="1"/>
  <c r="J47" i="8"/>
  <c r="F32" i="8"/>
  <c r="J49" i="8"/>
  <c r="I29" i="8"/>
  <c r="E48" i="8"/>
  <c r="G48" i="8" s="1"/>
  <c r="I27" i="8"/>
  <c r="E46" i="8"/>
  <c r="E51" i="8" l="1"/>
  <c r="G51" i="8" s="1"/>
  <c r="J52" i="8"/>
  <c r="C46" i="8"/>
  <c r="D46" i="8" s="1"/>
  <c r="G46" i="8"/>
  <c r="B52" i="8"/>
  <c r="C48" i="8"/>
  <c r="D48" i="8" s="1"/>
  <c r="B54" i="8"/>
  <c r="C54" i="8"/>
  <c r="E34" i="8"/>
  <c r="E32" i="8"/>
  <c r="C50" i="8"/>
  <c r="D50" i="8" s="1"/>
  <c r="L50" i="8" s="1"/>
  <c r="E30" i="8"/>
  <c r="E33" i="8"/>
  <c r="B53" i="8"/>
  <c r="C30" i="8"/>
  <c r="H48" i="9"/>
  <c r="K44" i="9"/>
  <c r="H44" i="9" s="1"/>
  <c r="D51" i="9"/>
  <c r="L51" i="9" s="1"/>
  <c r="G45" i="8"/>
  <c r="D45" i="8"/>
  <c r="D47" i="8"/>
  <c r="L45" i="8" l="1"/>
  <c r="C40" i="8"/>
  <c r="E55" i="8"/>
  <c r="G55" i="8"/>
  <c r="D54" i="8"/>
  <c r="K54" i="8" s="1"/>
  <c r="C51" i="8"/>
  <c r="C49" i="8"/>
  <c r="A40" i="8"/>
  <c r="C53" i="8"/>
  <c r="D53" i="8" s="1"/>
  <c r="C52" i="8"/>
  <c r="D52" i="8" s="1"/>
  <c r="L52" i="8" s="1"/>
  <c r="B40" i="8"/>
  <c r="K47" i="8"/>
  <c r="L47" i="8"/>
  <c r="K48" i="8"/>
  <c r="H48" i="8" s="1"/>
  <c r="L48" i="8"/>
  <c r="K50" i="8"/>
  <c r="H50" i="8" s="1"/>
  <c r="L46" i="8"/>
  <c r="B51" i="8"/>
  <c r="B49" i="8"/>
  <c r="I44" i="9"/>
  <c r="K51" i="9"/>
  <c r="K46" i="8"/>
  <c r="I46" i="8" s="1"/>
  <c r="K45" i="8"/>
  <c r="I45" i="8" s="1"/>
  <c r="K52" i="8" l="1"/>
  <c r="I52" i="8" s="1"/>
  <c r="H54" i="8"/>
  <c r="I54" i="8"/>
  <c r="L54" i="8"/>
  <c r="B55" i="8"/>
  <c r="D51" i="8"/>
  <c r="L51" i="8" s="1"/>
  <c r="C55" i="8"/>
  <c r="L53" i="8"/>
  <c r="K53" i="8"/>
  <c r="I48" i="8"/>
  <c r="I50" i="8"/>
  <c r="D49" i="8"/>
  <c r="D55" i="8" s="1"/>
  <c r="H51" i="9"/>
  <c r="I51" i="9"/>
  <c r="H45" i="8"/>
  <c r="H46" i="8"/>
  <c r="I56" i="8" l="1"/>
  <c r="H52" i="8"/>
  <c r="K51" i="8"/>
  <c r="I51" i="8" s="1"/>
  <c r="H53" i="8"/>
  <c r="I53" i="8"/>
  <c r="L49" i="8"/>
  <c r="K55" i="8"/>
  <c r="H55" i="8" s="1"/>
  <c r="K49" i="8"/>
  <c r="I49" i="8" s="1"/>
  <c r="I55" i="8" l="1"/>
  <c r="H51" i="8"/>
  <c r="L55" i="8"/>
  <c r="H49" i="8"/>
</calcChain>
</file>

<file path=xl/sharedStrings.xml><?xml version="1.0" encoding="utf-8"?>
<sst xmlns="http://schemas.openxmlformats.org/spreadsheetml/2006/main" count="444" uniqueCount="116">
  <si>
    <t>Country</t>
  </si>
  <si>
    <t>Year</t>
  </si>
  <si>
    <t>Number of anglers</t>
  </si>
  <si>
    <t>Kept-wt</t>
  </si>
  <si>
    <t>Kept-No.</t>
  </si>
  <si>
    <t>Rel-Wt</t>
  </si>
  <si>
    <t>Rel-No.</t>
  </si>
  <si>
    <t>Source</t>
  </si>
  <si>
    <t>Germany</t>
  </si>
  <si>
    <t>Denmark</t>
  </si>
  <si>
    <t>Sweden</t>
  </si>
  <si>
    <t>NA</t>
  </si>
  <si>
    <t>Norway</t>
  </si>
  <si>
    <t>England (Target area)</t>
  </si>
  <si>
    <t>England (Whole)</t>
  </si>
  <si>
    <t>Belgium</t>
  </si>
  <si>
    <t>Netherlands</t>
  </si>
  <si>
    <t>Estonia</t>
  </si>
  <si>
    <t>Finland</t>
  </si>
  <si>
    <t>Latvia</t>
  </si>
  <si>
    <t>Lithuania</t>
  </si>
  <si>
    <t>Poland</t>
  </si>
  <si>
    <t>Illegal to fish eel</t>
  </si>
  <si>
    <t>Parameters</t>
  </si>
  <si>
    <t>Value</t>
  </si>
  <si>
    <t>Average Retained weight</t>
  </si>
  <si>
    <t>Average released Weight</t>
  </si>
  <si>
    <t>Average Release Probability (#)</t>
  </si>
  <si>
    <t>Commercial discard rate</t>
  </si>
  <si>
    <t>Recreational Discard Mortality</t>
  </si>
  <si>
    <t>Commercial Discard Mortality</t>
  </si>
  <si>
    <t>Commercial ele-balt</t>
  </si>
  <si>
    <t>Commercial ele-nea</t>
  </si>
  <si>
    <t>Commercial</t>
  </si>
  <si>
    <t>Recreational</t>
  </si>
  <si>
    <t>Init data</t>
  </si>
  <si>
    <t>Angler Numbers</t>
  </si>
  <si>
    <t>Retained weight</t>
  </si>
  <si>
    <t>Retained Number</t>
  </si>
  <si>
    <t>Released weight</t>
  </si>
  <si>
    <t>Released Number</t>
  </si>
  <si>
    <t>Source/notes</t>
  </si>
  <si>
    <t>Reconstruction</t>
  </si>
  <si>
    <t>Calculations</t>
  </si>
  <si>
    <t>Angler numbers</t>
  </si>
  <si>
    <t>Notes</t>
  </si>
  <si>
    <t>Reconstructed retained?</t>
  </si>
  <si>
    <t>Reconstructed released?</t>
  </si>
  <si>
    <t>Retained Wt</t>
  </si>
  <si>
    <t>Retained # calculation</t>
  </si>
  <si>
    <t>Released # calculation</t>
  </si>
  <si>
    <t>None</t>
  </si>
  <si>
    <t>Avg</t>
  </si>
  <si>
    <t>Prop</t>
  </si>
  <si>
    <t>EN</t>
  </si>
  <si>
    <t>NL</t>
  </si>
  <si>
    <t>Scotland</t>
  </si>
  <si>
    <t>Commercial ele-nsea</t>
  </si>
  <si>
    <t>Eel fishing illegal</t>
  </si>
  <si>
    <t>% of total weight reconstructed</t>
  </si>
  <si>
    <t>Released Weight</t>
  </si>
  <si>
    <t>Total weight</t>
  </si>
  <si>
    <t>Summary with post release mortalities</t>
  </si>
  <si>
    <t>% of catch</t>
  </si>
  <si>
    <t>Kept</t>
  </si>
  <si>
    <t>Released mortality</t>
  </si>
  <si>
    <t>Removal</t>
  </si>
  <si>
    <t>Landings</t>
  </si>
  <si>
    <t>Discard mortality</t>
  </si>
  <si>
    <t>Total removal</t>
  </si>
  <si>
    <t>Total</t>
  </si>
  <si>
    <t>2012 landings</t>
  </si>
  <si>
    <t>Illegal to fish</t>
  </si>
  <si>
    <t>France</t>
  </si>
  <si>
    <t>Skagerrak</t>
  </si>
  <si>
    <t>Kattegat</t>
  </si>
  <si>
    <t>The Sound</t>
  </si>
  <si>
    <t>Belt Sea</t>
  </si>
  <si>
    <t>Arkona Sea</t>
  </si>
  <si>
    <t>Eastern Baltic</t>
  </si>
  <si>
    <t>North Sea</t>
  </si>
  <si>
    <t>Area</t>
  </si>
  <si>
    <t>Limjjorden</t>
  </si>
  <si>
    <t>No. released</t>
  </si>
  <si>
    <t>North Sea retained wt</t>
  </si>
  <si>
    <t>Baltic Sea retained wt</t>
  </si>
  <si>
    <t>North Sea released No</t>
  </si>
  <si>
    <t>Baltic Sea released No</t>
  </si>
  <si>
    <t>Tonnes harvested</t>
  </si>
  <si>
    <t>Wales</t>
  </si>
  <si>
    <t>Ireland</t>
  </si>
  <si>
    <t>DE</t>
  </si>
  <si>
    <t>TOTAL</t>
  </si>
  <si>
    <t>Bias</t>
  </si>
  <si>
    <t>The precautionary value was used if there was no available data for the marine recreational fishey</t>
  </si>
  <si>
    <t>Angler number source</t>
  </si>
  <si>
    <t>Illegal to fish recreationally</t>
  </si>
  <si>
    <t>ICES WGRFS 2017</t>
  </si>
  <si>
    <t>Hyder et al. 2018</t>
  </si>
  <si>
    <t>Precautionary value due to lack of data</t>
  </si>
  <si>
    <t>WGRFS (2017)</t>
  </si>
  <si>
    <t>MMO (2012)</t>
  </si>
  <si>
    <t>Arkenford (2016)</t>
  </si>
  <si>
    <t>Sparrevohn et al. (2012)</t>
  </si>
  <si>
    <t>ICES (2017)</t>
  </si>
  <si>
    <t>ICES WGRFS 2016</t>
  </si>
  <si>
    <t>Could also use</t>
  </si>
  <si>
    <t>WGRFS (2017) - 2015 study</t>
  </si>
  <si>
    <t>Sparrevohn &amp; Storr-Paulsen 2012 - Actually 2009 numbers</t>
  </si>
  <si>
    <t>Sparrevohn &amp; Storr-Paulsen 2010 - Actually 2010/11 numbers</t>
  </si>
  <si>
    <t>Sparrehoven &amp; Storr-Paulsen 2012 (Actually 2009 numbers)</t>
  </si>
  <si>
    <t>Sparrehoven &amp; Storr-Paulsen 2011 (Actually 2010/11 numbers)</t>
  </si>
  <si>
    <t>Armstrong (2013) - Unpublished supplementary material</t>
  </si>
  <si>
    <t>van der Hammen &amp; de Graff (2015); WGRFS (2016)</t>
  </si>
  <si>
    <t>van Der Hammen &amp; de Graff (2017) - 2015 numbers</t>
  </si>
  <si>
    <t>Landings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</si>
</sst>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3" fontId="0" fillId="0" borderId="0" xfId="0" applyNumberFormat="1" applyBorder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0" xfId="0" applyFont="1" applyFill="1"/>
    <xf numFmtId="2" fontId="1" fillId="2" borderId="0" xfId="0" applyNumberFormat="1" applyFont="1" applyFill="1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0" fontId="3" fillId="2" borderId="0" xfId="0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0" fontId="0" fillId="0" borderId="0" xfId="0" applyFont="1"/>
    <xf numFmtId="0" fontId="0" fillId="0" borderId="0" xfId="0" applyNumberFormat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24</xdr:row>
      <xdr:rowOff>139609</xdr:rowOff>
    </xdr:from>
    <xdr:to>
      <xdr:col>11</xdr:col>
      <xdr:colOff>217699</xdr:colOff>
      <xdr:row>46</xdr:row>
      <xdr:rowOff>180107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656FD2-7B68-418D-9349-51E7C4A8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4" y="4711609"/>
          <a:ext cx="6704225" cy="423149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0</xdr:row>
      <xdr:rowOff>0</xdr:rowOff>
    </xdr:from>
    <xdr:to>
      <xdr:col>11</xdr:col>
      <xdr:colOff>409575</xdr:colOff>
      <xdr:row>9</xdr:row>
      <xdr:rowOff>112418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40BE3A-D3F2-418E-9D5C-0949E2B3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0"/>
          <a:ext cx="6867525" cy="1826918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9</xdr:row>
      <xdr:rowOff>171449</xdr:rowOff>
    </xdr:from>
    <xdr:to>
      <xdr:col>11</xdr:col>
      <xdr:colOff>424024</xdr:colOff>
      <xdr:row>19</xdr:row>
      <xdr:rowOff>9524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84B531-F83D-4BE2-9E7C-C4BCF5F08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5350" y="1885949"/>
          <a:ext cx="6901024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86"/>
  <sheetViews>
    <sheetView tabSelected="1" topLeftCell="A22" zoomScale="60" zoomScaleNormal="60" workbookViewId="0">
      <selection activeCell="E31" sqref="E31"/>
    </sheetView>
  </sheetViews>
  <sheetFormatPr defaultColWidth="9.140625" defaultRowHeight="15" x14ac:dyDescent="0.25"/>
  <cols>
    <col min="1" max="1" width="29.28515625" style="14" bestFit="1" customWidth="1"/>
    <col min="2" max="2" width="15.28515625" style="14" bestFit="1" customWidth="1"/>
    <col min="3" max="3" width="21.85546875" style="14" bestFit="1" customWidth="1"/>
    <col min="4" max="5" width="16.85546875" style="14" bestFit="1" customWidth="1"/>
    <col min="6" max="7" width="17" style="14" bestFit="1" customWidth="1"/>
    <col min="8" max="8" width="23.5703125" style="14" customWidth="1"/>
    <col min="9" max="9" width="23.28515625" style="14" bestFit="1" customWidth="1"/>
    <col min="10" max="10" width="26" style="14" bestFit="1" customWidth="1"/>
    <col min="11" max="11" width="20.7109375" style="14" bestFit="1" customWidth="1"/>
    <col min="12" max="12" width="20.85546875" style="14" bestFit="1" customWidth="1"/>
    <col min="13" max="16384" width="9.140625" style="14"/>
  </cols>
  <sheetData>
    <row r="1" spans="1:9" x14ac:dyDescent="0.25">
      <c r="A1" s="14" t="s">
        <v>23</v>
      </c>
      <c r="B1" s="14" t="s">
        <v>24</v>
      </c>
      <c r="C1" s="14" t="s">
        <v>7</v>
      </c>
    </row>
    <row r="2" spans="1:9" x14ac:dyDescent="0.25">
      <c r="A2" s="14" t="s">
        <v>25</v>
      </c>
      <c r="B2" s="14">
        <f>(SUMIFS('Recreational ele-nsea-chnl-celt'!D2:D13,'Recreational ele-nsea-chnl-celt'!D2:D13,"&lt;&gt;NA",'Recreational ele-nsea-chnl-celt'!E2:E13,"&lt;&gt;NA")/SUMIFS('Recreational ele-nsea-chnl-celt'!E2:E13,'Recreational ele-nsea-chnl-celt'!E2:E13,"&lt;&gt;NA",'Recreational ele-nsea-chnl-celt'!D2:D13,"&lt;&gt;NA"))*1000</f>
        <v>0.20659191301393137</v>
      </c>
    </row>
    <row r="3" spans="1:9" x14ac:dyDescent="0.25">
      <c r="A3" s="14" t="s">
        <v>26</v>
      </c>
      <c r="B3" s="14">
        <f>(SUMIFS('Recreational ele-nsea-chnl-celt'!F2:F13,'Recreational ele-nsea-chnl-celt'!F2:F13,"&lt;&gt;NA",'Recreational ele-nsea-chnl-celt'!G2:G13,"&lt;&gt;NA")/SUMIFS('Recreational ele-nsea-chnl-celt'!G2:G13,'Recreational ele-nsea-chnl-celt'!G2:G13,"&lt;&gt;NA",'Recreational ele-nsea-chnl-celt'!F2:F13,"&lt;&gt;NA"))*1000</f>
        <v>0.66731991658501033</v>
      </c>
    </row>
    <row r="4" spans="1:9" x14ac:dyDescent="0.25">
      <c r="A4" s="23" t="s">
        <v>27</v>
      </c>
      <c r="B4" s="14">
        <f>(G12+G15+G18+G16)/(E12+E15+E16+E18+G12+G15+G18+G16)</f>
        <v>0.53013700199754799</v>
      </c>
    </row>
    <row r="5" spans="1:9" x14ac:dyDescent="0.25">
      <c r="A5" s="14" t="s">
        <v>28</v>
      </c>
      <c r="B5" s="14" t="str">
        <f>'Discard rate'!A2</f>
        <v>NA</v>
      </c>
      <c r="C5" s="14" t="str">
        <f>'Discard rate'!B2</f>
        <v>NA</v>
      </c>
    </row>
    <row r="6" spans="1:9" x14ac:dyDescent="0.25">
      <c r="A6" s="14" t="s">
        <v>29</v>
      </c>
      <c r="B6" s="14">
        <f>'Discard mortality'!C2</f>
        <v>1</v>
      </c>
      <c r="C6" s="14" t="str">
        <f>'Discard mortality'!D2</f>
        <v>Precautionary value due to lack of data</v>
      </c>
    </row>
    <row r="7" spans="1:9" x14ac:dyDescent="0.25">
      <c r="A7" s="14" t="s">
        <v>30</v>
      </c>
      <c r="B7" s="14">
        <f>'Discard mortality'!A2</f>
        <v>1</v>
      </c>
      <c r="C7" s="14" t="str">
        <f>'Discard mortality'!B2</f>
        <v>Precautionary value due to lack of data</v>
      </c>
    </row>
    <row r="10" spans="1:9" x14ac:dyDescent="0.25">
      <c r="A10" s="29" t="s">
        <v>35</v>
      </c>
      <c r="B10" s="29"/>
      <c r="C10" s="29"/>
      <c r="D10" s="29"/>
      <c r="E10" s="29"/>
      <c r="F10" s="29"/>
      <c r="G10" s="29"/>
      <c r="H10" s="29"/>
      <c r="I10" s="15"/>
    </row>
    <row r="11" spans="1:9" x14ac:dyDescent="0.25">
      <c r="A11" s="14" t="s">
        <v>0</v>
      </c>
      <c r="B11" s="14" t="s">
        <v>1</v>
      </c>
      <c r="C11" s="14" t="s">
        <v>36</v>
      </c>
      <c r="D11" s="14" t="s">
        <v>37</v>
      </c>
      <c r="E11" s="14" t="s">
        <v>38</v>
      </c>
      <c r="F11" s="14" t="s">
        <v>39</v>
      </c>
      <c r="G11" s="14" t="s">
        <v>40</v>
      </c>
      <c r="H11" s="14" t="s">
        <v>41</v>
      </c>
    </row>
    <row r="12" spans="1:9" x14ac:dyDescent="0.25">
      <c r="A12" s="14" t="str">
        <f>'Recreational ele-nsea-chnl-celt'!A2</f>
        <v>Germany</v>
      </c>
      <c r="B12" s="14">
        <f>VLOOKUP($A12,'Recreational ele-nsea-chnl-celt'!$A$1:$L$13,2,FALSE)</f>
        <v>2012</v>
      </c>
      <c r="C12" s="16">
        <f>VLOOKUP($A12,'Recreational ele-nsea-chnl-celt'!$A$1:$L$13,3,FALSE)</f>
        <v>32000</v>
      </c>
      <c r="D12" s="17">
        <f>VLOOKUP($A12,'Recreational ele-nsea-chnl-celt'!$A$1:$L$13,4,FALSE)</f>
        <v>4</v>
      </c>
      <c r="E12" s="16">
        <f>VLOOKUP($A12,'Recreational ele-nsea-chnl-celt'!$A$1:$L$13,5,FALSE)</f>
        <v>16858</v>
      </c>
      <c r="F12" s="17">
        <f>VLOOKUP($A12,'Recreational ele-nsea-chnl-celt'!$A$1:$L$13,6,FALSE)</f>
        <v>0.4</v>
      </c>
      <c r="G12" s="16">
        <f>VLOOKUP($A12,'Recreational ele-nsea-chnl-celt'!$A$1:$L$13,7,FALSE)</f>
        <v>5534</v>
      </c>
      <c r="H12" s="16" t="str">
        <f>VLOOKUP($A12,'Recreational ele-nsea-chnl-celt'!$A$1:$L$13,8,FALSE)</f>
        <v>ICES WGRFS 2017</v>
      </c>
    </row>
    <row r="13" spans="1:9" x14ac:dyDescent="0.25">
      <c r="A13" s="14" t="str">
        <f>'Recreational ele-nsea-chnl-celt'!A3</f>
        <v>Denmark</v>
      </c>
      <c r="B13" s="14">
        <f>VLOOKUP($A13,'Recreational ele-nsea-chnl-celt'!$A$1:$L$13,2,FALSE)</f>
        <v>2011</v>
      </c>
      <c r="C13" s="16">
        <f>VLOOKUP($A13,'Recreational ele-nsea-chnl-celt'!$A$1:$L$13,3,FALSE)</f>
        <v>386000</v>
      </c>
      <c r="D13" s="17">
        <f>VLOOKUP($A13,'Recreational ele-nsea-chnl-celt'!$A$1:$L$13,4,FALSE)</f>
        <v>43.300000000000004</v>
      </c>
      <c r="E13" s="16" t="str">
        <f>VLOOKUP($A13,'Recreational ele-nsea-chnl-celt'!$A$1:$L$13,5,FALSE)</f>
        <v>NA</v>
      </c>
      <c r="F13" s="17" t="str">
        <f>VLOOKUP($A13,'Recreational ele-nsea-chnl-celt'!$A$1:$L$13,6,FALSE)</f>
        <v>NA</v>
      </c>
      <c r="G13" s="16">
        <f>VLOOKUP($A13,'Recreational ele-nsea-chnl-celt'!$A$1:$L$13,7,FALSE)</f>
        <v>28984</v>
      </c>
      <c r="H13" s="16" t="str">
        <f>VLOOKUP($A13,'Recreational ele-nsea-chnl-celt'!$A$1:$L$13,8,FALSE)</f>
        <v>Sparrehoven &amp; Storr-Paulsen 2011 (Actually 2010/11 numbers)</v>
      </c>
    </row>
    <row r="14" spans="1:9" x14ac:dyDescent="0.25">
      <c r="A14" s="14" t="str">
        <f>'Recreational ele-nsea-chnl-celt'!A4</f>
        <v>Norway</v>
      </c>
      <c r="B14" s="14">
        <f>VLOOKUP($A14,'Recreational ele-nsea-chnl-celt'!$A$1:$L$13,2,FALSE)</f>
        <v>2015</v>
      </c>
      <c r="C14" s="16">
        <f>VLOOKUP($A14,'Recreational ele-nsea-chnl-celt'!$A$1:$L$13,3,FALSE)</f>
        <v>1285163</v>
      </c>
      <c r="D14" s="17">
        <f>VLOOKUP($A14,'Recreational ele-nsea-chnl-celt'!$A$1:$L$13,4,FALSE)</f>
        <v>0</v>
      </c>
      <c r="E14" s="16">
        <f>VLOOKUP($A14,'Recreational ele-nsea-chnl-celt'!$A$1:$L$13,5,FALSE)</f>
        <v>0</v>
      </c>
      <c r="F14" s="17">
        <f>VLOOKUP($A14,'Recreational ele-nsea-chnl-celt'!$A$1:$L$13,6,FALSE)</f>
        <v>0</v>
      </c>
      <c r="G14" s="16">
        <f>VLOOKUP($A14,'Recreational ele-nsea-chnl-celt'!$A$1:$L$13,7,FALSE)</f>
        <v>0</v>
      </c>
      <c r="H14" s="16" t="str">
        <f>VLOOKUP($A14,'Recreational ele-nsea-chnl-celt'!$A$1:$L$13,8,FALSE)</f>
        <v>Illegal to fish eel</v>
      </c>
    </row>
    <row r="15" spans="1:9" x14ac:dyDescent="0.25">
      <c r="A15" s="14" t="str">
        <f>'Recreational ele-nsea-chnl-celt'!A5</f>
        <v>England (Target area)</v>
      </c>
      <c r="B15" s="14">
        <f>VLOOKUP($A15,'Recreational ele-nsea-chnl-celt'!$A$1:$L$13,2,FALSE)</f>
        <v>2012</v>
      </c>
      <c r="C15" s="16">
        <f>VLOOKUP($A15,'Recreational ele-nsea-chnl-celt'!$A$1:$L$13,3,FALSE)</f>
        <v>125188</v>
      </c>
      <c r="D15" s="17" t="str">
        <f>VLOOKUP($A15,'Recreational ele-nsea-chnl-celt'!$A$1:$L$13,4,FALSE)</f>
        <v>NA</v>
      </c>
      <c r="E15" s="16">
        <f>VLOOKUP($A15,'Recreational ele-nsea-chnl-celt'!$A$1:$L$13,5,FALSE)</f>
        <v>5300</v>
      </c>
      <c r="F15" s="17" t="str">
        <f>VLOOKUP($A15,'Recreational ele-nsea-chnl-celt'!$A$1:$L$13,6,FALSE)</f>
        <v>NA</v>
      </c>
      <c r="G15" s="16">
        <f>VLOOKUP($A15,'Recreational ele-nsea-chnl-celt'!$A$1:$L$13,7,FALSE)</f>
        <v>32000</v>
      </c>
      <c r="H15" s="16" t="str">
        <f>VLOOKUP($A15,'Recreational ele-nsea-chnl-celt'!$A$1:$L$13,8,FALSE)</f>
        <v>ICES WGRFS 2016</v>
      </c>
    </row>
    <row r="16" spans="1:9" x14ac:dyDescent="0.25">
      <c r="A16" s="14" t="str">
        <f>'Recreational ele-nsea-chnl-celt'!A6</f>
        <v>England (Whole)</v>
      </c>
      <c r="B16" s="14">
        <f>VLOOKUP($A16,'Recreational ele-nsea-chnl-celt'!$A$1:$L$13,2,FALSE)</f>
        <v>2012</v>
      </c>
      <c r="C16" s="16">
        <f>VLOOKUP($A16,'Recreational ele-nsea-chnl-celt'!$A$1:$L$13,3,FALSE)</f>
        <v>884000</v>
      </c>
      <c r="D16" s="17">
        <f>VLOOKUP($A16,'Recreational ele-nsea-chnl-celt'!$A$1:$L$13,4,FALSE)</f>
        <v>2.3199999999999998</v>
      </c>
      <c r="E16" s="16">
        <f>VLOOKUP($A16,'Recreational ele-nsea-chnl-celt'!$A$1:$L$13,5,FALSE)</f>
        <v>9862</v>
      </c>
      <c r="F16" s="17">
        <f>VLOOKUP($A16,'Recreational ele-nsea-chnl-celt'!$A$1:$L$13,6,FALSE)</f>
        <v>26.16</v>
      </c>
      <c r="G16" s="16">
        <f>VLOOKUP($A16,'Recreational ele-nsea-chnl-celt'!$A$1:$L$13,7,FALSE)</f>
        <v>34267</v>
      </c>
      <c r="H16" s="16" t="str">
        <f>VLOOKUP($A16,'Recreational ele-nsea-chnl-celt'!$A$1:$L$13,8,FALSE)</f>
        <v>Armstrong (2013) - Unpublished supplementary material</v>
      </c>
    </row>
    <row r="17" spans="1:13" x14ac:dyDescent="0.25">
      <c r="A17" s="14" t="str">
        <f>'Recreational ele-nsea-chnl-celt'!A7</f>
        <v>Belgium</v>
      </c>
      <c r="B17" s="14" t="str">
        <f>VLOOKUP($A17,'Recreational ele-nsea-chnl-celt'!$A$1:$L$13,2,FALSE)</f>
        <v>NA</v>
      </c>
      <c r="C17" s="16">
        <f>VLOOKUP($A17,'Recreational ele-nsea-chnl-celt'!$A$1:$L$13,3,FALSE)</f>
        <v>24409</v>
      </c>
      <c r="D17" s="17" t="str">
        <f>VLOOKUP($A17,'Recreational ele-nsea-chnl-celt'!$A$1:$L$13,4,FALSE)</f>
        <v>NA</v>
      </c>
      <c r="E17" s="16" t="str">
        <f>VLOOKUP($A17,'Recreational ele-nsea-chnl-celt'!$A$1:$L$13,5,FALSE)</f>
        <v>NA</v>
      </c>
      <c r="F17" s="17" t="str">
        <f>VLOOKUP($A17,'Recreational ele-nsea-chnl-celt'!$A$1:$L$13,6,FALSE)</f>
        <v>NA</v>
      </c>
      <c r="G17" s="16" t="str">
        <f>VLOOKUP($A17,'Recreational ele-nsea-chnl-celt'!$A$1:$L$13,7,FALSE)</f>
        <v>NA</v>
      </c>
      <c r="H17" s="16" t="str">
        <f>VLOOKUP($A17,'Recreational ele-nsea-chnl-celt'!$A$1:$L$13,8,FALSE)</f>
        <v>NA</v>
      </c>
    </row>
    <row r="18" spans="1:13" x14ac:dyDescent="0.25">
      <c r="A18" s="14" t="str">
        <f>'Recreational ele-nsea-chnl-celt'!A8</f>
        <v>Netherlands</v>
      </c>
      <c r="B18" s="14">
        <f>VLOOKUP($A18,'Recreational ele-nsea-chnl-celt'!$A$1:$L$13,2,FALSE)</f>
        <v>2012</v>
      </c>
      <c r="C18" s="16">
        <f>VLOOKUP($A18,'Recreational ele-nsea-chnl-celt'!$A$1:$L$13,3,FALSE)</f>
        <v>504108</v>
      </c>
      <c r="D18" s="17">
        <f>VLOOKUP($A18,'Recreational ele-nsea-chnl-celt'!$A$1:$L$13,4,FALSE)</f>
        <v>18</v>
      </c>
      <c r="E18" s="16">
        <f>VLOOKUP($A18,'Recreational ele-nsea-chnl-celt'!$A$1:$L$13,5,FALSE)</f>
        <v>91000</v>
      </c>
      <c r="F18" s="17" t="str">
        <f>VLOOKUP($A18,'Recreational ele-nsea-chnl-celt'!$A$1:$L$13,6,FALSE)</f>
        <v>NA</v>
      </c>
      <c r="G18" s="16">
        <f>VLOOKUP($A18,'Recreational ele-nsea-chnl-celt'!$A$1:$L$13,7,FALSE)</f>
        <v>67000</v>
      </c>
      <c r="H18" s="16" t="str">
        <f>VLOOKUP($A18,'Recreational ele-nsea-chnl-celt'!$A$1:$L$13,8,FALSE)</f>
        <v>van der Hammen &amp; de Graff (2015); WGRFS (2016)</v>
      </c>
    </row>
    <row r="19" spans="1:13" x14ac:dyDescent="0.25">
      <c r="A19" s="14" t="str">
        <f>'Recreational ele-nsea-chnl-celt'!A9</f>
        <v>Scotland</v>
      </c>
      <c r="B19" s="14" t="str">
        <f>VLOOKUP($A19,'Recreational ele-nsea-chnl-celt'!$A$1:$L$13,2,FALSE)</f>
        <v>NA</v>
      </c>
      <c r="C19" s="16">
        <f>VLOOKUP($A19,'Recreational ele-nsea-chnl-celt'!$A$1:$L$13,3,FALSE)</f>
        <v>125188</v>
      </c>
      <c r="D19" s="17" t="str">
        <f>VLOOKUP($A19,'Recreational ele-nsea-chnl-celt'!$A$1:$L$13,4,FALSE)</f>
        <v>NA</v>
      </c>
      <c r="E19" s="16" t="str">
        <f>VLOOKUP($A19,'Recreational ele-nsea-chnl-celt'!$A$1:$L$13,5,FALSE)</f>
        <v>NA</v>
      </c>
      <c r="F19" s="17" t="str">
        <f>VLOOKUP($A19,'Recreational ele-nsea-chnl-celt'!$A$1:$L$13,6,FALSE)</f>
        <v>NA</v>
      </c>
      <c r="G19" s="16" t="str">
        <f>VLOOKUP($A19,'Recreational ele-nsea-chnl-celt'!$A$1:$L$13,7,FALSE)</f>
        <v>NA</v>
      </c>
      <c r="H19" s="16" t="str">
        <f>VLOOKUP($A19,'Recreational ele-nsea-chnl-celt'!$A$1:$L$13,8,FALSE)</f>
        <v>NA</v>
      </c>
    </row>
    <row r="20" spans="1:13" x14ac:dyDescent="0.25">
      <c r="A20" s="14" t="str">
        <f>'Recreational ele-nsea-chnl-celt'!A10</f>
        <v>France</v>
      </c>
      <c r="B20" s="14" t="str">
        <f>VLOOKUP($A20,'Recreational ele-nsea-chnl-celt'!$A$1:$L$13,2,FALSE)</f>
        <v>NA</v>
      </c>
      <c r="C20" s="16">
        <f>VLOOKUP($A20,'Recreational ele-nsea-chnl-celt'!$A$1:$L$13,3,FALSE)</f>
        <v>791000</v>
      </c>
      <c r="D20" s="17" t="str">
        <f>VLOOKUP($A20,'Recreational ele-nsea-chnl-celt'!$A$1:$L$13,4,FALSE)</f>
        <v>NA</v>
      </c>
      <c r="E20" s="16" t="str">
        <f>VLOOKUP($A20,'Recreational ele-nsea-chnl-celt'!$A$1:$L$13,5,FALSE)</f>
        <v>NA</v>
      </c>
      <c r="F20" s="17" t="str">
        <f>VLOOKUP($A20,'Recreational ele-nsea-chnl-celt'!$A$1:$L$13,6,FALSE)</f>
        <v>NA</v>
      </c>
      <c r="G20" s="16" t="str">
        <f>VLOOKUP($A20,'Recreational ele-nsea-chnl-celt'!$A$1:$L$13,7,FALSE)</f>
        <v>NA</v>
      </c>
      <c r="H20" s="16" t="str">
        <f>VLOOKUP($A20,'Recreational ele-nsea-chnl-celt'!$A$1:$L$13,8,FALSE)</f>
        <v>NA</v>
      </c>
    </row>
    <row r="21" spans="1:13" x14ac:dyDescent="0.25">
      <c r="A21" s="14" t="str">
        <f>'Recreational ele-nsea-chnl-celt'!A11</f>
        <v>Wales</v>
      </c>
      <c r="B21" s="14" t="str">
        <f>VLOOKUP($A21,'Recreational ele-nsea-chnl-celt'!$A$1:$L$13,2,FALSE)</f>
        <v>NA</v>
      </c>
      <c r="C21" s="16">
        <f>VLOOKUP($A21,'Recreational ele-nsea-chnl-celt'!$A$1:$L$13,3,FALSE)</f>
        <v>76000</v>
      </c>
      <c r="D21" s="17" t="str">
        <f>VLOOKUP($A21,'Recreational ele-nsea-chnl-celt'!$A$1:$L$13,4,FALSE)</f>
        <v>NA</v>
      </c>
      <c r="E21" s="16" t="str">
        <f>VLOOKUP($A21,'Recreational ele-nsea-chnl-celt'!$A$1:$L$13,5,FALSE)</f>
        <v>NA</v>
      </c>
      <c r="F21" s="17" t="str">
        <f>VLOOKUP($A21,'Recreational ele-nsea-chnl-celt'!$A$1:$L$13,6,FALSE)</f>
        <v>NA</v>
      </c>
      <c r="G21" s="16" t="str">
        <f>VLOOKUP($A21,'Recreational ele-nsea-chnl-celt'!$A$1:$L$13,7,FALSE)</f>
        <v>NA</v>
      </c>
      <c r="H21" s="16" t="str">
        <f>VLOOKUP($A21,'Recreational ele-nsea-chnl-celt'!$A$1:$L$13,8,FALSE)</f>
        <v>NA</v>
      </c>
    </row>
    <row r="22" spans="1:13" x14ac:dyDescent="0.25">
      <c r="A22" s="14" t="str">
        <f>'Recreational ele-nsea-chnl-celt'!A12</f>
        <v>Ireland</v>
      </c>
      <c r="B22" s="14" t="str">
        <f>VLOOKUP($A22,'Recreational ele-nsea-chnl-celt'!$A$1:$L$13,2,FALSE)</f>
        <v>NA</v>
      </c>
      <c r="C22" s="16">
        <f>VLOOKUP($A22,'Recreational ele-nsea-chnl-celt'!$A$1:$L$13,3,FALSE)</f>
        <v>76600</v>
      </c>
      <c r="D22" s="17" t="str">
        <f>VLOOKUP($A22,'Recreational ele-nsea-chnl-celt'!$A$1:$L$13,4,FALSE)</f>
        <v>NA</v>
      </c>
      <c r="E22" s="16" t="str">
        <f>VLOOKUP($A22,'Recreational ele-nsea-chnl-celt'!$A$1:$L$13,5,FALSE)</f>
        <v>NA</v>
      </c>
      <c r="F22" s="17" t="str">
        <f>VLOOKUP($A22,'Recreational ele-nsea-chnl-celt'!$A$1:$L$13,6,FALSE)</f>
        <v>NA</v>
      </c>
      <c r="G22" s="16" t="str">
        <f>VLOOKUP($A22,'Recreational ele-nsea-chnl-celt'!$A$1:$L$13,7,FALSE)</f>
        <v>NA</v>
      </c>
      <c r="H22" s="16" t="str">
        <f>VLOOKUP($A22,'Recreational ele-nsea-chnl-celt'!$A$1:$L$13,8,FALSE)</f>
        <v>NA</v>
      </c>
    </row>
    <row r="24" spans="1:13" x14ac:dyDescent="0.25">
      <c r="A24" s="29" t="s">
        <v>42</v>
      </c>
      <c r="B24" s="29"/>
      <c r="C24" s="29"/>
      <c r="D24" s="29"/>
      <c r="E24" s="29"/>
      <c r="F24" s="29"/>
      <c r="G24" s="29"/>
      <c r="H24" s="29"/>
      <c r="I24" s="29"/>
      <c r="J24" s="29" t="s">
        <v>43</v>
      </c>
      <c r="K24" s="29"/>
      <c r="L24" s="29"/>
    </row>
    <row r="25" spans="1:13" x14ac:dyDescent="0.25">
      <c r="A25" s="14" t="s">
        <v>0</v>
      </c>
      <c r="B25" s="14" t="s">
        <v>44</v>
      </c>
      <c r="C25" s="14" t="s">
        <v>37</v>
      </c>
      <c r="D25" s="14" t="s">
        <v>38</v>
      </c>
      <c r="E25" s="14" t="s">
        <v>39</v>
      </c>
      <c r="F25" s="14" t="s">
        <v>40</v>
      </c>
      <c r="G25" s="14" t="s">
        <v>45</v>
      </c>
      <c r="H25" s="14" t="s">
        <v>46</v>
      </c>
      <c r="I25" s="14" t="s">
        <v>47</v>
      </c>
      <c r="J25" s="14" t="s">
        <v>48</v>
      </c>
      <c r="K25" s="14" t="s">
        <v>49</v>
      </c>
      <c r="L25" s="14" t="s">
        <v>50</v>
      </c>
      <c r="M25" s="14" t="s">
        <v>93</v>
      </c>
    </row>
    <row r="26" spans="1:13" x14ac:dyDescent="0.25">
      <c r="A26" s="14" t="str">
        <f>A12</f>
        <v>Germany</v>
      </c>
      <c r="B26" s="16">
        <f>C12</f>
        <v>32000</v>
      </c>
      <c r="C26" s="18">
        <f>ROUND(IF(J26 = "None", D12, IF(J26 = "EN", $B26/$C$16*D$16, IF(J26 = "NL", $B26/$C$18*D$18, IF(J26 = "Avg", D26*($B$2/1000), "Help")))), 2)</f>
        <v>4</v>
      </c>
      <c r="D26" s="14">
        <f>ROUND(IF(K26 = "None", E12, IF(K26 = "Avg", C26/($B$2/1000), IF(K26 = "EN", $B26/$C$16*$E$16, IF(K26 = "NL", $B26/$C$18*$E$18, "Error")))),0)</f>
        <v>16858</v>
      </c>
      <c r="E26" s="18">
        <f>ROUND(IF(F12&lt;&gt;"NA",F12,F26*($B$3/1000)), 2)</f>
        <v>0.4</v>
      </c>
      <c r="F26" s="14">
        <f>ROUND(IF(L26 = "None", G12, IF(L26 = "EN", B26/$C$16*$G$16, IF(L26 = "NL", B26/$C$18*$G$18, "Error"))),0)</f>
        <v>5534</v>
      </c>
      <c r="H26" s="14" t="str">
        <f>IF(D12 = "NA", "Y", "N")</f>
        <v>N</v>
      </c>
      <c r="I26" s="14" t="str">
        <f>IF(F12 = "NA", "Y", "N")</f>
        <v>N</v>
      </c>
      <c r="J26" s="14" t="s">
        <v>51</v>
      </c>
      <c r="K26" s="14" t="s">
        <v>51</v>
      </c>
      <c r="L26" s="14" t="s">
        <v>51</v>
      </c>
      <c r="M26" s="14">
        <v>0</v>
      </c>
    </row>
    <row r="27" spans="1:13" x14ac:dyDescent="0.25">
      <c r="A27" s="14" t="str">
        <f>A13</f>
        <v>Denmark</v>
      </c>
      <c r="B27" s="16">
        <f>C13</f>
        <v>386000</v>
      </c>
      <c r="C27" s="18">
        <f>ROUND(IF(J27 = "None", D13, IF(J27 = "EN", $B27/$C$16*D$16, IF(J27 = "NL", $B27/$C$18*D$18, IF(J27 = "Avg", D27*($B$2/1000), "Help")))), 2)</f>
        <v>43.3</v>
      </c>
      <c r="D27" s="14">
        <f>ROUND(IF(K27 = "None", E13, IF(K27 = "Avg", C27/($B$2/1000), IF(K27 = "EN", $B27/$C$16*$E$16, IF(K27 = "NL", $B27/$C$18*$E$18, "Error")))),0)</f>
        <v>209592</v>
      </c>
      <c r="E27" s="18">
        <f>ROUND(IF(F13&lt;&gt;"NA",F13,F27*($B$3/1000)), 2)</f>
        <v>19.34</v>
      </c>
      <c r="F27" s="14">
        <f>ROUND(IF(L27 = "None", G13, IF(L27 = "EN", B27/$C$16*$G$16, IF(L27 = "NL", B27/$C$18*$G$18, "Error"))),0)</f>
        <v>28984</v>
      </c>
      <c r="H27" s="14" t="str">
        <f>IF(D13 = "NA", "Y", "N")</f>
        <v>N</v>
      </c>
      <c r="I27" s="14" t="str">
        <f>IF(F13 = "NA", "Y", "N")</f>
        <v>Y</v>
      </c>
      <c r="J27" s="14" t="s">
        <v>51</v>
      </c>
      <c r="K27" s="14" t="s">
        <v>52</v>
      </c>
      <c r="L27" s="14" t="s">
        <v>51</v>
      </c>
      <c r="M27" s="14">
        <v>0</v>
      </c>
    </row>
    <row r="28" spans="1:13" x14ac:dyDescent="0.25">
      <c r="A28" s="14" t="str">
        <f>A14</f>
        <v>Norway</v>
      </c>
      <c r="B28" s="16">
        <f>C14</f>
        <v>1285163</v>
      </c>
      <c r="C28" s="18">
        <f>ROUND(IF(J28 = "None", D14, IF(J28 = "EN", $B28/$C$16*D$16, IF(J28 = "NL", $B28/$C$18*D$18, IF(J28 = "Avg", D28*($B$2/1000), "Help")))), 2)</f>
        <v>0</v>
      </c>
      <c r="D28" s="14">
        <f>ROUND(IF(K28 = "None", E14, IF(K28 = "Avg", C28/($B$2/1000), IF(K28 = "EN", $B28/$C$16*$E$16, IF(K28 = "NL", $B28/$C$18*$E$18, "Error")))),0)</f>
        <v>0</v>
      </c>
      <c r="E28" s="18">
        <f>ROUND(IF(F14&lt;&gt;"NA",F14,F28*($B$3/1000)), 2)</f>
        <v>0</v>
      </c>
      <c r="F28" s="14">
        <f>ROUND(IF(L28 = "None", G14, IF(L28 = "EN", B28/$C$16*$G$16, IF(L28 = "NL", B28/$C$18*$G$18, "Error"))),0)</f>
        <v>0</v>
      </c>
      <c r="G28" s="14" t="s">
        <v>58</v>
      </c>
      <c r="H28" s="14" t="str">
        <f>IF(D14 = "NA", "Y", "N")</f>
        <v>N</v>
      </c>
      <c r="I28" s="14" t="str">
        <f>IF(F14 = "NA", "Y", "N")</f>
        <v>N</v>
      </c>
      <c r="J28" s="14" t="s">
        <v>51</v>
      </c>
      <c r="K28" s="14" t="s">
        <v>51</v>
      </c>
      <c r="L28" s="14" t="s">
        <v>51</v>
      </c>
      <c r="M28" s="14">
        <v>0</v>
      </c>
    </row>
    <row r="29" spans="1:13" x14ac:dyDescent="0.25">
      <c r="A29" s="14" t="str">
        <f>A15</f>
        <v>England (Target area)</v>
      </c>
      <c r="B29" s="16">
        <f>C15</f>
        <v>125188</v>
      </c>
      <c r="C29" s="18">
        <f>ROUND(IF(J29 = "None", D15, IF(J29 = "EN", $B29/$C$16*D$16, IF(J29 = "NL", $B29/$C$18*D$18, IF(J29 = "Avg", D29*($B$2/1000), "Help")))), 2)</f>
        <v>1.0900000000000001</v>
      </c>
      <c r="D29" s="14">
        <f>ROUND(IF(K29 = "None", E15, IF(K29 = "Avg", C29/($B$2/1000), IF(K29 = "EN", $B29/$C$16*$E$16, IF(K29 = "NL", $B29/$C$18*$E$18, "Error")))),0)</f>
        <v>5300</v>
      </c>
      <c r="E29" s="18">
        <f>ROUND(IF(F15&lt;&gt;"NA",F15,F29*($B$3/1000)), 2)</f>
        <v>21.35</v>
      </c>
      <c r="F29" s="14">
        <f>ROUND(IF(L29 = "None", G15, IF(L29 = "EN", B29/$C$16*$G$16, IF(L29 = "NL", B29/$C$18*$G$18, "Error"))),0)</f>
        <v>32000</v>
      </c>
      <c r="H29" s="14" t="str">
        <f>IF(D15 = "NA", "Y", "N")</f>
        <v>Y</v>
      </c>
      <c r="I29" s="14" t="str">
        <f>IF(F15 = "NA", "Y", "N")</f>
        <v>Y</v>
      </c>
      <c r="J29" s="14" t="s">
        <v>52</v>
      </c>
      <c r="K29" s="14" t="s">
        <v>51</v>
      </c>
      <c r="L29" s="14" t="s">
        <v>51</v>
      </c>
      <c r="M29" s="14">
        <v>3</v>
      </c>
    </row>
    <row r="30" spans="1:13" x14ac:dyDescent="0.25">
      <c r="A30" s="14" t="str">
        <f>A17</f>
        <v>Belgium</v>
      </c>
      <c r="B30" s="16">
        <f>C17</f>
        <v>24409</v>
      </c>
      <c r="C30" s="18">
        <f t="shared" ref="C30:C35" si="0">ROUND(IF(J30 = "None", D17, IF(J30 = "EN", $B30/$C$16*D$16, IF(J30 = "NL", $B30/$C$18*D$18, IF(J30 = "Avg", D30*($B$2/1000), "Help")))), 2)</f>
        <v>0.91</v>
      </c>
      <c r="D30" s="14">
        <f t="shared" ref="D30:D35" si="1">ROUND(IF(K30 = "None", E17, IF(K30 = "Avg", C30/($B$2/1000), IF(K30 = "EN", $B30/$C$16*$E$16, IF(K30 = "NL", $B30/$C$18*$E$18, "Error")))),0)</f>
        <v>4406</v>
      </c>
      <c r="E30" s="18">
        <f>ROUND(IF(F17&lt;&gt;"NA",F17,F30*($B$3/1000)), 2)</f>
        <v>2.16</v>
      </c>
      <c r="F30" s="14">
        <f>ROUND(IF(L30 = "None", G17, IF(L30 = "EN", B30/$C$16*$G$16, IF(L30 = "NL", B30/$C$18*$G$18, "Error"))),0)</f>
        <v>3244</v>
      </c>
      <c r="H30" s="14" t="str">
        <f>IF(D17 = "NA", "Y", "N")</f>
        <v>Y</v>
      </c>
      <c r="I30" s="14" t="str">
        <f>IF(F17 = "NA", "Y", "N")</f>
        <v>Y</v>
      </c>
      <c r="J30" s="14" t="s">
        <v>52</v>
      </c>
      <c r="K30" s="14" t="s">
        <v>55</v>
      </c>
      <c r="L30" s="14" t="s">
        <v>55</v>
      </c>
      <c r="M30" s="14">
        <v>0</v>
      </c>
    </row>
    <row r="31" spans="1:13" x14ac:dyDescent="0.25">
      <c r="A31" s="14" t="str">
        <f>A18</f>
        <v>Netherlands</v>
      </c>
      <c r="B31" s="16">
        <f>C18</f>
        <v>504108</v>
      </c>
      <c r="C31" s="18">
        <f t="shared" si="0"/>
        <v>18</v>
      </c>
      <c r="D31" s="14">
        <f t="shared" si="1"/>
        <v>91000</v>
      </c>
      <c r="E31" s="18">
        <f t="shared" ref="E31:E35" si="2">ROUND(IF(F18&lt;&gt;"NA",F18,F31*($B$3/1000)), 2)</f>
        <v>44.71</v>
      </c>
      <c r="F31" s="14">
        <f>ROUND(IF(L31 = "None", G18, IF(L31 = "EN", B31/$C$16*$G$16, IF(L31 = "NL", B31/$C$18*$G$18, "Error"))),0)</f>
        <v>67000</v>
      </c>
      <c r="H31" s="14" t="str">
        <f>IF(D18 = "NA", "Y", "N")</f>
        <v>N</v>
      </c>
      <c r="I31" s="14" t="str">
        <f>IF(F18 = "NA", "Y", "N")</f>
        <v>Y</v>
      </c>
      <c r="J31" s="14" t="s">
        <v>51</v>
      </c>
      <c r="K31" s="14" t="s">
        <v>51</v>
      </c>
      <c r="L31" s="14" t="s">
        <v>51</v>
      </c>
      <c r="M31" s="14">
        <v>0</v>
      </c>
    </row>
    <row r="32" spans="1:13" x14ac:dyDescent="0.25">
      <c r="A32" s="14" t="str">
        <f>A19</f>
        <v>Scotland</v>
      </c>
      <c r="B32" s="16">
        <f>C19</f>
        <v>125188</v>
      </c>
      <c r="C32" s="18">
        <f t="shared" si="0"/>
        <v>0.28999999999999998</v>
      </c>
      <c r="D32" s="14">
        <f t="shared" si="1"/>
        <v>1397</v>
      </c>
      <c r="E32" s="18">
        <f t="shared" si="2"/>
        <v>3.24</v>
      </c>
      <c r="F32" s="14">
        <f>ROUND(IF(L32 = "None", G19, IF(L32 = "EN", B32/$C$16*$G$16, IF(L32 = "NL", B32/$C$18*$G$18, "Error"))),0)</f>
        <v>4853</v>
      </c>
      <c r="H32" s="14" t="str">
        <f>IF(D19 = "NA", "Y", "N")</f>
        <v>Y</v>
      </c>
      <c r="I32" s="14" t="str">
        <f>IF(F19 = "NA", "Y", "N")</f>
        <v>Y</v>
      </c>
      <c r="J32" s="14" t="s">
        <v>52</v>
      </c>
      <c r="K32" s="14" t="s">
        <v>54</v>
      </c>
      <c r="L32" s="14" t="s">
        <v>54</v>
      </c>
      <c r="M32" s="14">
        <v>2</v>
      </c>
    </row>
    <row r="33" spans="1:20" x14ac:dyDescent="0.25">
      <c r="A33" s="14" t="str">
        <f>A20</f>
        <v>France</v>
      </c>
      <c r="B33" s="16">
        <f>C20</f>
        <v>791000</v>
      </c>
      <c r="C33" s="18">
        <f t="shared" si="0"/>
        <v>1.82</v>
      </c>
      <c r="D33" s="14">
        <f t="shared" si="1"/>
        <v>8824</v>
      </c>
      <c r="E33" s="18">
        <f t="shared" si="2"/>
        <v>20.46</v>
      </c>
      <c r="F33" s="14">
        <f>ROUND(IF(L33 = "None", G20, IF(L33 = "EN", B33/$C$16*$G$16, IF(L33 = "NL", B33/$C$18*$G$18, "Error"))),0)</f>
        <v>30662</v>
      </c>
      <c r="H33" s="14" t="str">
        <f>IF(D20 = "NA", "Y", "N")</f>
        <v>Y</v>
      </c>
      <c r="I33" s="14" t="str">
        <f>IF(F20 = "NA", "Y", "N")</f>
        <v>Y</v>
      </c>
      <c r="J33" s="14" t="s">
        <v>52</v>
      </c>
      <c r="K33" s="14" t="s">
        <v>54</v>
      </c>
      <c r="L33" s="14" t="s">
        <v>54</v>
      </c>
      <c r="M33" s="14">
        <v>2</v>
      </c>
    </row>
    <row r="34" spans="1:20" x14ac:dyDescent="0.25">
      <c r="A34" s="14" t="str">
        <f t="shared" ref="A34:A35" si="3">A21</f>
        <v>Wales</v>
      </c>
      <c r="B34" s="16">
        <f t="shared" ref="B34:B35" si="4">C21</f>
        <v>76000</v>
      </c>
      <c r="C34" s="18">
        <f>ROUND(IF(J34 = "None", D21, IF(J34 = "EN", $B34/$C$16*D$16, IF(J34 = "NL", $B34/$C$18*D$18, IF(J34 = "Avg", D34*($B$2/1000), "Help")))), 2)</f>
        <v>0.18</v>
      </c>
      <c r="D34" s="14">
        <f t="shared" si="1"/>
        <v>848</v>
      </c>
      <c r="E34" s="18">
        <f t="shared" si="2"/>
        <v>1.97</v>
      </c>
      <c r="F34" s="14">
        <f t="shared" ref="F34:F35" si="5">ROUND(IF(L34 = "None", G21, IF(L34 = "EN", B34/$C$16*$G$16, IF(L34 = "NL", B34/$C$18*$G$18, "Error"))),0)</f>
        <v>2946</v>
      </c>
      <c r="H34" s="14" t="str">
        <f t="shared" ref="H34" si="6">IF(D21 = "NA", "Y", "N")</f>
        <v>Y</v>
      </c>
      <c r="I34" s="14" t="str">
        <f t="shared" ref="I34:I35" si="7">IF(F21 = "NA", "Y", "N")</f>
        <v>Y</v>
      </c>
      <c r="J34" s="14" t="s">
        <v>52</v>
      </c>
      <c r="K34" s="14" t="s">
        <v>54</v>
      </c>
      <c r="L34" s="14" t="s">
        <v>54</v>
      </c>
      <c r="M34" s="14">
        <v>2</v>
      </c>
    </row>
    <row r="35" spans="1:20" x14ac:dyDescent="0.25">
      <c r="A35" s="14" t="str">
        <f t="shared" si="3"/>
        <v>Ireland</v>
      </c>
      <c r="B35" s="16">
        <f t="shared" si="4"/>
        <v>76600</v>
      </c>
      <c r="C35" s="18">
        <f t="shared" si="0"/>
        <v>0.18</v>
      </c>
      <c r="D35" s="14">
        <f t="shared" si="1"/>
        <v>855</v>
      </c>
      <c r="E35" s="18">
        <f t="shared" si="2"/>
        <v>1.98</v>
      </c>
      <c r="F35" s="14">
        <f t="shared" si="5"/>
        <v>2969</v>
      </c>
      <c r="H35" s="14" t="str">
        <f>IF(D22 = "NA", "Y", "N")</f>
        <v>Y</v>
      </c>
      <c r="I35" s="14" t="str">
        <f t="shared" si="7"/>
        <v>Y</v>
      </c>
      <c r="J35" s="14" t="s">
        <v>52</v>
      </c>
      <c r="K35" s="14" t="s">
        <v>54</v>
      </c>
      <c r="L35" s="14" t="s">
        <v>54</v>
      </c>
      <c r="M35" s="14">
        <v>2</v>
      </c>
    </row>
    <row r="36" spans="1:20" x14ac:dyDescent="0.25">
      <c r="B36" s="16"/>
      <c r="C36" s="18"/>
      <c r="E36" s="18"/>
    </row>
    <row r="37" spans="1:20" x14ac:dyDescent="0.25">
      <c r="F37" s="18"/>
      <c r="H37" s="18"/>
    </row>
    <row r="38" spans="1:20" x14ac:dyDescent="0.25">
      <c r="A38" s="29" t="s">
        <v>59</v>
      </c>
      <c r="B38" s="29"/>
      <c r="C38" s="29"/>
      <c r="T38" s="23" t="s">
        <v>94</v>
      </c>
    </row>
    <row r="39" spans="1:20" x14ac:dyDescent="0.25">
      <c r="A39" s="14" t="s">
        <v>37</v>
      </c>
      <c r="B39" s="14" t="s">
        <v>60</v>
      </c>
      <c r="C39" s="14" t="s">
        <v>61</v>
      </c>
    </row>
    <row r="40" spans="1:20" x14ac:dyDescent="0.25">
      <c r="A40" s="19">
        <f>SUMIF(H26:H35,"&lt;&gt;N",C26:C35)/SUM(C26:C35)</f>
        <v>6.4067650852802055E-2</v>
      </c>
      <c r="B40" s="19">
        <f>SUMIF(I26:I35,"&lt;&gt;N",E26:E35)/SUM(E26:E35)</f>
        <v>0.99654009168757018</v>
      </c>
      <c r="C40" s="19">
        <f>(SUMIF(H26:H35,"&lt;&gt;N",C26:C35)+SUMIF(I26:I35,"&lt;&gt;N",E26:E35))/SUM(C26:C35,E26:E35)</f>
        <v>0.64559283633617426</v>
      </c>
      <c r="D40" s="19"/>
    </row>
    <row r="42" spans="1:20" x14ac:dyDescent="0.25">
      <c r="A42" s="29" t="s">
        <v>62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20" x14ac:dyDescent="0.25">
      <c r="B43" s="29" t="s">
        <v>34</v>
      </c>
      <c r="C43" s="29"/>
      <c r="D43" s="29"/>
      <c r="E43" s="29" t="s">
        <v>33</v>
      </c>
      <c r="F43" s="29"/>
      <c r="G43" s="29"/>
      <c r="H43" s="29" t="s">
        <v>63</v>
      </c>
      <c r="I43" s="29"/>
    </row>
    <row r="44" spans="1:20" x14ac:dyDescent="0.25">
      <c r="A44" s="14" t="s">
        <v>0</v>
      </c>
      <c r="B44" s="14" t="s">
        <v>64</v>
      </c>
      <c r="C44" s="14" t="s">
        <v>65</v>
      </c>
      <c r="D44" s="14" t="s">
        <v>66</v>
      </c>
      <c r="E44" s="14" t="s">
        <v>67</v>
      </c>
      <c r="F44" s="14" t="s">
        <v>68</v>
      </c>
      <c r="G44" s="14" t="s">
        <v>66</v>
      </c>
      <c r="H44" s="14" t="s">
        <v>34</v>
      </c>
      <c r="I44" s="14" t="s">
        <v>33</v>
      </c>
      <c r="J44" s="14" t="s">
        <v>7</v>
      </c>
      <c r="K44" s="14" t="s">
        <v>69</v>
      </c>
      <c r="L44" s="14" t="s">
        <v>93</v>
      </c>
    </row>
    <row r="45" spans="1:20" x14ac:dyDescent="0.25">
      <c r="A45" s="14" t="str">
        <f>A26</f>
        <v>Germany</v>
      </c>
      <c r="B45" s="18">
        <f>C26</f>
        <v>4</v>
      </c>
      <c r="C45" s="14">
        <f t="shared" ref="C45:C54" si="8">ROUND(E26*$B$6, 2)</f>
        <v>0.4</v>
      </c>
      <c r="D45" s="18">
        <f>B45+C45</f>
        <v>4.4000000000000004</v>
      </c>
      <c r="E45" s="14">
        <f>'ele-3a,4,7'!E39</f>
        <v>0</v>
      </c>
      <c r="F45" s="14">
        <v>0</v>
      </c>
      <c r="G45" s="14">
        <f>E45+F45</f>
        <v>0</v>
      </c>
      <c r="H45" s="19">
        <f>D45/K45</f>
        <v>1</v>
      </c>
      <c r="I45" s="19">
        <f>G45/K45</f>
        <v>0</v>
      </c>
      <c r="J45" s="14" t="str">
        <f>VLOOKUP($A45,'Commercial ele-nsea-chnl-celt'!$A$1:$F$13,3, FALSE)</f>
        <v>ICES (2017)</v>
      </c>
      <c r="K45" s="18">
        <f>D45+G45</f>
        <v>4.4000000000000004</v>
      </c>
      <c r="L45" s="14">
        <f>(D45*M26)</f>
        <v>0</v>
      </c>
    </row>
    <row r="46" spans="1:20" x14ac:dyDescent="0.25">
      <c r="A46" s="14" t="str">
        <f>A27</f>
        <v>Denmark</v>
      </c>
      <c r="B46" s="18">
        <f>C27</f>
        <v>43.3</v>
      </c>
      <c r="C46" s="14">
        <f t="shared" si="8"/>
        <v>19.34</v>
      </c>
      <c r="D46" s="18">
        <f t="shared" ref="D46:D51" si="9">B46+C46</f>
        <v>62.64</v>
      </c>
      <c r="E46" s="14">
        <f>ROUND(VLOOKUP($A46,'Commercial ele-nsea-chnl-celt'!$A$1:$F$13,2, FALSE),2)</f>
        <v>37</v>
      </c>
      <c r="F46" s="14">
        <v>0</v>
      </c>
      <c r="G46" s="14">
        <f t="shared" ref="G46:G54" si="10">E46+F46</f>
        <v>37</v>
      </c>
      <c r="H46" s="19">
        <f t="shared" ref="H46:H54" si="11">D46/K46</f>
        <v>0.62866318747490968</v>
      </c>
      <c r="I46" s="19">
        <f t="shared" ref="I46:I54" si="12">G46/K46</f>
        <v>0.37133681252509032</v>
      </c>
      <c r="J46" s="14" t="str">
        <f>VLOOKUP($A46,'Commercial ele-nsea-chnl-celt'!$A$1:$F$13,3, FALSE)</f>
        <v>ICES (2017)</v>
      </c>
      <c r="K46" s="18">
        <f t="shared" ref="K46:K54" si="13">D46+G46</f>
        <v>99.64</v>
      </c>
      <c r="L46" s="14">
        <f t="shared" ref="L46:L54" si="14">(D46*M27)</f>
        <v>0</v>
      </c>
    </row>
    <row r="47" spans="1:20" x14ac:dyDescent="0.25">
      <c r="A47" s="14" t="str">
        <f t="shared" ref="A47:A50" si="15">A28</f>
        <v>Norway</v>
      </c>
      <c r="B47" s="18">
        <f t="shared" ref="B47:B54" si="16">C28</f>
        <v>0</v>
      </c>
      <c r="C47" s="14">
        <f t="shared" si="8"/>
        <v>0</v>
      </c>
      <c r="D47" s="18">
        <f t="shared" si="9"/>
        <v>0</v>
      </c>
      <c r="E47" s="14">
        <f>ROUND(VLOOKUP($A47,'Commercial ele-nsea-chnl-celt'!$A$1:$F$13,2, FALSE),2)</f>
        <v>0</v>
      </c>
      <c r="F47" s="14">
        <v>0</v>
      </c>
      <c r="G47" s="14">
        <f t="shared" si="10"/>
        <v>0</v>
      </c>
      <c r="H47" s="28" t="s">
        <v>72</v>
      </c>
      <c r="I47" s="28"/>
      <c r="J47" s="14" t="str">
        <f>VLOOKUP($A47,'Commercial ele-nsea-chnl-celt'!$A$1:$F$13,3, FALSE)</f>
        <v>ICES (2017)</v>
      </c>
      <c r="K47" s="18">
        <f>D47+G47</f>
        <v>0</v>
      </c>
      <c r="L47" s="14">
        <f t="shared" si="14"/>
        <v>0</v>
      </c>
    </row>
    <row r="48" spans="1:20" x14ac:dyDescent="0.25">
      <c r="A48" s="14" t="str">
        <f t="shared" si="15"/>
        <v>England (Target area)</v>
      </c>
      <c r="B48" s="18">
        <f t="shared" si="16"/>
        <v>1.0900000000000001</v>
      </c>
      <c r="C48" s="14">
        <f t="shared" si="8"/>
        <v>21.35</v>
      </c>
      <c r="D48" s="18">
        <f t="shared" si="9"/>
        <v>22.44</v>
      </c>
      <c r="E48" s="14">
        <f>ROUND(VLOOKUP($A48,'Commercial ele-nsea-chnl-celt'!$A$1:$F$13,2, FALSE),2)</f>
        <v>0.32</v>
      </c>
      <c r="F48" s="14">
        <v>0</v>
      </c>
      <c r="G48" s="14">
        <f t="shared" si="10"/>
        <v>0.32</v>
      </c>
      <c r="H48" s="19">
        <f t="shared" si="11"/>
        <v>0.98594024604569419</v>
      </c>
      <c r="I48" s="19">
        <f t="shared" si="12"/>
        <v>1.4059753954305799E-2</v>
      </c>
      <c r="J48" s="14" t="str">
        <f>VLOOKUP($A48,'Commercial ele-nsea-chnl-celt'!$A$1:$F$13,3, FALSE)</f>
        <v>MMO (2012)</v>
      </c>
      <c r="K48" s="18">
        <f t="shared" si="13"/>
        <v>22.76</v>
      </c>
      <c r="L48" s="14">
        <f t="shared" si="14"/>
        <v>67.320000000000007</v>
      </c>
    </row>
    <row r="49" spans="1:12" x14ac:dyDescent="0.25">
      <c r="A49" s="14" t="str">
        <f t="shared" si="15"/>
        <v>Belgium</v>
      </c>
      <c r="B49" s="18">
        <f t="shared" si="16"/>
        <v>0.91</v>
      </c>
      <c r="C49" s="14">
        <f t="shared" si="8"/>
        <v>2.16</v>
      </c>
      <c r="D49" s="18">
        <f t="shared" si="9"/>
        <v>3.0700000000000003</v>
      </c>
      <c r="E49" s="14">
        <f>ROUND(VLOOKUP($A49,'Commercial ele-nsea-chnl-celt'!$A$1:$F$13,2, FALSE),2)</f>
        <v>0</v>
      </c>
      <c r="F49" s="14">
        <v>0</v>
      </c>
      <c r="G49" s="14">
        <f t="shared" si="10"/>
        <v>0</v>
      </c>
      <c r="H49" s="19">
        <f t="shared" si="11"/>
        <v>1</v>
      </c>
      <c r="I49" s="19">
        <f t="shared" si="12"/>
        <v>0</v>
      </c>
      <c r="J49" s="14" t="str">
        <f>VLOOKUP($A49,'Commercial ele-nsea-chnl-celt'!$A$1:$F$13,3, FALSE)</f>
        <v>ICES (2017)</v>
      </c>
      <c r="K49" s="18">
        <f t="shared" si="13"/>
        <v>3.0700000000000003</v>
      </c>
      <c r="L49" s="14">
        <f t="shared" si="14"/>
        <v>0</v>
      </c>
    </row>
    <row r="50" spans="1:12" x14ac:dyDescent="0.25">
      <c r="A50" s="14" t="str">
        <f t="shared" si="15"/>
        <v>Netherlands</v>
      </c>
      <c r="B50" s="18">
        <f t="shared" si="16"/>
        <v>18</v>
      </c>
      <c r="C50" s="14">
        <f t="shared" si="8"/>
        <v>44.71</v>
      </c>
      <c r="D50" s="18">
        <f t="shared" si="9"/>
        <v>62.71</v>
      </c>
      <c r="E50" s="14">
        <f>ROUND(VLOOKUP($A50,'Commercial ele-nsea-chnl-celt'!$A$1:$F$13,2, FALSE),2)</f>
        <v>1</v>
      </c>
      <c r="F50" s="14">
        <v>0</v>
      </c>
      <c r="G50" s="14">
        <f t="shared" si="10"/>
        <v>1</v>
      </c>
      <c r="H50" s="19">
        <f t="shared" si="11"/>
        <v>0.98430387694239518</v>
      </c>
      <c r="I50" s="19">
        <f t="shared" si="12"/>
        <v>1.5696123057604771E-2</v>
      </c>
      <c r="J50" s="14" t="str">
        <f>VLOOKUP($A50,'Commercial ele-nsea-chnl-celt'!$A$1:$F$13,3, FALSE)</f>
        <v>ICES (2017)</v>
      </c>
      <c r="K50" s="18">
        <f t="shared" si="13"/>
        <v>63.71</v>
      </c>
      <c r="L50" s="14">
        <f t="shared" si="14"/>
        <v>0</v>
      </c>
    </row>
    <row r="51" spans="1:12" x14ac:dyDescent="0.25">
      <c r="A51" s="14" t="str">
        <f>A32</f>
        <v>Scotland</v>
      </c>
      <c r="B51" s="18">
        <f t="shared" si="16"/>
        <v>0.28999999999999998</v>
      </c>
      <c r="C51" s="14">
        <f t="shared" si="8"/>
        <v>3.24</v>
      </c>
      <c r="D51" s="18">
        <f t="shared" si="9"/>
        <v>3.5300000000000002</v>
      </c>
      <c r="E51" s="14">
        <f>ROUND(VLOOKUP($A51,'Commercial ele-nsea-chnl-celt'!$A$1:$F$13,2, FALSE),2)</f>
        <v>0.25</v>
      </c>
      <c r="F51" s="14">
        <v>0</v>
      </c>
      <c r="G51" s="14">
        <f t="shared" si="10"/>
        <v>0.25</v>
      </c>
      <c r="H51" s="19">
        <f t="shared" si="11"/>
        <v>0.93386243386243384</v>
      </c>
      <c r="I51" s="19">
        <f t="shared" si="12"/>
        <v>6.6137566137566134E-2</v>
      </c>
      <c r="J51" s="14" t="str">
        <f>VLOOKUP($A51,'Commercial ele-nsea-chnl-celt'!$A$1:$F$13,3, FALSE)</f>
        <v>MMO (2012)</v>
      </c>
      <c r="K51" s="18">
        <f t="shared" si="13"/>
        <v>3.7800000000000002</v>
      </c>
      <c r="L51" s="14">
        <f t="shared" si="14"/>
        <v>7.0600000000000005</v>
      </c>
    </row>
    <row r="52" spans="1:12" x14ac:dyDescent="0.25">
      <c r="A52" s="14" t="str">
        <f>A33</f>
        <v>France</v>
      </c>
      <c r="B52" s="18">
        <f t="shared" si="16"/>
        <v>1.82</v>
      </c>
      <c r="C52" s="14">
        <f t="shared" si="8"/>
        <v>20.46</v>
      </c>
      <c r="D52" s="18">
        <f t="shared" ref="D52:D54" si="17">B52+C52</f>
        <v>22.28</v>
      </c>
      <c r="E52" s="14">
        <f>ROUND(VLOOKUP($A52,'Commercial ele-nsea-chnl-celt'!$A$1:$F$13,2, FALSE),2)</f>
        <v>0</v>
      </c>
      <c r="F52" s="14">
        <v>0</v>
      </c>
      <c r="G52" s="14">
        <f t="shared" si="10"/>
        <v>0</v>
      </c>
      <c r="H52" s="19">
        <f t="shared" si="11"/>
        <v>1</v>
      </c>
      <c r="I52" s="19">
        <f t="shared" si="12"/>
        <v>0</v>
      </c>
      <c r="J52" s="14" t="str">
        <f>VLOOKUP($A52,'Commercial ele-nsea-chnl-celt'!$A$1:$F$13,3, FALSE)</f>
        <v>ICES (2017)</v>
      </c>
      <c r="K52" s="18">
        <f t="shared" si="13"/>
        <v>22.28</v>
      </c>
      <c r="L52" s="14">
        <f t="shared" si="14"/>
        <v>44.56</v>
      </c>
    </row>
    <row r="53" spans="1:12" x14ac:dyDescent="0.25">
      <c r="A53" s="14" t="str">
        <f t="shared" ref="A53:A54" si="18">A34</f>
        <v>Wales</v>
      </c>
      <c r="B53" s="18">
        <f t="shared" si="16"/>
        <v>0.18</v>
      </c>
      <c r="C53" s="14">
        <f t="shared" si="8"/>
        <v>1.97</v>
      </c>
      <c r="D53" s="18">
        <f t="shared" si="17"/>
        <v>2.15</v>
      </c>
      <c r="E53" s="14">
        <f>ROUND(VLOOKUP($A53,'Commercial ele-nsea-chnl-celt'!$A$1:$F$13,2, FALSE),2)</f>
        <v>0</v>
      </c>
      <c r="F53" s="14">
        <v>0</v>
      </c>
      <c r="G53" s="14">
        <f t="shared" si="10"/>
        <v>0</v>
      </c>
      <c r="H53" s="19">
        <f t="shared" si="11"/>
        <v>1</v>
      </c>
      <c r="I53" s="19">
        <f t="shared" si="12"/>
        <v>0</v>
      </c>
      <c r="J53" s="14" t="str">
        <f>VLOOKUP($A53,'Commercial ele-nsea-chnl-celt'!$A$1:$F$13,3, FALSE)</f>
        <v>MMO (2012)</v>
      </c>
      <c r="K53" s="18">
        <f t="shared" si="13"/>
        <v>2.15</v>
      </c>
      <c r="L53" s="14">
        <f t="shared" si="14"/>
        <v>4.3</v>
      </c>
    </row>
    <row r="54" spans="1:12" x14ac:dyDescent="0.25">
      <c r="A54" s="14" t="str">
        <f t="shared" si="18"/>
        <v>Ireland</v>
      </c>
      <c r="B54" s="18">
        <f t="shared" si="16"/>
        <v>0.18</v>
      </c>
      <c r="C54" s="14">
        <f t="shared" si="8"/>
        <v>1.98</v>
      </c>
      <c r="D54" s="18">
        <f t="shared" si="17"/>
        <v>2.16</v>
      </c>
      <c r="E54" s="14">
        <f>ROUND(VLOOKUP($A54,'Commercial ele-nsea-chnl-celt'!$A$1:$F$13,2, FALSE),2)</f>
        <v>0</v>
      </c>
      <c r="F54" s="14">
        <v>0</v>
      </c>
      <c r="G54" s="14">
        <f t="shared" si="10"/>
        <v>0</v>
      </c>
      <c r="H54" s="19">
        <f t="shared" si="11"/>
        <v>1</v>
      </c>
      <c r="I54" s="19">
        <f t="shared" si="12"/>
        <v>0</v>
      </c>
      <c r="J54" s="14" t="str">
        <f>VLOOKUP($A54,'Commercial ele-nsea-chnl-celt'!$A$1:$F$13,3, FALSE)</f>
        <v>ICES (2017)</v>
      </c>
      <c r="K54" s="18">
        <f t="shared" si="13"/>
        <v>2.16</v>
      </c>
      <c r="L54" s="14">
        <f t="shared" si="14"/>
        <v>4.32</v>
      </c>
    </row>
    <row r="55" spans="1:12" x14ac:dyDescent="0.25">
      <c r="A55" s="20" t="s">
        <v>70</v>
      </c>
      <c r="B55" s="21">
        <f t="shared" ref="B55:G55" si="19">SUM(B45:B54)</f>
        <v>69.77000000000001</v>
      </c>
      <c r="C55" s="21">
        <f t="shared" si="19"/>
        <v>115.61</v>
      </c>
      <c r="D55" s="21">
        <f>SUM(D45:D54)</f>
        <v>185.38000000000002</v>
      </c>
      <c r="E55" s="21">
        <f t="shared" si="19"/>
        <v>38.57</v>
      </c>
      <c r="F55" s="21">
        <f t="shared" si="19"/>
        <v>0</v>
      </c>
      <c r="G55" s="21">
        <f t="shared" si="19"/>
        <v>38.57</v>
      </c>
      <c r="H55" s="22">
        <f>D55/K55</f>
        <v>0.82777405670908688</v>
      </c>
      <c r="I55" s="22">
        <f>G55/K55</f>
        <v>0.17222594329091315</v>
      </c>
      <c r="J55" s="20" t="s">
        <v>71</v>
      </c>
      <c r="K55" s="21">
        <f>D55+G55</f>
        <v>223.95000000000002</v>
      </c>
      <c r="L55" s="14">
        <f>SUM(L45:L54)/D55</f>
        <v>0.68810011867515364</v>
      </c>
    </row>
    <row r="56" spans="1:12" x14ac:dyDescent="0.25">
      <c r="G56" s="23" t="s">
        <v>115</v>
      </c>
      <c r="H56" s="27">
        <f>B55/(E55+B55)*100</f>
        <v>64.399113900683048</v>
      </c>
      <c r="I56" s="27">
        <f>E55/(E55+B55)*100</f>
        <v>35.600886099316966</v>
      </c>
    </row>
    <row r="59" spans="1:12" x14ac:dyDescent="0.25">
      <c r="A59" s="14" t="s">
        <v>15</v>
      </c>
      <c r="B59" s="18">
        <v>7.37</v>
      </c>
    </row>
    <row r="60" spans="1:12" x14ac:dyDescent="0.25">
      <c r="A60" s="14" t="s">
        <v>9</v>
      </c>
      <c r="B60" s="18">
        <v>47.819999999999993</v>
      </c>
      <c r="I60" s="14" t="s">
        <v>15</v>
      </c>
      <c r="J60" s="14">
        <v>0</v>
      </c>
      <c r="K60" s="14">
        <f>ROUND(J60,2)</f>
        <v>0</v>
      </c>
    </row>
    <row r="61" spans="1:12" x14ac:dyDescent="0.25">
      <c r="A61" s="14" t="s">
        <v>13</v>
      </c>
      <c r="B61" s="18">
        <v>6.3800000000000008</v>
      </c>
      <c r="I61" s="14" t="s">
        <v>9</v>
      </c>
      <c r="J61" s="14">
        <v>0</v>
      </c>
      <c r="K61" s="14">
        <f t="shared" ref="K61:K69" si="20">ROUND(J61,2)</f>
        <v>0</v>
      </c>
    </row>
    <row r="62" spans="1:12" x14ac:dyDescent="0.25">
      <c r="A62" s="14" t="s">
        <v>73</v>
      </c>
      <c r="B62" s="18">
        <v>2.62</v>
      </c>
      <c r="I62" s="14" t="s">
        <v>13</v>
      </c>
      <c r="J62" s="14">
        <v>0.12822831876193347</v>
      </c>
      <c r="K62" s="14">
        <f t="shared" si="20"/>
        <v>0.13</v>
      </c>
    </row>
    <row r="63" spans="1:12" x14ac:dyDescent="0.25">
      <c r="A63" s="14" t="s">
        <v>8</v>
      </c>
      <c r="B63" s="18">
        <v>4.0999999999999996</v>
      </c>
      <c r="I63" s="14" t="s">
        <v>73</v>
      </c>
      <c r="J63" s="14">
        <v>5.2658024319163894E-2</v>
      </c>
      <c r="K63" s="14">
        <f t="shared" si="20"/>
        <v>0.05</v>
      </c>
    </row>
    <row r="64" spans="1:12" x14ac:dyDescent="0.25">
      <c r="A64" s="14" t="s">
        <v>90</v>
      </c>
      <c r="B64" s="18">
        <v>0.66999999999999993</v>
      </c>
      <c r="I64" s="14" t="s">
        <v>8</v>
      </c>
      <c r="J64" s="14">
        <v>0</v>
      </c>
      <c r="K64" s="14">
        <f t="shared" si="20"/>
        <v>0</v>
      </c>
    </row>
    <row r="65" spans="1:11" x14ac:dyDescent="0.25">
      <c r="A65" s="14" t="s">
        <v>16</v>
      </c>
      <c r="B65" s="18">
        <v>18.54</v>
      </c>
      <c r="I65" s="14" t="s">
        <v>90</v>
      </c>
      <c r="J65" s="14">
        <v>1.3465983318259468E-2</v>
      </c>
      <c r="K65" s="14">
        <f t="shared" si="20"/>
        <v>0.01</v>
      </c>
    </row>
    <row r="66" spans="1:11" x14ac:dyDescent="0.25">
      <c r="A66" s="14" t="s">
        <v>12</v>
      </c>
      <c r="B66" s="18">
        <v>0</v>
      </c>
      <c r="I66" s="14" t="s">
        <v>16</v>
      </c>
      <c r="J66" s="14">
        <v>0</v>
      </c>
      <c r="K66" s="14">
        <f t="shared" si="20"/>
        <v>0</v>
      </c>
    </row>
    <row r="67" spans="1:11" x14ac:dyDescent="0.25">
      <c r="A67" s="14" t="s">
        <v>56</v>
      </c>
      <c r="B67" s="18">
        <v>11.34</v>
      </c>
      <c r="I67" s="14" t="s">
        <v>12</v>
      </c>
      <c r="J67" s="14">
        <v>0</v>
      </c>
      <c r="K67" s="14">
        <f t="shared" si="20"/>
        <v>0</v>
      </c>
    </row>
    <row r="68" spans="1:11" x14ac:dyDescent="0.25">
      <c r="A68" s="14" t="s">
        <v>89</v>
      </c>
      <c r="B68" s="18">
        <v>0.66999999999999993</v>
      </c>
      <c r="I68" s="14" t="s">
        <v>56</v>
      </c>
      <c r="J68" s="14">
        <v>0.22791679228218265</v>
      </c>
      <c r="K68" s="14">
        <f t="shared" si="20"/>
        <v>0.23</v>
      </c>
    </row>
    <row r="69" spans="1:11" x14ac:dyDescent="0.25">
      <c r="A69" s="20" t="s">
        <v>70</v>
      </c>
      <c r="B69" s="21">
        <v>99.510000000000019</v>
      </c>
      <c r="I69" s="14" t="s">
        <v>89</v>
      </c>
      <c r="J69" s="14">
        <v>1.3465983318259468E-2</v>
      </c>
      <c r="K69" s="14">
        <f t="shared" si="20"/>
        <v>0.01</v>
      </c>
    </row>
    <row r="76" spans="1:11" x14ac:dyDescent="0.25">
      <c r="D76" s="14" t="s">
        <v>0</v>
      </c>
      <c r="E76" s="14" t="s">
        <v>93</v>
      </c>
    </row>
    <row r="77" spans="1:11" x14ac:dyDescent="0.25">
      <c r="D77" s="14" t="s">
        <v>8</v>
      </c>
      <c r="E77" s="14">
        <v>0</v>
      </c>
    </row>
    <row r="78" spans="1:11" x14ac:dyDescent="0.25">
      <c r="D78" s="14" t="s">
        <v>9</v>
      </c>
      <c r="E78" s="14">
        <v>0</v>
      </c>
    </row>
    <row r="79" spans="1:11" x14ac:dyDescent="0.25">
      <c r="D79" s="14" t="s">
        <v>12</v>
      </c>
      <c r="E79" s="14">
        <v>0</v>
      </c>
    </row>
    <row r="80" spans="1:11" x14ac:dyDescent="0.25">
      <c r="D80" s="14" t="s">
        <v>13</v>
      </c>
      <c r="E80" s="14">
        <v>3</v>
      </c>
    </row>
    <row r="81" spans="4:5" x14ac:dyDescent="0.25">
      <c r="D81" s="14" t="s">
        <v>15</v>
      </c>
      <c r="E81" s="14">
        <v>0</v>
      </c>
    </row>
    <row r="82" spans="4:5" x14ac:dyDescent="0.25">
      <c r="D82" s="14" t="s">
        <v>16</v>
      </c>
      <c r="E82" s="14">
        <v>0</v>
      </c>
    </row>
    <row r="83" spans="4:5" x14ac:dyDescent="0.25">
      <c r="D83" s="14" t="s">
        <v>56</v>
      </c>
      <c r="E83" s="14">
        <v>2</v>
      </c>
    </row>
    <row r="84" spans="4:5" x14ac:dyDescent="0.25">
      <c r="D84" s="14" t="s">
        <v>73</v>
      </c>
      <c r="E84" s="14">
        <v>2</v>
      </c>
    </row>
    <row r="85" spans="4:5" x14ac:dyDescent="0.25">
      <c r="D85" s="14" t="s">
        <v>89</v>
      </c>
      <c r="E85" s="14">
        <v>2</v>
      </c>
    </row>
    <row r="86" spans="4:5" x14ac:dyDescent="0.25">
      <c r="D86" s="14" t="s">
        <v>90</v>
      </c>
      <c r="E86" s="14">
        <v>2</v>
      </c>
    </row>
  </sheetData>
  <sortState ref="I60:J69">
    <sortCondition ref="I60"/>
  </sortState>
  <mergeCells count="9">
    <mergeCell ref="H47:I47"/>
    <mergeCell ref="A10:H10"/>
    <mergeCell ref="A24:I24"/>
    <mergeCell ref="J24:L24"/>
    <mergeCell ref="A38:C38"/>
    <mergeCell ref="A42:K42"/>
    <mergeCell ref="B43:D43"/>
    <mergeCell ref="E43:G43"/>
    <mergeCell ref="H43:I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52"/>
  <sheetViews>
    <sheetView topLeftCell="B30" zoomScale="55" zoomScaleNormal="55" workbookViewId="0">
      <selection activeCell="G53" sqref="G53"/>
    </sheetView>
  </sheetViews>
  <sheetFormatPr defaultColWidth="9.140625" defaultRowHeight="15" x14ac:dyDescent="0.25"/>
  <cols>
    <col min="1" max="1" width="29.28515625" bestFit="1" customWidth="1"/>
    <col min="2" max="2" width="33" customWidth="1"/>
    <col min="3" max="3" width="21.85546875" bestFit="1" customWidth="1"/>
    <col min="4" max="5" width="16.85546875" bestFit="1" customWidth="1"/>
    <col min="6" max="7" width="17" bestFit="1" customWidth="1"/>
    <col min="8" max="8" width="23.140625" bestFit="1" customWidth="1"/>
    <col min="9" max="9" width="23.28515625" bestFit="1" customWidth="1"/>
    <col min="10" max="10" width="26" bestFit="1" customWidth="1"/>
    <col min="11" max="11" width="20.7109375" bestFit="1" customWidth="1"/>
    <col min="12" max="12" width="20.85546875" bestFit="1" customWidth="1"/>
  </cols>
  <sheetData>
    <row r="1" spans="1:8" x14ac:dyDescent="0.25">
      <c r="A1" t="s">
        <v>23</v>
      </c>
      <c r="B1" t="s">
        <v>24</v>
      </c>
      <c r="C1" t="s">
        <v>7</v>
      </c>
    </row>
    <row r="2" spans="1:8" x14ac:dyDescent="0.25">
      <c r="A2" t="s">
        <v>25</v>
      </c>
      <c r="B2">
        <f>(SUMIFS('Recreational ele-balt'!D2:D13,'Recreational ele-balt'!D2:D13,"&lt;&gt;NA",'Recreational ele-balt'!E2:E13,"&lt;&gt;NA")/SUMIFS('Recreational ele-balt'!E2:E13,'Recreational ele-balt'!E2:E13,"&lt;&gt;NA",'Recreational ele-balt'!D2:D13,"&lt;&gt;NA"))*1000</f>
        <v>0.37183936539414975</v>
      </c>
    </row>
    <row r="3" spans="1:8" x14ac:dyDescent="0.25">
      <c r="A3" t="s">
        <v>26</v>
      </c>
      <c r="B3">
        <f>(SUMIFS('Recreational ele-balt'!F2:F13,'Recreational ele-balt'!F2:F13,"&lt;&gt;NA",'Recreational ele-balt'!G2:G13,"&lt;&gt;NA")/SUMIFS('Recreational ele-balt'!G2:G13,'Recreational ele-balt'!G2:G13,"&lt;&gt;NA",'Recreational ele-balt'!F2:F13,"&lt;&gt;NA"))*1000</f>
        <v>6.3411540900443875E-2</v>
      </c>
    </row>
    <row r="4" spans="1:8" x14ac:dyDescent="0.25">
      <c r="A4" t="s">
        <v>27</v>
      </c>
      <c r="B4" s="24">
        <f>G15/(G15+E15)</f>
        <v>0.2810550703974336</v>
      </c>
      <c r="C4" s="4"/>
    </row>
    <row r="5" spans="1:8" x14ac:dyDescent="0.25">
      <c r="A5" t="s">
        <v>28</v>
      </c>
      <c r="B5" t="str">
        <f>'Discard rate'!A2</f>
        <v>NA</v>
      </c>
      <c r="C5" t="str">
        <f>'Discard rate'!B2</f>
        <v>NA</v>
      </c>
    </row>
    <row r="6" spans="1:8" x14ac:dyDescent="0.25">
      <c r="A6" t="s">
        <v>29</v>
      </c>
      <c r="B6">
        <f>'Discard mortality'!C2</f>
        <v>1</v>
      </c>
      <c r="C6" t="str">
        <f>'Discard mortality'!D2</f>
        <v>Precautionary value due to lack of data</v>
      </c>
    </row>
    <row r="7" spans="1:8" x14ac:dyDescent="0.25">
      <c r="A7" t="s">
        <v>30</v>
      </c>
      <c r="B7">
        <f>'Discard mortality'!A2</f>
        <v>1</v>
      </c>
      <c r="C7" t="str">
        <f>'Discard mortality'!B2</f>
        <v>Precautionary value due to lack of data</v>
      </c>
    </row>
    <row r="10" spans="1:8" x14ac:dyDescent="0.25">
      <c r="A10" s="30" t="s">
        <v>35</v>
      </c>
      <c r="B10" s="30"/>
      <c r="C10" s="30"/>
      <c r="D10" s="30"/>
      <c r="E10" s="30"/>
      <c r="F10" s="30"/>
      <c r="G10" s="30"/>
      <c r="H10" s="30"/>
    </row>
    <row r="11" spans="1:8" x14ac:dyDescent="0.25">
      <c r="A11" t="s">
        <v>0</v>
      </c>
      <c r="B11" t="s">
        <v>1</v>
      </c>
      <c r="C11" t="s">
        <v>36</v>
      </c>
      <c r="D11" t="s">
        <v>37</v>
      </c>
      <c r="E11" t="s">
        <v>38</v>
      </c>
      <c r="F11" t="s">
        <v>39</v>
      </c>
      <c r="G11" t="s">
        <v>40</v>
      </c>
      <c r="H11" t="s">
        <v>41</v>
      </c>
    </row>
    <row r="12" spans="1:8" x14ac:dyDescent="0.25">
      <c r="A12" t="str">
        <f>'Recreational ele-balt'!A2</f>
        <v>Denmark</v>
      </c>
      <c r="B12">
        <f>VLOOKUP($A12,'Recreational ele-balt'!$A$1:$L$13,2,FALSE)</f>
        <v>2010</v>
      </c>
      <c r="C12" s="4">
        <f>VLOOKUP($A12,'Recreational ele-balt'!$A$1:$L$13,3,FALSE)</f>
        <v>386000</v>
      </c>
      <c r="D12" s="3">
        <f>VLOOKUP($A12,'Recreational ele-balt'!$A$1:$L$13,4,FALSE)</f>
        <v>73</v>
      </c>
      <c r="E12" s="4" t="str">
        <f>VLOOKUP($A12,'Recreational ele-balt'!$A$1:$L$13,5,FALSE)</f>
        <v>NA</v>
      </c>
      <c r="F12" s="3" t="str">
        <f>VLOOKUP($A12,'Recreational ele-balt'!$A$1:$L$13,6,FALSE)</f>
        <v>NA</v>
      </c>
      <c r="G12" s="4">
        <f>VLOOKUP($A12,'Recreational ele-balt'!$A$1:$L$13,7,FALSE)</f>
        <v>17893</v>
      </c>
      <c r="H12" s="4" t="str">
        <f>VLOOKUP($A12,'Recreational ele-balt'!$A$1:$L$13,8,FALSE)</f>
        <v>Sparrevohn et al. (2012)</v>
      </c>
    </row>
    <row r="13" spans="1:8" x14ac:dyDescent="0.25">
      <c r="A13" t="str">
        <f>'Recreational ele-balt'!A3</f>
        <v>Estonia</v>
      </c>
      <c r="B13">
        <f>VLOOKUP($A13,'Recreational ele-balt'!$A$1:$L$13,2,FALSE)</f>
        <v>2014</v>
      </c>
      <c r="C13" s="4">
        <f>VLOOKUP($A13,'Recreational ele-balt'!$A$1:$L$13,3,FALSE)</f>
        <v>20000</v>
      </c>
      <c r="D13" s="3">
        <f>VLOOKUP($A13,'Recreational ele-balt'!$A$1:$L$13,4,FALSE)</f>
        <v>5.0000000000000001E-3</v>
      </c>
      <c r="E13" s="4" t="str">
        <f>VLOOKUP($A13,'Recreational ele-balt'!$A$1:$L$13,5,FALSE)</f>
        <v>NA</v>
      </c>
      <c r="F13" s="3" t="str">
        <f>VLOOKUP($A13,'Recreational ele-balt'!$A$1:$L$13,6,FALSE)</f>
        <v>NA</v>
      </c>
      <c r="G13" s="4" t="str">
        <f>VLOOKUP($A13,'Recreational ele-balt'!$A$1:$L$13,7,FALSE)</f>
        <v>NA</v>
      </c>
      <c r="H13" s="4" t="str">
        <f>VLOOKUP($A13,'Recreational ele-balt'!$A$1:$L$13,8,FALSE)</f>
        <v>WGRFS (2017)</v>
      </c>
    </row>
    <row r="14" spans="1:8" x14ac:dyDescent="0.25">
      <c r="A14" t="str">
        <f>'Recreational ele-balt'!A4</f>
        <v>Finland</v>
      </c>
      <c r="B14">
        <f>VLOOKUP($A14,'Recreational ele-balt'!$A$1:$L$13,2,FALSE)</f>
        <v>2014</v>
      </c>
      <c r="C14" s="4">
        <f>VLOOKUP($A14,'Recreational ele-balt'!$A$1:$L$13,3,FALSE)</f>
        <v>300000</v>
      </c>
      <c r="D14" s="3">
        <f>VLOOKUP($A14,'Recreational ele-balt'!$A$1:$L$13,4,FALSE)</f>
        <v>8</v>
      </c>
      <c r="E14" s="4" t="str">
        <f>VLOOKUP($A14,'Recreational ele-balt'!$A$1:$L$13,5,FALSE)</f>
        <v>NA</v>
      </c>
      <c r="F14" s="3">
        <f>VLOOKUP($A14,'Recreational ele-balt'!$A$1:$L$13,6,FALSE)</f>
        <v>0</v>
      </c>
      <c r="G14" s="4" t="str">
        <f>VLOOKUP($A14,'Recreational ele-balt'!$A$1:$L$13,7,FALSE)</f>
        <v>NA</v>
      </c>
      <c r="H14" s="4" t="str">
        <f>VLOOKUP($A14,'Recreational ele-balt'!$A$1:$L$13,8,FALSE)</f>
        <v>WGRFS (2017)</v>
      </c>
    </row>
    <row r="15" spans="1:8" x14ac:dyDescent="0.25">
      <c r="A15" t="str">
        <f>'Recreational ele-balt'!A5</f>
        <v>Germany</v>
      </c>
      <c r="B15">
        <f>VLOOKUP($A15,'Recreational ele-balt'!$A$1:$L$13,2,FALSE)</f>
        <v>2012</v>
      </c>
      <c r="C15" s="4">
        <f>VLOOKUP($A15,'Recreational ele-balt'!$A$1:$L$13,3,FALSE)</f>
        <v>163000</v>
      </c>
      <c r="D15" s="3">
        <f>VLOOKUP($A15,'Recreational ele-balt'!$A$1:$L$13,4,FALSE)</f>
        <v>1.5</v>
      </c>
      <c r="E15" s="4">
        <f>VLOOKUP($A15,'Recreational ele-balt'!$A$1:$L$13,5,FALSE)</f>
        <v>4034</v>
      </c>
      <c r="F15" s="3">
        <f>VLOOKUP($A15,'Recreational ele-balt'!$A$1:$L$13,6,FALSE)</f>
        <v>0.1</v>
      </c>
      <c r="G15" s="4">
        <f>VLOOKUP($A15,'Recreational ele-balt'!$A$1:$L$13,7,FALSE)</f>
        <v>1577</v>
      </c>
      <c r="H15" s="4" t="str">
        <f>VLOOKUP($A15,'Recreational ele-balt'!$A$1:$L$13,8,FALSE)</f>
        <v>WGRFS (2017)</v>
      </c>
    </row>
    <row r="16" spans="1:8" x14ac:dyDescent="0.25">
      <c r="A16" t="str">
        <f>'Recreational ele-balt'!A6</f>
        <v>Latvia</v>
      </c>
      <c r="B16">
        <f>VLOOKUP($A16,'Recreational ele-balt'!$A$1:$L$13,2,FALSE)</f>
        <v>2014</v>
      </c>
      <c r="C16" s="4">
        <f>VLOOKUP($A16,'Recreational ele-balt'!$A$1:$L$13,3,FALSE)</f>
        <v>41000</v>
      </c>
      <c r="D16" s="3">
        <f>VLOOKUP($A16,'Recreational ele-balt'!$A$1:$L$13,4,FALSE)</f>
        <v>0.1</v>
      </c>
      <c r="E16" s="4" t="str">
        <f>VLOOKUP($A16,'Recreational ele-balt'!$A$1:$L$13,5,FALSE)</f>
        <v>NA</v>
      </c>
      <c r="F16" s="3" t="str">
        <f>VLOOKUP($A16,'Recreational ele-balt'!$A$1:$L$13,6,FALSE)</f>
        <v>NA</v>
      </c>
      <c r="G16" s="4">
        <f>VLOOKUP($A16,'Recreational ele-balt'!$A$1:$L$13,7,FALSE)</f>
        <v>1386200</v>
      </c>
      <c r="H16" s="4" t="str">
        <f>VLOOKUP($A16,'Recreational ele-balt'!$A$1:$L$13,8,FALSE)</f>
        <v>WGRFS (2017)</v>
      </c>
    </row>
    <row r="17" spans="1:13" x14ac:dyDescent="0.25">
      <c r="A17" t="str">
        <f>'Recreational ele-balt'!A7</f>
        <v>Lithuania</v>
      </c>
      <c r="B17">
        <f>VLOOKUP($A17,'Recreational ele-balt'!$A$1:$L$13,2,FALSE)</f>
        <v>2015</v>
      </c>
      <c r="C17" s="4">
        <f>VLOOKUP($A17,'Recreational ele-balt'!$A$1:$L$13,3,FALSE)</f>
        <v>60000</v>
      </c>
      <c r="D17" s="3">
        <f>VLOOKUP($A17,'Recreational ele-balt'!$A$1:$L$13,4,FALSE)</f>
        <v>4.9000000000000004</v>
      </c>
      <c r="E17" s="4" t="str">
        <f>VLOOKUP($A17,'Recreational ele-balt'!$A$1:$L$13,5,FALSE)</f>
        <v>NA</v>
      </c>
      <c r="F17" s="3" t="str">
        <f>VLOOKUP($A17,'Recreational ele-balt'!$A$1:$L$13,6,FALSE)</f>
        <v>NA</v>
      </c>
      <c r="G17" s="4" t="str">
        <f>VLOOKUP($A17,'Recreational ele-balt'!$A$1:$L$13,7,FALSE)</f>
        <v>NA</v>
      </c>
      <c r="H17" s="4" t="str">
        <f>VLOOKUP($A17,'Recreational ele-balt'!$A$1:$L$13,8,FALSE)</f>
        <v>WGRFS (2017)</v>
      </c>
    </row>
    <row r="18" spans="1:13" x14ac:dyDescent="0.25">
      <c r="A18" t="str">
        <f>'Recreational ele-balt'!A8</f>
        <v>Poland</v>
      </c>
      <c r="B18" t="str">
        <f>VLOOKUP($A18,'Recreational ele-balt'!$A$1:$L$13,2,FALSE)</f>
        <v>NA</v>
      </c>
      <c r="C18" s="4">
        <f>VLOOKUP($A18,'Recreational ele-balt'!$A$1:$L$13,3,FALSE)</f>
        <v>82000</v>
      </c>
      <c r="D18" s="3" t="str">
        <f>VLOOKUP($A18,'Recreational ele-balt'!$A$1:$L$13,4,FALSE)</f>
        <v>NA</v>
      </c>
      <c r="E18" s="4" t="str">
        <f>VLOOKUP($A18,'Recreational ele-balt'!$A$1:$L$13,5,FALSE)</f>
        <v>NA</v>
      </c>
      <c r="F18" s="3" t="str">
        <f>VLOOKUP($A18,'Recreational ele-balt'!$A$1:$L$13,6,FALSE)</f>
        <v>NA</v>
      </c>
      <c r="G18" s="4" t="str">
        <f>VLOOKUP($A18,'Recreational ele-balt'!$A$1:$L$13,7,FALSE)</f>
        <v>NA</v>
      </c>
      <c r="H18" s="4" t="str">
        <f>VLOOKUP($A18,'Recreational ele-balt'!$A$1:$L$13,8,FALSE)</f>
        <v>NA</v>
      </c>
    </row>
    <row r="19" spans="1:13" x14ac:dyDescent="0.25">
      <c r="A19" t="str">
        <f>'Recreational ele-balt'!A9</f>
        <v>Sweden</v>
      </c>
      <c r="B19" t="str">
        <f>VLOOKUP($A19,'Recreational ele-balt'!$A$1:$L$13,2,FALSE)</f>
        <v>NA</v>
      </c>
      <c r="C19" s="4">
        <f>VLOOKUP($A19,'Recreational ele-balt'!$A$1:$L$13,3,FALSE)</f>
        <v>565634</v>
      </c>
      <c r="D19" s="3">
        <f>VLOOKUP($A19,'Recreational ele-balt'!$A$1:$L$13,4,FALSE)</f>
        <v>0</v>
      </c>
      <c r="E19" s="4">
        <f>VLOOKUP($A19,'Recreational ele-balt'!$A$1:$L$13,5,FALSE)</f>
        <v>0</v>
      </c>
      <c r="F19" s="3">
        <f>VLOOKUP($A19,'Recreational ele-balt'!$A$1:$L$13,6,FALSE)</f>
        <v>0</v>
      </c>
      <c r="G19" s="4">
        <f>VLOOKUP($A19,'Recreational ele-balt'!$A$1:$L$13,7,FALSE)</f>
        <v>0</v>
      </c>
      <c r="H19" s="4" t="str">
        <f>VLOOKUP($A19,'Recreational ele-balt'!$A$1:$L$13,8,FALSE)</f>
        <v>Illegal to fish recreationally</v>
      </c>
    </row>
    <row r="20" spans="1:13" x14ac:dyDescent="0.25">
      <c r="C20" s="4"/>
      <c r="D20" s="3"/>
      <c r="E20" s="4"/>
      <c r="F20" s="3"/>
      <c r="G20" s="4"/>
      <c r="H20" s="4"/>
    </row>
    <row r="23" spans="1:13" x14ac:dyDescent="0.25">
      <c r="A23" s="30" t="s">
        <v>42</v>
      </c>
      <c r="B23" s="30"/>
      <c r="C23" s="30"/>
      <c r="D23" s="30"/>
      <c r="E23" s="30"/>
      <c r="F23" s="30"/>
      <c r="G23" s="30"/>
      <c r="H23" s="30"/>
      <c r="I23" s="30"/>
      <c r="J23" s="30" t="s">
        <v>43</v>
      </c>
      <c r="K23" s="30"/>
      <c r="L23" s="30"/>
    </row>
    <row r="24" spans="1:13" x14ac:dyDescent="0.25">
      <c r="A24" t="s">
        <v>0</v>
      </c>
      <c r="B24" t="s">
        <v>44</v>
      </c>
      <c r="C24" t="s">
        <v>37</v>
      </c>
      <c r="D24" t="s">
        <v>38</v>
      </c>
      <c r="E24" t="s">
        <v>39</v>
      </c>
      <c r="F24" t="s">
        <v>40</v>
      </c>
      <c r="G24" t="s">
        <v>45</v>
      </c>
      <c r="H24" t="s">
        <v>46</v>
      </c>
      <c r="I24" t="s">
        <v>47</v>
      </c>
      <c r="J24" t="s">
        <v>48</v>
      </c>
      <c r="K24" t="s">
        <v>49</v>
      </c>
      <c r="L24" t="s">
        <v>50</v>
      </c>
      <c r="M24" t="s">
        <v>93</v>
      </c>
    </row>
    <row r="25" spans="1:13" x14ac:dyDescent="0.25">
      <c r="A25" t="str">
        <f>A12</f>
        <v>Denmark</v>
      </c>
      <c r="B25" s="4">
        <f>C12</f>
        <v>386000</v>
      </c>
      <c r="C25" s="3">
        <f>ROUND(IF(J25 = "None", D12, IF(J25 = "Avg", D25*($B$2/1000))),2)</f>
        <v>73</v>
      </c>
      <c r="D25">
        <f>ROUND(IF(K25 = "Avg", C25/($B$2/1000), IF(K25 = "None", E12, IF(K25 = "DE", B25/$C$15*$E$15, "Help"))),0)</f>
        <v>196321</v>
      </c>
      <c r="E25" s="3">
        <f>ROUND(IF(F12 &lt;&gt; "NA", F12, F25*($B$3/1000)),2)</f>
        <v>1.1299999999999999</v>
      </c>
      <c r="F25">
        <f>ROUND(IF(L25 = "None", G12, IF(L25="LT", B25/$C$16*$G$16, IF(L25="Avg",E25/($B$3/1000), IF(L25 = "DK", B25/$C$12*$G$12, IF(L25 = "Prop", D25*$B$4, "Help"))))), 0)</f>
        <v>17893</v>
      </c>
      <c r="H25" t="str">
        <f>IF(D12 &lt;&gt; "NA", "N", "Y")</f>
        <v>N</v>
      </c>
      <c r="I25" t="str">
        <f>IF(F12 &lt;&gt; "NA", "N", "Y")</f>
        <v>Y</v>
      </c>
      <c r="J25" t="s">
        <v>51</v>
      </c>
      <c r="K25" t="s">
        <v>52</v>
      </c>
      <c r="L25" t="s">
        <v>51</v>
      </c>
      <c r="M25">
        <v>0</v>
      </c>
    </row>
    <row r="26" spans="1:13" x14ac:dyDescent="0.25">
      <c r="A26" t="str">
        <f t="shared" ref="A26:A32" si="0">A13</f>
        <v>Estonia</v>
      </c>
      <c r="B26" s="4">
        <f t="shared" ref="B26:B32" si="1">C13</f>
        <v>20000</v>
      </c>
      <c r="C26" s="3">
        <f t="shared" ref="C26:C32" si="2">ROUND(IF(J26 = "None", D13, IF(J26 = "Avg", D26*($B$2/1000))),2)</f>
        <v>0.01</v>
      </c>
      <c r="D26">
        <f t="shared" ref="D26:D32" si="3">ROUND(IF(K26 = "Avg", C26/($B$2/1000), IF(K26 = "None", E13, IF(K26 = "DE", B26/$C$15*$E$15, "Help"))),0)</f>
        <v>27</v>
      </c>
      <c r="E26" s="3">
        <f t="shared" ref="E26:E32" si="4">ROUND(IF(F13 &lt;&gt; "NA", F13, F26*($B$3/1000)),2)</f>
        <v>0</v>
      </c>
      <c r="F26">
        <f t="shared" ref="F26:F32" si="5">ROUND(IF(L26 = "None", G13, IF(L26="LT", B26/$C$16*$G$16, IF(L26="Avg",E26/($B$3/1000), IF(L26 = "DK", B26/$C$12*$G$12, IF(L26 = "Prop", D26*$B$4, "Help"))))), 0)</f>
        <v>8</v>
      </c>
      <c r="H26" t="str">
        <f t="shared" ref="H26:H32" si="6">IF(D13 &lt;&gt; "NA", "N", "Y")</f>
        <v>N</v>
      </c>
      <c r="I26" t="str">
        <f t="shared" ref="I26:I32" si="7">IF(F13 &lt;&gt; "NA", "N", "Y")</f>
        <v>Y</v>
      </c>
      <c r="J26" t="s">
        <v>51</v>
      </c>
      <c r="K26" t="s">
        <v>52</v>
      </c>
      <c r="L26" t="s">
        <v>53</v>
      </c>
      <c r="M26">
        <v>0</v>
      </c>
    </row>
    <row r="27" spans="1:13" x14ac:dyDescent="0.25">
      <c r="A27" t="str">
        <f t="shared" si="0"/>
        <v>Finland</v>
      </c>
      <c r="B27" s="4">
        <f t="shared" si="1"/>
        <v>300000</v>
      </c>
      <c r="C27" s="3">
        <f t="shared" si="2"/>
        <v>8</v>
      </c>
      <c r="D27">
        <f t="shared" si="3"/>
        <v>21515</v>
      </c>
      <c r="E27" s="3">
        <f t="shared" si="4"/>
        <v>0</v>
      </c>
      <c r="F27">
        <f>ROUND(IF(L27 = "None", G14, IF(L27="LT", B27/$C$16*$G$16, IF(L27="Avg",E27/($B$3/1000), IF(L27 = "DK", B27/$C$12*$G$12, IF(L27 = "Prop", D27*$B$4, "Help"))))), 0)</f>
        <v>0</v>
      </c>
      <c r="H27" t="str">
        <f t="shared" si="6"/>
        <v>N</v>
      </c>
      <c r="I27" t="str">
        <f t="shared" si="7"/>
        <v>N</v>
      </c>
      <c r="J27" t="s">
        <v>51</v>
      </c>
      <c r="K27" t="s">
        <v>52</v>
      </c>
      <c r="L27" t="s">
        <v>52</v>
      </c>
      <c r="M27">
        <v>0</v>
      </c>
    </row>
    <row r="28" spans="1:13" x14ac:dyDescent="0.25">
      <c r="A28" t="str">
        <f t="shared" si="0"/>
        <v>Germany</v>
      </c>
      <c r="B28" s="4">
        <f t="shared" si="1"/>
        <v>163000</v>
      </c>
      <c r="C28" s="3">
        <f t="shared" si="2"/>
        <v>1.5</v>
      </c>
      <c r="D28">
        <f t="shared" si="3"/>
        <v>4034</v>
      </c>
      <c r="E28" s="3">
        <f t="shared" si="4"/>
        <v>0.1</v>
      </c>
      <c r="F28">
        <f t="shared" si="5"/>
        <v>1577</v>
      </c>
      <c r="H28" t="str">
        <f t="shared" si="6"/>
        <v>N</v>
      </c>
      <c r="I28" t="str">
        <f t="shared" si="7"/>
        <v>N</v>
      </c>
      <c r="J28" t="s">
        <v>51</v>
      </c>
      <c r="K28" t="s">
        <v>51</v>
      </c>
      <c r="L28" t="s">
        <v>51</v>
      </c>
      <c r="M28">
        <v>0</v>
      </c>
    </row>
    <row r="29" spans="1:13" x14ac:dyDescent="0.25">
      <c r="A29" t="str">
        <f t="shared" si="0"/>
        <v>Latvia</v>
      </c>
      <c r="B29" s="4">
        <f t="shared" si="1"/>
        <v>41000</v>
      </c>
      <c r="C29" s="3">
        <f t="shared" si="2"/>
        <v>0.1</v>
      </c>
      <c r="D29">
        <f t="shared" si="3"/>
        <v>269</v>
      </c>
      <c r="E29" s="3">
        <f>ROUND(IF(F16 &lt;&gt; "NA", F16, F29*($B$3/1000)),2)</f>
        <v>87.9</v>
      </c>
      <c r="F29">
        <f>ROUND(IF(L29 = "None", G16, IF(L29="LT", B29/$C$16*$G$16, IF(L29="Avg",E29/($B$3/1000), IF(L29 = "DK", B29/$C$12*$G$12, IF(L29 = "Prop", D29*$B$4, "Help"))))), 0)</f>
        <v>1386200</v>
      </c>
      <c r="H29" t="str">
        <f t="shared" si="6"/>
        <v>N</v>
      </c>
      <c r="I29" t="str">
        <f t="shared" si="7"/>
        <v>Y</v>
      </c>
      <c r="J29" t="s">
        <v>51</v>
      </c>
      <c r="K29" t="s">
        <v>52</v>
      </c>
      <c r="L29" t="s">
        <v>51</v>
      </c>
      <c r="M29">
        <v>0</v>
      </c>
    </row>
    <row r="30" spans="1:13" x14ac:dyDescent="0.25">
      <c r="A30" t="str">
        <f t="shared" si="0"/>
        <v>Lithuania</v>
      </c>
      <c r="B30" s="4">
        <f t="shared" si="1"/>
        <v>60000</v>
      </c>
      <c r="C30" s="3">
        <f t="shared" si="2"/>
        <v>4.9000000000000004</v>
      </c>
      <c r="D30">
        <f t="shared" si="3"/>
        <v>13178</v>
      </c>
      <c r="E30" s="3">
        <f t="shared" si="4"/>
        <v>0.23</v>
      </c>
      <c r="F30">
        <f t="shared" si="5"/>
        <v>3704</v>
      </c>
      <c r="H30" t="str">
        <f t="shared" si="6"/>
        <v>N</v>
      </c>
      <c r="I30" t="str">
        <f t="shared" si="7"/>
        <v>Y</v>
      </c>
      <c r="J30" t="s">
        <v>51</v>
      </c>
      <c r="K30" t="s">
        <v>52</v>
      </c>
      <c r="L30" t="s">
        <v>53</v>
      </c>
      <c r="M30">
        <v>0</v>
      </c>
    </row>
    <row r="31" spans="1:13" x14ac:dyDescent="0.25">
      <c r="A31" t="str">
        <f t="shared" si="0"/>
        <v>Poland</v>
      </c>
      <c r="B31" s="4">
        <f t="shared" si="1"/>
        <v>82000</v>
      </c>
      <c r="C31" s="3">
        <f t="shared" si="2"/>
        <v>0.75</v>
      </c>
      <c r="D31">
        <f>ROUND(IF(K31 = "Avg", C31/($B$2/1000), IF(K31 = "None", E18, IF(K31 = "DE", B31/$C$15*$E$15, "Help"))),0)</f>
        <v>2029</v>
      </c>
      <c r="E31" s="3">
        <f t="shared" si="4"/>
        <v>0.04</v>
      </c>
      <c r="F31">
        <f t="shared" si="5"/>
        <v>570</v>
      </c>
      <c r="H31" t="str">
        <f t="shared" si="6"/>
        <v>Y</v>
      </c>
      <c r="I31" t="str">
        <f t="shared" si="7"/>
        <v>Y</v>
      </c>
      <c r="J31" t="s">
        <v>52</v>
      </c>
      <c r="K31" t="s">
        <v>91</v>
      </c>
      <c r="L31" t="s">
        <v>53</v>
      </c>
      <c r="M31">
        <v>0</v>
      </c>
    </row>
    <row r="32" spans="1:13" x14ac:dyDescent="0.25">
      <c r="A32" t="str">
        <f t="shared" si="0"/>
        <v>Sweden</v>
      </c>
      <c r="B32" s="4">
        <f t="shared" si="1"/>
        <v>565634</v>
      </c>
      <c r="C32" s="3">
        <f t="shared" si="2"/>
        <v>0</v>
      </c>
      <c r="D32">
        <f t="shared" si="3"/>
        <v>0</v>
      </c>
      <c r="E32" s="3">
        <f t="shared" si="4"/>
        <v>0</v>
      </c>
      <c r="F32">
        <f t="shared" si="5"/>
        <v>0</v>
      </c>
      <c r="H32" t="str">
        <f t="shared" si="6"/>
        <v>N</v>
      </c>
      <c r="I32" t="str">
        <f t="shared" si="7"/>
        <v>N</v>
      </c>
      <c r="J32" t="s">
        <v>51</v>
      </c>
      <c r="K32" t="s">
        <v>51</v>
      </c>
      <c r="L32" t="s">
        <v>51</v>
      </c>
      <c r="M32">
        <v>-2</v>
      </c>
    </row>
    <row r="35" spans="1:12" x14ac:dyDescent="0.25">
      <c r="A35" s="30" t="s">
        <v>59</v>
      </c>
      <c r="B35" s="30"/>
      <c r="C35" s="30"/>
    </row>
    <row r="36" spans="1:12" x14ac:dyDescent="0.25">
      <c r="A36" t="s">
        <v>37</v>
      </c>
      <c r="B36" t="s">
        <v>60</v>
      </c>
      <c r="C36" t="s">
        <v>61</v>
      </c>
    </row>
    <row r="37" spans="1:12" x14ac:dyDescent="0.25">
      <c r="A37" s="11">
        <f>SUMIF(H25:H32,"&lt;&gt;N",C25:C32)/SUM(C25:C32)</f>
        <v>8.4976206662134603E-3</v>
      </c>
      <c r="B37" s="11">
        <f>SUMIF(I25:I32,"&lt;&gt;N",E25:E32)/SUM(E25:E32)</f>
        <v>0.99888143176733768</v>
      </c>
      <c r="C37" s="11">
        <f>(SUMIF(H25:H32,"&lt;&gt;N",C25:C32)+SUMIF(I25:I32,"&lt;&gt;N",E25:E32))/SUM(C25:C32,E25:E32)</f>
        <v>0.50686704942024108</v>
      </c>
      <c r="D37" s="11"/>
    </row>
    <row r="40" spans="1:12" x14ac:dyDescent="0.25">
      <c r="A40" s="30" t="s">
        <v>62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2" x14ac:dyDescent="0.25">
      <c r="B41" s="30" t="s">
        <v>34</v>
      </c>
      <c r="C41" s="30"/>
      <c r="D41" s="30"/>
      <c r="E41" s="30" t="s">
        <v>33</v>
      </c>
      <c r="F41" s="30"/>
      <c r="G41" s="30"/>
      <c r="H41" s="30" t="s">
        <v>63</v>
      </c>
      <c r="I41" s="30"/>
    </row>
    <row r="42" spans="1:12" x14ac:dyDescent="0.25">
      <c r="A42" t="s">
        <v>0</v>
      </c>
      <c r="B42" t="s">
        <v>64</v>
      </c>
      <c r="C42" t="s">
        <v>65</v>
      </c>
      <c r="D42" t="s">
        <v>66</v>
      </c>
      <c r="E42" t="s">
        <v>67</v>
      </c>
      <c r="F42" t="s">
        <v>68</v>
      </c>
      <c r="G42" t="s">
        <v>66</v>
      </c>
      <c r="H42" t="s">
        <v>34</v>
      </c>
      <c r="I42" t="s">
        <v>33</v>
      </c>
      <c r="J42" t="s">
        <v>7</v>
      </c>
      <c r="K42" t="s">
        <v>69</v>
      </c>
      <c r="L42" t="s">
        <v>93</v>
      </c>
    </row>
    <row r="43" spans="1:12" x14ac:dyDescent="0.25">
      <c r="A43" t="str">
        <f>A25</f>
        <v>Denmark</v>
      </c>
      <c r="B43" s="3">
        <f>C25</f>
        <v>73</v>
      </c>
      <c r="C43">
        <f>ROUND(E25*$B$6,2)</f>
        <v>1.1299999999999999</v>
      </c>
      <c r="D43" s="3">
        <f>B43+C43</f>
        <v>74.13</v>
      </c>
      <c r="E43">
        <f>ROUND(VLOOKUP($A43,'Commercial ele-balt'!$A$1:$F$13,2, FALSE),2)</f>
        <v>267</v>
      </c>
      <c r="F43">
        <v>0</v>
      </c>
      <c r="G43">
        <f>SUM(E43:F43)</f>
        <v>267</v>
      </c>
      <c r="H43">
        <f>D43/K43</f>
        <v>0.21730718494415618</v>
      </c>
      <c r="I43">
        <f>G43/K43</f>
        <v>0.78269281505584387</v>
      </c>
      <c r="J43" t="str">
        <f>VLOOKUP($A43,'Commercial ele-balt'!$A$1:$F$13,3, FALSE)</f>
        <v>ICES (2017)</v>
      </c>
      <c r="K43" s="3">
        <f>G43+D43</f>
        <v>341.13</v>
      </c>
      <c r="L43">
        <f>(D43*M25)</f>
        <v>0</v>
      </c>
    </row>
    <row r="44" spans="1:12" x14ac:dyDescent="0.25">
      <c r="A44" t="str">
        <f t="shared" ref="A44:A50" si="8">A26</f>
        <v>Estonia</v>
      </c>
      <c r="B44" s="3">
        <f t="shared" ref="B44:B50" si="9">C26</f>
        <v>0.01</v>
      </c>
      <c r="C44">
        <f t="shared" ref="C44:C50" si="10">ROUND(E26*$B$6,2)</f>
        <v>0</v>
      </c>
      <c r="D44" s="3">
        <f t="shared" ref="D44:D50" si="11">B44+C44</f>
        <v>0.01</v>
      </c>
      <c r="E44">
        <f>ROUND(VLOOKUP($A44,'Commercial ele-balt'!$A$1:$F$13,2, FALSE),2)</f>
        <v>2</v>
      </c>
      <c r="F44">
        <v>0</v>
      </c>
      <c r="G44">
        <f t="shared" ref="G44:G50" si="12">SUM(E44:F44)</f>
        <v>2</v>
      </c>
      <c r="H44">
        <f t="shared" ref="H44:H50" si="13">D44/K44</f>
        <v>4.9751243781094535E-3</v>
      </c>
      <c r="I44">
        <f t="shared" ref="I44:I50" si="14">G44/K44</f>
        <v>0.99502487562189068</v>
      </c>
      <c r="J44" t="str">
        <f>VLOOKUP($A44,'Commercial ele-balt'!$A$1:$F$13,3, FALSE)</f>
        <v>ICES (2017)</v>
      </c>
      <c r="K44" s="3">
        <f t="shared" ref="K44:K50" si="15">G44+D44</f>
        <v>2.0099999999999998</v>
      </c>
      <c r="L44">
        <f t="shared" ref="L44:L50" si="16">(D44*M26)</f>
        <v>0</v>
      </c>
    </row>
    <row r="45" spans="1:12" x14ac:dyDescent="0.25">
      <c r="A45" t="str">
        <f t="shared" si="8"/>
        <v>Finland</v>
      </c>
      <c r="B45" s="3">
        <f t="shared" si="9"/>
        <v>8</v>
      </c>
      <c r="C45">
        <f>ROUND(E27*$B$6,2)</f>
        <v>0</v>
      </c>
      <c r="D45" s="3">
        <f t="shared" si="11"/>
        <v>8</v>
      </c>
      <c r="E45">
        <f>ROUND(VLOOKUP($A45,'Commercial ele-balt'!$A$1:$F$13,2, FALSE),2)</f>
        <v>1</v>
      </c>
      <c r="F45">
        <v>0</v>
      </c>
      <c r="G45">
        <f t="shared" si="12"/>
        <v>1</v>
      </c>
      <c r="H45">
        <f t="shared" si="13"/>
        <v>0.88888888888888884</v>
      </c>
      <c r="I45">
        <f t="shared" si="14"/>
        <v>0.1111111111111111</v>
      </c>
      <c r="J45" t="str">
        <f>VLOOKUP($A45,'Commercial ele-balt'!$A$1:$F$13,3, FALSE)</f>
        <v>ICES (2017)</v>
      </c>
      <c r="K45" s="3">
        <f t="shared" si="15"/>
        <v>9</v>
      </c>
      <c r="L45">
        <f t="shared" si="16"/>
        <v>0</v>
      </c>
    </row>
    <row r="46" spans="1:12" x14ac:dyDescent="0.25">
      <c r="A46" t="str">
        <f t="shared" si="8"/>
        <v>Germany</v>
      </c>
      <c r="B46" s="3">
        <f t="shared" si="9"/>
        <v>1.5</v>
      </c>
      <c r="C46">
        <f t="shared" si="10"/>
        <v>0.1</v>
      </c>
      <c r="D46" s="3">
        <f t="shared" si="11"/>
        <v>1.6</v>
      </c>
      <c r="E46">
        <f>ROUND(VLOOKUP($A46,'Commercial ele-balt'!$A$1:$F$13,2, FALSE),2)</f>
        <v>41</v>
      </c>
      <c r="F46">
        <v>0</v>
      </c>
      <c r="G46">
        <f t="shared" si="12"/>
        <v>41</v>
      </c>
      <c r="H46">
        <f t="shared" si="13"/>
        <v>3.7558685446009391E-2</v>
      </c>
      <c r="I46">
        <f t="shared" si="14"/>
        <v>0.96244131455399062</v>
      </c>
      <c r="J46" t="str">
        <f>VLOOKUP($A46,'Commercial ele-balt'!$A$1:$F$13,3, FALSE)</f>
        <v>ICES (2017)</v>
      </c>
      <c r="K46" s="3">
        <f t="shared" si="15"/>
        <v>42.6</v>
      </c>
      <c r="L46">
        <f t="shared" si="16"/>
        <v>0</v>
      </c>
    </row>
    <row r="47" spans="1:12" x14ac:dyDescent="0.25">
      <c r="A47" t="str">
        <f t="shared" si="8"/>
        <v>Latvia</v>
      </c>
      <c r="B47" s="3">
        <f t="shared" si="9"/>
        <v>0.1</v>
      </c>
      <c r="C47">
        <f t="shared" si="10"/>
        <v>87.9</v>
      </c>
      <c r="D47" s="3">
        <f>B47+C47</f>
        <v>88</v>
      </c>
      <c r="E47">
        <f>ROUND(VLOOKUP($A47,'Commercial ele-balt'!$A$1:$F$13,2, FALSE),2)</f>
        <v>0</v>
      </c>
      <c r="F47">
        <v>0</v>
      </c>
      <c r="G47">
        <f t="shared" si="12"/>
        <v>0</v>
      </c>
      <c r="H47">
        <f t="shared" si="13"/>
        <v>1</v>
      </c>
      <c r="I47">
        <f t="shared" si="14"/>
        <v>0</v>
      </c>
      <c r="J47" t="str">
        <f>VLOOKUP($A47,'Commercial ele-balt'!$A$1:$F$13,3, FALSE)</f>
        <v>ICES (2017)</v>
      </c>
      <c r="K47" s="3">
        <f t="shared" si="15"/>
        <v>88</v>
      </c>
      <c r="L47">
        <f t="shared" si="16"/>
        <v>0</v>
      </c>
    </row>
    <row r="48" spans="1:12" x14ac:dyDescent="0.25">
      <c r="A48" t="str">
        <f t="shared" si="8"/>
        <v>Lithuania</v>
      </c>
      <c r="B48" s="3">
        <f t="shared" si="9"/>
        <v>4.9000000000000004</v>
      </c>
      <c r="C48">
        <f t="shared" si="10"/>
        <v>0.23</v>
      </c>
      <c r="D48" s="3">
        <f t="shared" si="11"/>
        <v>5.1300000000000008</v>
      </c>
      <c r="E48">
        <f>ROUND(VLOOKUP($A48,'Commercial ele-balt'!$A$1:$F$13,2, FALSE),2)</f>
        <v>0</v>
      </c>
      <c r="F48">
        <v>0</v>
      </c>
      <c r="G48">
        <f t="shared" si="12"/>
        <v>0</v>
      </c>
      <c r="H48">
        <f t="shared" si="13"/>
        <v>1</v>
      </c>
      <c r="I48">
        <f t="shared" si="14"/>
        <v>0</v>
      </c>
      <c r="J48" t="str">
        <f>VLOOKUP($A48,'Commercial ele-balt'!$A$1:$F$13,3, FALSE)</f>
        <v>ICES (2017)</v>
      </c>
      <c r="K48" s="3">
        <f t="shared" si="15"/>
        <v>5.1300000000000008</v>
      </c>
      <c r="L48">
        <f t="shared" si="16"/>
        <v>0</v>
      </c>
    </row>
    <row r="49" spans="1:12" x14ac:dyDescent="0.25">
      <c r="A49" t="str">
        <f t="shared" si="8"/>
        <v>Poland</v>
      </c>
      <c r="B49" s="3">
        <f t="shared" si="9"/>
        <v>0.75</v>
      </c>
      <c r="C49">
        <f t="shared" si="10"/>
        <v>0.04</v>
      </c>
      <c r="D49" s="3">
        <f t="shared" si="11"/>
        <v>0.79</v>
      </c>
      <c r="E49">
        <f>ROUND(VLOOKUP($A49,'Commercial ele-balt'!$A$1:$F$13,2, FALSE),2)</f>
        <v>31</v>
      </c>
      <c r="F49">
        <v>0</v>
      </c>
      <c r="G49">
        <f t="shared" si="12"/>
        <v>31</v>
      </c>
      <c r="H49">
        <f t="shared" si="13"/>
        <v>2.4850581944007553E-2</v>
      </c>
      <c r="I49">
        <f t="shared" si="14"/>
        <v>0.97514941805599242</v>
      </c>
      <c r="J49" t="str">
        <f>VLOOKUP($A49,'Commercial ele-balt'!$A$1:$F$13,3, FALSE)</f>
        <v>ICES (2017)</v>
      </c>
      <c r="K49" s="3">
        <f t="shared" si="15"/>
        <v>31.79</v>
      </c>
      <c r="L49">
        <f t="shared" si="16"/>
        <v>0</v>
      </c>
    </row>
    <row r="50" spans="1:12" x14ac:dyDescent="0.25">
      <c r="A50" t="str">
        <f t="shared" si="8"/>
        <v>Sweden</v>
      </c>
      <c r="B50" s="3">
        <f t="shared" si="9"/>
        <v>0</v>
      </c>
      <c r="C50">
        <f t="shared" si="10"/>
        <v>0</v>
      </c>
      <c r="D50" s="3">
        <f t="shared" si="11"/>
        <v>0</v>
      </c>
      <c r="E50">
        <f>ROUND(VLOOKUP($A50,'Commercial ele-balt'!$A$1:$F$13,2, FALSE),2)</f>
        <v>237</v>
      </c>
      <c r="F50">
        <v>0</v>
      </c>
      <c r="G50">
        <f t="shared" si="12"/>
        <v>237</v>
      </c>
      <c r="H50">
        <f t="shared" si="13"/>
        <v>0</v>
      </c>
      <c r="I50">
        <f t="shared" si="14"/>
        <v>1</v>
      </c>
      <c r="J50" t="str">
        <f>VLOOKUP($A50,'Commercial ele-balt'!$A$1:$F$13,3, FALSE)</f>
        <v>ICES (2017)</v>
      </c>
      <c r="K50" s="3">
        <f t="shared" si="15"/>
        <v>237</v>
      </c>
      <c r="L50">
        <f t="shared" si="16"/>
        <v>0</v>
      </c>
    </row>
    <row r="51" spans="1:12" x14ac:dyDescent="0.25">
      <c r="A51" s="12" t="s">
        <v>92</v>
      </c>
      <c r="B51" s="13">
        <f>SUM(B43:B50)</f>
        <v>88.26</v>
      </c>
      <c r="C51" s="13">
        <f t="shared" ref="C51:K51" si="17">SUM(C43:C50)</f>
        <v>89.40000000000002</v>
      </c>
      <c r="D51" s="13">
        <f t="shared" si="17"/>
        <v>177.66</v>
      </c>
      <c r="E51" s="13">
        <f t="shared" si="17"/>
        <v>579</v>
      </c>
      <c r="F51" s="13">
        <f t="shared" si="17"/>
        <v>0</v>
      </c>
      <c r="G51" s="13">
        <f t="shared" si="17"/>
        <v>579</v>
      </c>
      <c r="H51" s="12">
        <f>D51/K51</f>
        <v>0.23479502022044246</v>
      </c>
      <c r="I51" s="12">
        <f>G51/K51</f>
        <v>0.76520497977955759</v>
      </c>
      <c r="J51" s="13" t="s">
        <v>71</v>
      </c>
      <c r="K51" s="13">
        <f t="shared" si="17"/>
        <v>756.66</v>
      </c>
      <c r="L51">
        <f>SUM(L43:L50)/D51</f>
        <v>0</v>
      </c>
    </row>
    <row r="52" spans="1:12" x14ac:dyDescent="0.25">
      <c r="G52" t="s">
        <v>67</v>
      </c>
      <c r="H52">
        <f>B51/(B51+E51)</f>
        <v>0.13227227767287114</v>
      </c>
    </row>
  </sheetData>
  <mergeCells count="8">
    <mergeCell ref="B41:D41"/>
    <mergeCell ref="E41:G41"/>
    <mergeCell ref="H41:I41"/>
    <mergeCell ref="A10:H10"/>
    <mergeCell ref="A23:I23"/>
    <mergeCell ref="J23:L23"/>
    <mergeCell ref="A35:C35"/>
    <mergeCell ref="A40:K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U14"/>
  <sheetViews>
    <sheetView topLeftCell="C1" zoomScaleNormal="100" workbookViewId="0">
      <selection activeCell="G37" sqref="G37"/>
    </sheetView>
  </sheetViews>
  <sheetFormatPr defaultColWidth="9.140625" defaultRowHeight="15" x14ac:dyDescent="0.25"/>
  <cols>
    <col min="1" max="1" width="20" bestFit="1" customWidth="1"/>
    <col min="3" max="3" width="17.7109375" bestFit="1" customWidth="1"/>
    <col min="8" max="8" width="36.5703125" bestFit="1" customWidth="1"/>
    <col min="9" max="9" width="13.28515625" bestFit="1" customWidth="1"/>
    <col min="11" max="11" width="13.85546875" bestFit="1" customWidth="1"/>
    <col min="16" max="16" width="38" bestFit="1" customWidth="1"/>
    <col min="21" max="21" width="54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95</v>
      </c>
    </row>
    <row r="2" spans="1:21" x14ac:dyDescent="0.25">
      <c r="A2" s="2" t="s">
        <v>8</v>
      </c>
      <c r="B2">
        <v>2012</v>
      </c>
      <c r="C2" s="7">
        <v>32000</v>
      </c>
      <c r="D2" s="3">
        <v>4</v>
      </c>
      <c r="E2" s="6">
        <v>16858</v>
      </c>
      <c r="F2" s="26">
        <v>0.4</v>
      </c>
      <c r="G2" s="5">
        <v>5534</v>
      </c>
      <c r="H2" t="s">
        <v>97</v>
      </c>
      <c r="I2" t="s">
        <v>98</v>
      </c>
      <c r="L2" s="1" t="s">
        <v>3</v>
      </c>
      <c r="M2" s="1" t="s">
        <v>4</v>
      </c>
      <c r="N2" s="1" t="s">
        <v>5</v>
      </c>
      <c r="O2" s="1" t="s">
        <v>6</v>
      </c>
      <c r="Q2" s="1" t="s">
        <v>3</v>
      </c>
      <c r="R2" s="1" t="s">
        <v>4</v>
      </c>
      <c r="S2" s="1" t="s">
        <v>5</v>
      </c>
      <c r="T2" s="1" t="s">
        <v>6</v>
      </c>
    </row>
    <row r="3" spans="1:21" x14ac:dyDescent="0.25">
      <c r="A3" s="2" t="s">
        <v>9</v>
      </c>
      <c r="B3">
        <v>2011</v>
      </c>
      <c r="C3" s="10">
        <v>386000</v>
      </c>
      <c r="D3" s="3">
        <f>'Denmark landings'!A19</f>
        <v>43.300000000000004</v>
      </c>
      <c r="E3" s="6" t="s">
        <v>11</v>
      </c>
      <c r="F3" s="26" t="s">
        <v>11</v>
      </c>
      <c r="G3" s="6">
        <f>'Denmark landings'!B19</f>
        <v>28984</v>
      </c>
      <c r="H3" t="s">
        <v>111</v>
      </c>
      <c r="I3" t="s">
        <v>98</v>
      </c>
      <c r="K3" t="s">
        <v>106</v>
      </c>
      <c r="L3">
        <v>23.8</v>
      </c>
      <c r="M3" t="s">
        <v>11</v>
      </c>
      <c r="N3" t="s">
        <v>11</v>
      </c>
      <c r="O3">
        <v>73068</v>
      </c>
      <c r="P3" t="s">
        <v>107</v>
      </c>
      <c r="Q3">
        <f>'Denmark landings'!A44</f>
        <v>43.1</v>
      </c>
      <c r="R3" t="s">
        <v>11</v>
      </c>
      <c r="S3" t="s">
        <v>11</v>
      </c>
      <c r="T3" t="s">
        <v>11</v>
      </c>
      <c r="U3" t="s">
        <v>110</v>
      </c>
    </row>
    <row r="4" spans="1:21" x14ac:dyDescent="0.25">
      <c r="A4" s="2" t="s">
        <v>12</v>
      </c>
      <c r="B4">
        <v>2015</v>
      </c>
      <c r="C4" s="10">
        <v>1285163</v>
      </c>
      <c r="D4" s="3">
        <v>0</v>
      </c>
      <c r="E4" s="6">
        <v>0</v>
      </c>
      <c r="F4" s="26">
        <v>0</v>
      </c>
      <c r="G4" s="5">
        <v>0</v>
      </c>
      <c r="H4" t="s">
        <v>22</v>
      </c>
      <c r="I4" t="s">
        <v>98</v>
      </c>
    </row>
    <row r="5" spans="1:21" x14ac:dyDescent="0.25">
      <c r="A5" s="2" t="s">
        <v>13</v>
      </c>
      <c r="B5">
        <v>2012</v>
      </c>
      <c r="C5" s="8">
        <v>125188</v>
      </c>
      <c r="D5" s="3" t="s">
        <v>11</v>
      </c>
      <c r="E5" s="6">
        <v>5300</v>
      </c>
      <c r="F5" s="26" t="s">
        <v>11</v>
      </c>
      <c r="G5" s="6">
        <v>32000</v>
      </c>
      <c r="H5" t="s">
        <v>105</v>
      </c>
      <c r="I5" t="s">
        <v>102</v>
      </c>
    </row>
    <row r="6" spans="1:21" x14ac:dyDescent="0.25">
      <c r="A6" s="2" t="s">
        <v>14</v>
      </c>
      <c r="B6">
        <v>2012</v>
      </c>
      <c r="C6" s="7">
        <v>884000</v>
      </c>
      <c r="D6" s="3">
        <v>2.3199999999999998</v>
      </c>
      <c r="E6" s="6">
        <v>9862</v>
      </c>
      <c r="F6" s="26">
        <v>26.16</v>
      </c>
      <c r="G6" s="6">
        <v>34267</v>
      </c>
      <c r="H6" t="s">
        <v>112</v>
      </c>
      <c r="I6" t="s">
        <v>98</v>
      </c>
    </row>
    <row r="7" spans="1:21" x14ac:dyDescent="0.25">
      <c r="A7" s="2" t="s">
        <v>15</v>
      </c>
      <c r="B7" t="s">
        <v>11</v>
      </c>
      <c r="C7" s="7">
        <v>24409</v>
      </c>
      <c r="D7" s="3" t="s">
        <v>11</v>
      </c>
      <c r="E7" s="6" t="s">
        <v>11</v>
      </c>
      <c r="F7" s="26" t="s">
        <v>11</v>
      </c>
      <c r="G7" s="6" t="s">
        <v>11</v>
      </c>
      <c r="H7" t="s">
        <v>11</v>
      </c>
      <c r="I7" t="s">
        <v>98</v>
      </c>
      <c r="L7" s="1" t="s">
        <v>3</v>
      </c>
      <c r="M7" s="1" t="s">
        <v>4</v>
      </c>
      <c r="N7" s="1" t="s">
        <v>5</v>
      </c>
      <c r="O7" s="1" t="s">
        <v>6</v>
      </c>
    </row>
    <row r="8" spans="1:21" x14ac:dyDescent="0.25">
      <c r="A8" s="2" t="s">
        <v>16</v>
      </c>
      <c r="B8">
        <v>2012</v>
      </c>
      <c r="C8" s="7">
        <v>504108</v>
      </c>
      <c r="D8" s="3">
        <v>18</v>
      </c>
      <c r="E8" s="6">
        <v>91000</v>
      </c>
      <c r="F8" s="26" t="s">
        <v>11</v>
      </c>
      <c r="G8" s="6">
        <v>67000</v>
      </c>
      <c r="H8" t="s">
        <v>113</v>
      </c>
      <c r="I8" t="s">
        <v>98</v>
      </c>
      <c r="K8" t="s">
        <v>106</v>
      </c>
      <c r="L8">
        <v>40</v>
      </c>
      <c r="M8">
        <v>193000</v>
      </c>
      <c r="N8" t="s">
        <v>11</v>
      </c>
      <c r="O8">
        <v>247000</v>
      </c>
      <c r="P8" t="s">
        <v>114</v>
      </c>
    </row>
    <row r="9" spans="1:21" x14ac:dyDescent="0.25">
      <c r="A9" s="2" t="s">
        <v>56</v>
      </c>
      <c r="B9" t="s">
        <v>11</v>
      </c>
      <c r="C9" s="8">
        <v>125188</v>
      </c>
      <c r="D9" t="s">
        <v>11</v>
      </c>
      <c r="E9" t="s">
        <v>11</v>
      </c>
      <c r="F9" t="s">
        <v>11</v>
      </c>
      <c r="G9" t="s">
        <v>11</v>
      </c>
      <c r="H9" t="s">
        <v>11</v>
      </c>
      <c r="I9" t="s">
        <v>98</v>
      </c>
    </row>
    <row r="10" spans="1:21" x14ac:dyDescent="0.25">
      <c r="A10" s="2" t="s">
        <v>73</v>
      </c>
      <c r="B10" s="9" t="s">
        <v>11</v>
      </c>
      <c r="C10">
        <v>791000</v>
      </c>
      <c r="D10" t="s">
        <v>11</v>
      </c>
      <c r="E10" t="s">
        <v>11</v>
      </c>
      <c r="F10" t="s">
        <v>11</v>
      </c>
      <c r="G10" t="s">
        <v>11</v>
      </c>
      <c r="H10" t="s">
        <v>11</v>
      </c>
      <c r="I10" t="s">
        <v>98</v>
      </c>
    </row>
    <row r="11" spans="1:21" x14ac:dyDescent="0.25">
      <c r="A11" s="2" t="s">
        <v>89</v>
      </c>
      <c r="B11" s="9" t="s">
        <v>11</v>
      </c>
      <c r="C11" s="1">
        <v>76000</v>
      </c>
      <c r="D11" t="s">
        <v>11</v>
      </c>
      <c r="E11" t="s">
        <v>11</v>
      </c>
      <c r="F11" t="s">
        <v>11</v>
      </c>
      <c r="G11" t="s">
        <v>11</v>
      </c>
      <c r="H11" t="s">
        <v>11</v>
      </c>
      <c r="I11" t="s">
        <v>102</v>
      </c>
    </row>
    <row r="12" spans="1:21" x14ac:dyDescent="0.25">
      <c r="A12" s="2" t="s">
        <v>90</v>
      </c>
      <c r="B12" s="9" t="s">
        <v>11</v>
      </c>
      <c r="C12" s="1">
        <v>76600</v>
      </c>
      <c r="D12" t="s">
        <v>11</v>
      </c>
      <c r="E12" t="s">
        <v>11</v>
      </c>
      <c r="F12" t="s">
        <v>11</v>
      </c>
      <c r="G12" t="s">
        <v>11</v>
      </c>
      <c r="H12" t="s">
        <v>11</v>
      </c>
      <c r="I12" t="s">
        <v>102</v>
      </c>
    </row>
    <row r="14" spans="1:21" x14ac:dyDescent="0.25">
      <c r="G14" s="25"/>
    </row>
  </sheetData>
  <conditionalFormatting sqref="A2:A12">
    <cfRule type="cellIs" dxfId="0" priority="1" operator="equal">
      <formula>"NA"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9"/>
  <sheetViews>
    <sheetView workbookViewId="0">
      <selection activeCell="H3" sqref="H3"/>
    </sheetView>
  </sheetViews>
  <sheetFormatPr defaultColWidth="9.140625" defaultRowHeight="15" x14ac:dyDescent="0.25"/>
  <cols>
    <col min="3" max="3" width="17.7109375" bestFit="1" customWidth="1"/>
    <col min="8" max="8" width="25.7109375" bestFit="1" customWidth="1"/>
    <col min="9" max="9" width="20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95</v>
      </c>
    </row>
    <row r="2" spans="1:9" x14ac:dyDescent="0.25">
      <c r="A2" t="s">
        <v>9</v>
      </c>
      <c r="B2">
        <v>2010</v>
      </c>
      <c r="C2" s="7">
        <v>386000</v>
      </c>
      <c r="D2">
        <v>73</v>
      </c>
      <c r="E2" t="s">
        <v>11</v>
      </c>
      <c r="F2" t="s">
        <v>11</v>
      </c>
      <c r="G2">
        <v>17893</v>
      </c>
      <c r="H2" t="s">
        <v>103</v>
      </c>
      <c r="I2" t="s">
        <v>98</v>
      </c>
    </row>
    <row r="3" spans="1:9" x14ac:dyDescent="0.25">
      <c r="A3" t="s">
        <v>17</v>
      </c>
      <c r="B3">
        <v>2014</v>
      </c>
      <c r="C3" s="7">
        <v>20000</v>
      </c>
      <c r="D3">
        <v>5.0000000000000001E-3</v>
      </c>
      <c r="E3" t="s">
        <v>11</v>
      </c>
      <c r="F3" t="s">
        <v>11</v>
      </c>
      <c r="G3" t="s">
        <v>11</v>
      </c>
      <c r="H3" t="s">
        <v>100</v>
      </c>
      <c r="I3" t="s">
        <v>98</v>
      </c>
    </row>
    <row r="4" spans="1:9" x14ac:dyDescent="0.25">
      <c r="A4" t="s">
        <v>18</v>
      </c>
      <c r="B4">
        <v>2014</v>
      </c>
      <c r="C4" s="7">
        <v>300000</v>
      </c>
      <c r="D4">
        <v>8</v>
      </c>
      <c r="E4" t="s">
        <v>11</v>
      </c>
      <c r="F4">
        <v>0</v>
      </c>
      <c r="G4" t="s">
        <v>11</v>
      </c>
      <c r="H4" t="s">
        <v>100</v>
      </c>
      <c r="I4" t="s">
        <v>98</v>
      </c>
    </row>
    <row r="5" spans="1:9" x14ac:dyDescent="0.25">
      <c r="A5" t="s">
        <v>8</v>
      </c>
      <c r="B5">
        <v>2012</v>
      </c>
      <c r="C5" s="7">
        <v>163000</v>
      </c>
      <c r="D5">
        <v>1.5</v>
      </c>
      <c r="E5">
        <v>4034</v>
      </c>
      <c r="F5">
        <v>0.1</v>
      </c>
      <c r="G5">
        <v>1577</v>
      </c>
      <c r="H5" t="s">
        <v>100</v>
      </c>
      <c r="I5" t="s">
        <v>98</v>
      </c>
    </row>
    <row r="6" spans="1:9" x14ac:dyDescent="0.25">
      <c r="A6" t="s">
        <v>19</v>
      </c>
      <c r="B6">
        <v>2014</v>
      </c>
      <c r="C6" s="7">
        <v>41000</v>
      </c>
      <c r="D6">
        <v>0.1</v>
      </c>
      <c r="E6" t="s">
        <v>11</v>
      </c>
      <c r="F6" t="s">
        <v>11</v>
      </c>
      <c r="G6">
        <v>1386200</v>
      </c>
      <c r="H6" t="s">
        <v>100</v>
      </c>
      <c r="I6" t="s">
        <v>98</v>
      </c>
    </row>
    <row r="7" spans="1:9" x14ac:dyDescent="0.25">
      <c r="A7" t="s">
        <v>20</v>
      </c>
      <c r="B7">
        <v>2015</v>
      </c>
      <c r="C7" s="7">
        <v>60000</v>
      </c>
      <c r="D7">
        <v>4.9000000000000004</v>
      </c>
      <c r="E7" t="s">
        <v>11</v>
      </c>
      <c r="F7" t="s">
        <v>11</v>
      </c>
      <c r="G7" t="s">
        <v>11</v>
      </c>
      <c r="H7" t="s">
        <v>100</v>
      </c>
      <c r="I7" t="s">
        <v>98</v>
      </c>
    </row>
    <row r="8" spans="1:9" x14ac:dyDescent="0.25">
      <c r="A8" t="s">
        <v>21</v>
      </c>
      <c r="B8" t="s">
        <v>11</v>
      </c>
      <c r="C8" s="7">
        <v>82000</v>
      </c>
      <c r="D8" t="s">
        <v>11</v>
      </c>
      <c r="E8" t="s">
        <v>11</v>
      </c>
      <c r="F8" t="s">
        <v>11</v>
      </c>
      <c r="G8" t="s">
        <v>11</v>
      </c>
      <c r="H8" t="s">
        <v>11</v>
      </c>
      <c r="I8" t="s">
        <v>98</v>
      </c>
    </row>
    <row r="9" spans="1:9" x14ac:dyDescent="0.25">
      <c r="A9" t="s">
        <v>10</v>
      </c>
      <c r="B9" t="s">
        <v>11</v>
      </c>
      <c r="C9">
        <v>565634</v>
      </c>
      <c r="D9">
        <v>0</v>
      </c>
      <c r="E9">
        <v>0</v>
      </c>
      <c r="F9">
        <v>0</v>
      </c>
      <c r="G9">
        <v>0</v>
      </c>
      <c r="H9" t="s">
        <v>96</v>
      </c>
      <c r="I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12"/>
  <sheetViews>
    <sheetView workbookViewId="0">
      <selection activeCell="C12" sqref="C12"/>
    </sheetView>
  </sheetViews>
  <sheetFormatPr defaultColWidth="9.140625" defaultRowHeight="15" x14ac:dyDescent="0.25"/>
  <cols>
    <col min="1" max="1" width="20" bestFit="1" customWidth="1"/>
    <col min="3" max="3" width="26" bestFit="1" customWidth="1"/>
  </cols>
  <sheetData>
    <row r="1" spans="1:3" x14ac:dyDescent="0.25">
      <c r="A1" t="s">
        <v>0</v>
      </c>
      <c r="B1" t="s">
        <v>67</v>
      </c>
      <c r="C1" t="s">
        <v>7</v>
      </c>
    </row>
    <row r="2" spans="1:3" x14ac:dyDescent="0.25">
      <c r="A2" t="s">
        <v>8</v>
      </c>
      <c r="B2">
        <v>0</v>
      </c>
      <c r="C2" t="s">
        <v>104</v>
      </c>
    </row>
    <row r="3" spans="1:3" x14ac:dyDescent="0.25">
      <c r="A3" t="s">
        <v>9</v>
      </c>
      <c r="B3">
        <v>37</v>
      </c>
      <c r="C3" t="s">
        <v>104</v>
      </c>
    </row>
    <row r="4" spans="1:3" x14ac:dyDescent="0.25">
      <c r="A4" t="s">
        <v>10</v>
      </c>
      <c r="B4">
        <v>0</v>
      </c>
      <c r="C4" t="s">
        <v>104</v>
      </c>
    </row>
    <row r="5" spans="1:3" x14ac:dyDescent="0.25">
      <c r="A5" t="s">
        <v>12</v>
      </c>
      <c r="B5">
        <v>0</v>
      </c>
      <c r="C5" t="s">
        <v>104</v>
      </c>
    </row>
    <row r="6" spans="1:3" x14ac:dyDescent="0.25">
      <c r="A6" t="s">
        <v>13</v>
      </c>
      <c r="B6">
        <v>0.31759999999999999</v>
      </c>
      <c r="C6" t="s">
        <v>101</v>
      </c>
    </row>
    <row r="7" spans="1:3" x14ac:dyDescent="0.25">
      <c r="A7" t="s">
        <v>15</v>
      </c>
      <c r="B7">
        <v>0</v>
      </c>
      <c r="C7" t="s">
        <v>104</v>
      </c>
    </row>
    <row r="8" spans="1:3" x14ac:dyDescent="0.25">
      <c r="A8" t="s">
        <v>16</v>
      </c>
      <c r="B8">
        <v>1</v>
      </c>
      <c r="C8" t="s">
        <v>104</v>
      </c>
    </row>
    <row r="9" spans="1:3" x14ac:dyDescent="0.25">
      <c r="A9" t="s">
        <v>56</v>
      </c>
      <c r="B9">
        <v>0.253</v>
      </c>
      <c r="C9" t="s">
        <v>101</v>
      </c>
    </row>
    <row r="10" spans="1:3" x14ac:dyDescent="0.25">
      <c r="A10" t="s">
        <v>89</v>
      </c>
      <c r="B10">
        <v>0</v>
      </c>
      <c r="C10" t="s">
        <v>101</v>
      </c>
    </row>
    <row r="11" spans="1:3" x14ac:dyDescent="0.25">
      <c r="A11" t="s">
        <v>90</v>
      </c>
      <c r="B11">
        <v>0</v>
      </c>
      <c r="C11" t="s">
        <v>104</v>
      </c>
    </row>
    <row r="12" spans="1:3" x14ac:dyDescent="0.25">
      <c r="A12" t="s">
        <v>73</v>
      </c>
      <c r="B12">
        <v>0</v>
      </c>
      <c r="C1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C9"/>
  <sheetViews>
    <sheetView workbookViewId="0">
      <selection activeCell="H19" sqref="H19"/>
    </sheetView>
  </sheetViews>
  <sheetFormatPr defaultColWidth="9.140625" defaultRowHeight="15" x14ac:dyDescent="0.25"/>
  <sheetData>
    <row r="1" spans="1:3" x14ac:dyDescent="0.25">
      <c r="A1" t="s">
        <v>0</v>
      </c>
      <c r="B1" t="s">
        <v>67</v>
      </c>
      <c r="C1" t="s">
        <v>7</v>
      </c>
    </row>
    <row r="2" spans="1:3" x14ac:dyDescent="0.25">
      <c r="A2" t="s">
        <v>9</v>
      </c>
      <c r="B2">
        <v>267</v>
      </c>
      <c r="C2" t="s">
        <v>104</v>
      </c>
    </row>
    <row r="3" spans="1:3" x14ac:dyDescent="0.25">
      <c r="A3" t="s">
        <v>17</v>
      </c>
      <c r="B3">
        <v>2</v>
      </c>
      <c r="C3" t="s">
        <v>104</v>
      </c>
    </row>
    <row r="4" spans="1:3" x14ac:dyDescent="0.25">
      <c r="A4" t="s">
        <v>18</v>
      </c>
      <c r="B4">
        <v>1</v>
      </c>
      <c r="C4" t="s">
        <v>104</v>
      </c>
    </row>
    <row r="5" spans="1:3" x14ac:dyDescent="0.25">
      <c r="A5" t="s">
        <v>8</v>
      </c>
      <c r="B5">
        <v>41</v>
      </c>
      <c r="C5" t="s">
        <v>104</v>
      </c>
    </row>
    <row r="6" spans="1:3" x14ac:dyDescent="0.25">
      <c r="A6" t="s">
        <v>19</v>
      </c>
      <c r="B6">
        <v>0</v>
      </c>
      <c r="C6" t="s">
        <v>104</v>
      </c>
    </row>
    <row r="7" spans="1:3" x14ac:dyDescent="0.25">
      <c r="A7" t="s">
        <v>20</v>
      </c>
      <c r="B7">
        <v>0</v>
      </c>
      <c r="C7" t="s">
        <v>104</v>
      </c>
    </row>
    <row r="8" spans="1:3" x14ac:dyDescent="0.25">
      <c r="A8" t="s">
        <v>21</v>
      </c>
      <c r="B8">
        <v>31</v>
      </c>
      <c r="C8" t="s">
        <v>104</v>
      </c>
    </row>
    <row r="9" spans="1:3" x14ac:dyDescent="0.25">
      <c r="A9" t="s">
        <v>10</v>
      </c>
      <c r="B9">
        <v>237</v>
      </c>
      <c r="C9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D2"/>
  <sheetViews>
    <sheetView workbookViewId="0">
      <selection activeCell="D7" sqref="D7"/>
    </sheetView>
  </sheetViews>
  <sheetFormatPr defaultColWidth="9.140625" defaultRowHeight="15" x14ac:dyDescent="0.25"/>
  <cols>
    <col min="1" max="1" width="11.5703125" bestFit="1" customWidth="1"/>
    <col min="2" max="2" width="35.7109375" bestFit="1" customWidth="1"/>
    <col min="3" max="3" width="14.42578125" customWidth="1"/>
    <col min="4" max="4" width="21.85546875" bestFit="1" customWidth="1"/>
  </cols>
  <sheetData>
    <row r="1" spans="1:4" x14ac:dyDescent="0.25">
      <c r="A1" t="s">
        <v>33</v>
      </c>
      <c r="B1" t="s">
        <v>7</v>
      </c>
      <c r="C1" t="s">
        <v>34</v>
      </c>
      <c r="D1" t="s">
        <v>7</v>
      </c>
    </row>
    <row r="2" spans="1:4" x14ac:dyDescent="0.25">
      <c r="A2">
        <v>1</v>
      </c>
      <c r="B2" t="s">
        <v>99</v>
      </c>
      <c r="C2">
        <v>1</v>
      </c>
      <c r="D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2"/>
  <sheetViews>
    <sheetView workbookViewId="0">
      <selection activeCell="N39" sqref="N39"/>
    </sheetView>
  </sheetViews>
  <sheetFormatPr defaultColWidth="9.140625" defaultRowHeight="15" x14ac:dyDescent="0.25"/>
  <cols>
    <col min="1" max="1" width="20.7109375" bestFit="1" customWidth="1"/>
    <col min="3" max="3" width="19.28515625" bestFit="1" customWidth="1"/>
    <col min="5" max="5" width="19.140625" bestFit="1" customWidth="1"/>
  </cols>
  <sheetData>
    <row r="1" spans="1:6" x14ac:dyDescent="0.25">
      <c r="A1" t="s">
        <v>57</v>
      </c>
      <c r="B1" t="s">
        <v>7</v>
      </c>
      <c r="C1" t="s">
        <v>31</v>
      </c>
      <c r="D1" t="s">
        <v>7</v>
      </c>
      <c r="E1" t="s">
        <v>32</v>
      </c>
      <c r="F1" t="s">
        <v>7</v>
      </c>
    </row>
    <row r="2" spans="1:6" x14ac:dyDescent="0.25">
      <c r="A2" t="s">
        <v>11</v>
      </c>
      <c r="B2" t="s">
        <v>11</v>
      </c>
      <c r="C2" t="s">
        <v>11</v>
      </c>
      <c r="D2" t="s">
        <v>11</v>
      </c>
      <c r="E2" t="s">
        <v>11</v>
      </c>
      <c r="F2" t="s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C46"/>
  <sheetViews>
    <sheetView topLeftCell="A10" workbookViewId="0">
      <selection activeCell="C24" sqref="C24"/>
    </sheetView>
  </sheetViews>
  <sheetFormatPr defaultColWidth="9.140625" defaultRowHeight="15" x14ac:dyDescent="0.25"/>
  <cols>
    <col min="1" max="1" width="20.7109375" bestFit="1" customWidth="1"/>
    <col min="2" max="2" width="29.140625" bestFit="1" customWidth="1"/>
    <col min="3" max="3" width="20.42578125" bestFit="1" customWidth="1"/>
    <col min="4" max="4" width="20.85546875" bestFit="1" customWidth="1"/>
    <col min="5" max="5" width="8.42578125" bestFit="1" customWidth="1"/>
    <col min="6" max="6" width="13.85546875" bestFit="1" customWidth="1"/>
    <col min="7" max="7" width="12.28515625" bestFit="1" customWidth="1"/>
    <col min="8" max="8" width="10.85546875" bestFit="1" customWidth="1"/>
    <col min="9" max="9" width="12.85546875" bestFit="1" customWidth="1"/>
    <col min="12" max="12" width="12.85546875" bestFit="1" customWidth="1"/>
    <col min="13" max="13" width="29.28515625" bestFit="1" customWidth="1"/>
    <col min="14" max="14" width="16.85546875" bestFit="1" customWidth="1"/>
    <col min="15" max="15" width="13.85546875" bestFit="1" customWidth="1"/>
    <col min="16" max="16" width="12.28515625" bestFit="1" customWidth="1"/>
  </cols>
  <sheetData>
    <row r="1" spans="1:3" x14ac:dyDescent="0.25">
      <c r="A1" s="30" t="s">
        <v>109</v>
      </c>
      <c r="B1" s="30"/>
      <c r="C1" s="30"/>
    </row>
    <row r="2" spans="1:3" x14ac:dyDescent="0.25">
      <c r="A2" t="s">
        <v>81</v>
      </c>
      <c r="B2" t="s">
        <v>88</v>
      </c>
      <c r="C2" t="s">
        <v>83</v>
      </c>
    </row>
    <row r="3" spans="1:3" x14ac:dyDescent="0.25">
      <c r="A3" t="s">
        <v>79</v>
      </c>
      <c r="B3">
        <v>1.5</v>
      </c>
      <c r="C3">
        <v>3437</v>
      </c>
    </row>
    <row r="4" spans="1:3" x14ac:dyDescent="0.25">
      <c r="A4" t="s">
        <v>78</v>
      </c>
      <c r="B4">
        <v>9.4</v>
      </c>
      <c r="C4">
        <v>2494</v>
      </c>
    </row>
    <row r="5" spans="1:3" x14ac:dyDescent="0.25">
      <c r="A5" t="s">
        <v>77</v>
      </c>
      <c r="B5">
        <v>50</v>
      </c>
      <c r="C5">
        <v>15750</v>
      </c>
    </row>
    <row r="6" spans="1:3" x14ac:dyDescent="0.25">
      <c r="A6" t="s">
        <v>76</v>
      </c>
      <c r="B6">
        <v>12.1</v>
      </c>
      <c r="C6">
        <v>4426</v>
      </c>
    </row>
    <row r="7" spans="1:3" x14ac:dyDescent="0.25">
      <c r="A7" t="s">
        <v>75</v>
      </c>
      <c r="B7">
        <v>22.1</v>
      </c>
      <c r="C7">
        <v>9986</v>
      </c>
    </row>
    <row r="8" spans="1:3" x14ac:dyDescent="0.25">
      <c r="A8" t="s">
        <v>82</v>
      </c>
      <c r="B8">
        <v>13.8</v>
      </c>
      <c r="C8">
        <v>7739</v>
      </c>
    </row>
    <row r="9" spans="1:3" x14ac:dyDescent="0.25">
      <c r="A9" t="s">
        <v>74</v>
      </c>
      <c r="B9">
        <v>6.6</v>
      </c>
      <c r="C9">
        <v>6029</v>
      </c>
    </row>
    <row r="10" spans="1:3" x14ac:dyDescent="0.25">
      <c r="A10" t="s">
        <v>80</v>
      </c>
      <c r="B10">
        <v>0.8</v>
      </c>
      <c r="C10">
        <v>804</v>
      </c>
    </row>
    <row r="18" spans="1:3" x14ac:dyDescent="0.25">
      <c r="A18" t="s">
        <v>84</v>
      </c>
      <c r="B18" t="s">
        <v>86</v>
      </c>
    </row>
    <row r="19" spans="1:3" x14ac:dyDescent="0.25">
      <c r="A19">
        <f>SUM(B7:B10)</f>
        <v>43.300000000000004</v>
      </c>
      <c r="B19">
        <f>SUM(C6:C10)</f>
        <v>28984</v>
      </c>
    </row>
    <row r="20" spans="1:3" x14ac:dyDescent="0.25">
      <c r="A20" t="s">
        <v>85</v>
      </c>
      <c r="B20" t="s">
        <v>87</v>
      </c>
    </row>
    <row r="21" spans="1:3" x14ac:dyDescent="0.25">
      <c r="A21">
        <f>SUM(B3:B6)</f>
        <v>73</v>
      </c>
      <c r="B21">
        <f>SUM(C3:C6)</f>
        <v>26107</v>
      </c>
    </row>
    <row r="26" spans="1:3" x14ac:dyDescent="0.25">
      <c r="A26" s="30" t="s">
        <v>108</v>
      </c>
      <c r="B26" s="30"/>
      <c r="C26" s="30"/>
    </row>
    <row r="27" spans="1:3" x14ac:dyDescent="0.25">
      <c r="A27" t="s">
        <v>81</v>
      </c>
      <c r="B27" t="s">
        <v>88</v>
      </c>
      <c r="C27" t="s">
        <v>83</v>
      </c>
    </row>
    <row r="28" spans="1:3" x14ac:dyDescent="0.25">
      <c r="A28" t="s">
        <v>79</v>
      </c>
      <c r="B28">
        <v>1</v>
      </c>
    </row>
    <row r="29" spans="1:3" x14ac:dyDescent="0.25">
      <c r="A29" t="s">
        <v>78</v>
      </c>
      <c r="B29">
        <v>9.3000000000000007</v>
      </c>
    </row>
    <row r="30" spans="1:3" x14ac:dyDescent="0.25">
      <c r="A30" t="s">
        <v>77</v>
      </c>
      <c r="B30">
        <v>44.9</v>
      </c>
    </row>
    <row r="31" spans="1:3" x14ac:dyDescent="0.25">
      <c r="A31" t="s">
        <v>76</v>
      </c>
      <c r="B31">
        <v>6</v>
      </c>
    </row>
    <row r="32" spans="1:3" x14ac:dyDescent="0.25">
      <c r="A32" t="s">
        <v>75</v>
      </c>
      <c r="B32">
        <v>26.8</v>
      </c>
    </row>
    <row r="33" spans="1:2" x14ac:dyDescent="0.25">
      <c r="A33" t="s">
        <v>82</v>
      </c>
      <c r="B33">
        <v>12.3</v>
      </c>
    </row>
    <row r="34" spans="1:2" x14ac:dyDescent="0.25">
      <c r="A34" t="s">
        <v>74</v>
      </c>
      <c r="B34">
        <v>0.7</v>
      </c>
    </row>
    <row r="35" spans="1:2" x14ac:dyDescent="0.25">
      <c r="A35" t="s">
        <v>80</v>
      </c>
      <c r="B35">
        <v>3.3</v>
      </c>
    </row>
    <row r="43" spans="1:2" x14ac:dyDescent="0.25">
      <c r="A43" t="s">
        <v>84</v>
      </c>
      <c r="B43" t="s">
        <v>86</v>
      </c>
    </row>
    <row r="44" spans="1:2" x14ac:dyDescent="0.25">
      <c r="A44">
        <f>SUM(B32:B35)</f>
        <v>43.1</v>
      </c>
      <c r="B44" t="s">
        <v>11</v>
      </c>
    </row>
    <row r="45" spans="1:2" x14ac:dyDescent="0.25">
      <c r="A45" t="s">
        <v>85</v>
      </c>
      <c r="B45" t="s">
        <v>87</v>
      </c>
    </row>
    <row r="46" spans="1:2" x14ac:dyDescent="0.25">
      <c r="A46">
        <f>SUM(B28:B31)</f>
        <v>61.2</v>
      </c>
      <c r="B46" t="s">
        <v>11</v>
      </c>
    </row>
  </sheetData>
  <mergeCells count="2">
    <mergeCell ref="A26:C26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ele-3a,4,7</vt:lpstr>
      <vt:lpstr>ele-balti</vt:lpstr>
      <vt:lpstr>Recreational ele-nsea-chnl-celt</vt:lpstr>
      <vt:lpstr>Recreational ele-balt</vt:lpstr>
      <vt:lpstr>Commercial ele-nsea-chnl-celt</vt:lpstr>
      <vt:lpstr>Commercial ele-balt</vt:lpstr>
      <vt:lpstr>Discard mortality</vt:lpstr>
      <vt:lpstr>Discard rate</vt:lpstr>
      <vt:lpstr>Denmark landings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2018-06-22T06:58:22Z</dcterms:modified>
</cp:coreProperties>
</file>