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R00\OneDrive - CEFAS\MRF impact submission docs\Resubmitted\Final manuscript\Supplementary\"/>
    </mc:Choice>
  </mc:AlternateContent>
  <xr:revisionPtr revIDLastSave="78" documentId="11_EAC9DC67A430ADBE32536A02A3727B36A3E13D53" xr6:coauthVersionLast="34" xr6:coauthVersionMax="34" xr10:uidLastSave="{70ED31E8-7DE1-4B2C-A745-D38887137E1B}"/>
  <bookViews>
    <workbookView xWindow="0" yWindow="0" windowWidth="28800" windowHeight="12060" xr2:uid="{00000000-000D-0000-FFFF-FFFF00000000}"/>
  </bookViews>
  <sheets>
    <sheet name="sal-22-31" sheetId="2" r:id="rId1"/>
    <sheet name="Recreational sal-22-31" sheetId="6" r:id="rId2"/>
    <sheet name="Commercial sal-22-31" sheetId="9" r:id="rId3"/>
    <sheet name="Discard mortality" sheetId="12" r:id="rId4"/>
    <sheet name="Discard rate" sheetId="13" r:id="rId5"/>
  </sheets>
  <calcPr calcId="17901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3" l="1"/>
  <c r="B8" i="2"/>
  <c r="B5" i="2" l="1"/>
  <c r="C5" i="2" l="1"/>
  <c r="B7" i="2" l="1"/>
  <c r="F50" i="2"/>
  <c r="G50" i="2" s="1"/>
  <c r="A11" i="2"/>
  <c r="G11" i="2" s="1"/>
  <c r="A14" i="2"/>
  <c r="E14" i="2" s="1"/>
  <c r="B6" i="2"/>
  <c r="A12" i="2"/>
  <c r="A24" i="2" s="1"/>
  <c r="A57" i="2" s="1"/>
  <c r="A13" i="2"/>
  <c r="H13" i="2" s="1"/>
  <c r="A15" i="2"/>
  <c r="E15" i="2" s="1"/>
  <c r="A16" i="2"/>
  <c r="E16" i="2" s="1"/>
  <c r="H28" i="2" s="1"/>
  <c r="A17" i="2"/>
  <c r="H17" i="2" s="1"/>
  <c r="A18" i="2"/>
  <c r="A30" i="2" s="1"/>
  <c r="D11" i="2"/>
  <c r="C23" i="2" s="1"/>
  <c r="E17" i="2"/>
  <c r="H29" i="2" s="1"/>
  <c r="C7" i="2"/>
  <c r="C6" i="2"/>
  <c r="F12" i="2"/>
  <c r="D17" i="2"/>
  <c r="C17" i="2"/>
  <c r="B29" i="2" s="1"/>
  <c r="B17" i="2"/>
  <c r="B12" i="2"/>
  <c r="F16" i="2"/>
  <c r="H12" i="2"/>
  <c r="C18" i="2"/>
  <c r="B30" i="2" s="1"/>
  <c r="B63" i="2" s="1"/>
  <c r="D18" i="2"/>
  <c r="F17" i="2"/>
  <c r="F13" i="2"/>
  <c r="A29" i="2"/>
  <c r="A62" i="2" s="1"/>
  <c r="C12" i="2"/>
  <c r="B24" i="2" s="1"/>
  <c r="B57" i="2" s="1"/>
  <c r="D12" i="2"/>
  <c r="G12" i="2"/>
  <c r="I24" i="2" s="1"/>
  <c r="E12" i="2"/>
  <c r="H24" i="2" s="1"/>
  <c r="F11" i="2" l="1"/>
  <c r="E13" i="2"/>
  <c r="A26" i="2"/>
  <c r="A45" i="2" s="1"/>
  <c r="E45" i="2" s="1"/>
  <c r="F45" i="2" s="1"/>
  <c r="G45" i="2" s="1"/>
  <c r="G13" i="2"/>
  <c r="I25" i="2" s="1"/>
  <c r="E18" i="2"/>
  <c r="D30" i="2" s="1"/>
  <c r="G15" i="2"/>
  <c r="I27" i="2" s="1"/>
  <c r="H14" i="2"/>
  <c r="H15" i="2"/>
  <c r="C13" i="2"/>
  <c r="B25" i="2" s="1"/>
  <c r="B58" i="2" s="1"/>
  <c r="A25" i="2"/>
  <c r="F18" i="2"/>
  <c r="H18" i="2"/>
  <c r="F15" i="2"/>
  <c r="G17" i="2"/>
  <c r="I29" i="2" s="1"/>
  <c r="D13" i="2"/>
  <c r="B18" i="2"/>
  <c r="C14" i="2"/>
  <c r="B26" i="2" s="1"/>
  <c r="B59" i="2" s="1"/>
  <c r="E11" i="2"/>
  <c r="H23" i="2" s="1"/>
  <c r="A48" i="2"/>
  <c r="E48" i="2" s="1"/>
  <c r="F48" i="2" s="1"/>
  <c r="G48" i="2" s="1"/>
  <c r="B16" i="2"/>
  <c r="A43" i="2"/>
  <c r="G14" i="2"/>
  <c r="F26" i="2" s="1"/>
  <c r="C45" i="2" s="1"/>
  <c r="A63" i="2"/>
  <c r="A49" i="2"/>
  <c r="I23" i="2"/>
  <c r="F23" i="2"/>
  <c r="H27" i="2"/>
  <c r="D27" i="2"/>
  <c r="D60" i="2" s="1"/>
  <c r="D26" i="2"/>
  <c r="H26" i="2"/>
  <c r="C11" i="2"/>
  <c r="B23" i="2" s="1"/>
  <c r="B56" i="2" s="1"/>
  <c r="H16" i="2"/>
  <c r="D16" i="2"/>
  <c r="A28" i="2"/>
  <c r="B11" i="2"/>
  <c r="C16" i="2"/>
  <c r="B28" i="2" s="1"/>
  <c r="B61" i="2" s="1"/>
  <c r="A23" i="2"/>
  <c r="A42" i="2" s="1"/>
  <c r="B15" i="2"/>
  <c r="C15" i="2"/>
  <c r="B27" i="2" s="1"/>
  <c r="B60" i="2" s="1"/>
  <c r="G16" i="2"/>
  <c r="I28" i="2" s="1"/>
  <c r="D15" i="2"/>
  <c r="D14" i="2"/>
  <c r="C26" i="2" s="1"/>
  <c r="G18" i="2"/>
  <c r="I30" i="2" s="1"/>
  <c r="A27" i="2"/>
  <c r="B13" i="2"/>
  <c r="B14" i="2"/>
  <c r="F14" i="2"/>
  <c r="H11" i="2"/>
  <c r="H30" i="2"/>
  <c r="D23" i="2"/>
  <c r="D28" i="2"/>
  <c r="D61" i="2" s="1"/>
  <c r="B62" i="2"/>
  <c r="D63" i="2"/>
  <c r="B49" i="2"/>
  <c r="B4" i="2"/>
  <c r="D24" i="2"/>
  <c r="J45" i="2" l="1"/>
  <c r="H25" i="2"/>
  <c r="D25" i="2"/>
  <c r="F25" i="2"/>
  <c r="F58" i="2" s="1"/>
  <c r="G58" i="2" s="1"/>
  <c r="I26" i="2"/>
  <c r="M26" i="2"/>
  <c r="F59" i="2"/>
  <c r="G59" i="2" s="1"/>
  <c r="M23" i="2"/>
  <c r="B42" i="2"/>
  <c r="B45" i="2"/>
  <c r="D45" i="2" s="1"/>
  <c r="K45" i="2" s="1"/>
  <c r="I45" i="2" s="1"/>
  <c r="F56" i="2"/>
  <c r="G56" i="2" s="1"/>
  <c r="C42" i="2"/>
  <c r="E23" i="2"/>
  <c r="E26" i="2"/>
  <c r="A58" i="2"/>
  <c r="A44" i="2"/>
  <c r="J48" i="2"/>
  <c r="D56" i="2"/>
  <c r="D29" i="2"/>
  <c r="B48" i="2" s="1"/>
  <c r="E43" i="2"/>
  <c r="F43" i="2" s="1"/>
  <c r="G43" i="2" s="1"/>
  <c r="J43" i="2"/>
  <c r="J42" i="2"/>
  <c r="E42" i="2"/>
  <c r="A61" i="2"/>
  <c r="A47" i="2"/>
  <c r="E49" i="2"/>
  <c r="F49" i="2" s="1"/>
  <c r="G49" i="2" s="1"/>
  <c r="J49" i="2"/>
  <c r="B46" i="2"/>
  <c r="B47" i="2"/>
  <c r="B2" i="2"/>
  <c r="C30" i="2" s="1"/>
  <c r="A60" i="2"/>
  <c r="A46" i="2"/>
  <c r="D59" i="2"/>
  <c r="H59" i="2" s="1"/>
  <c r="F24" i="2"/>
  <c r="F27" i="2"/>
  <c r="E27" i="2" s="1"/>
  <c r="F30" i="2"/>
  <c r="E30" i="2" s="1"/>
  <c r="F28" i="2"/>
  <c r="M28" i="2" s="1"/>
  <c r="D57" i="2"/>
  <c r="B43" i="2"/>
  <c r="C44" i="2"/>
  <c r="M25" i="2"/>
  <c r="E25" i="2"/>
  <c r="D58" i="2" l="1"/>
  <c r="H58" i="2" s="1"/>
  <c r="B44" i="2"/>
  <c r="B50" i="2" s="1"/>
  <c r="D44" i="2"/>
  <c r="A36" i="2"/>
  <c r="F29" i="2"/>
  <c r="C48" i="2" s="1"/>
  <c r="D48" i="2" s="1"/>
  <c r="H56" i="2"/>
  <c r="D62" i="2"/>
  <c r="C27" i="2"/>
  <c r="C24" i="2"/>
  <c r="C28" i="2"/>
  <c r="D42" i="2"/>
  <c r="C25" i="2"/>
  <c r="C29" i="2"/>
  <c r="J44" i="2"/>
  <c r="E44" i="2"/>
  <c r="F44" i="2" s="1"/>
  <c r="G44" i="2" s="1"/>
  <c r="F62" i="2"/>
  <c r="G62" i="2" s="1"/>
  <c r="H62" i="2" s="1"/>
  <c r="E28" i="2"/>
  <c r="F42" i="2"/>
  <c r="G42" i="2" s="1"/>
  <c r="E47" i="2"/>
  <c r="F47" i="2" s="1"/>
  <c r="G47" i="2" s="1"/>
  <c r="J47" i="2"/>
  <c r="F60" i="2"/>
  <c r="G60" i="2" s="1"/>
  <c r="H60" i="2" s="1"/>
  <c r="E46" i="2"/>
  <c r="J46" i="2"/>
  <c r="M29" i="2"/>
  <c r="M30" i="2"/>
  <c r="M27" i="2"/>
  <c r="F63" i="2"/>
  <c r="G63" i="2" s="1"/>
  <c r="H63" i="2" s="1"/>
  <c r="C49" i="2"/>
  <c r="D49" i="2" s="1"/>
  <c r="K49" i="2" s="1"/>
  <c r="I49" i="2" s="1"/>
  <c r="C46" i="2"/>
  <c r="D46" i="2" s="1"/>
  <c r="F61" i="2"/>
  <c r="G61" i="2" s="1"/>
  <c r="H61" i="2" s="1"/>
  <c r="C47" i="2"/>
  <c r="D47" i="2" s="1"/>
  <c r="H45" i="2"/>
  <c r="K48" i="2"/>
  <c r="I48" i="2" s="1"/>
  <c r="F57" i="2"/>
  <c r="G57" i="2" s="1"/>
  <c r="H57" i="2" s="1"/>
  <c r="C43" i="2"/>
  <c r="M24" i="2"/>
  <c r="E24" i="2"/>
  <c r="C36" i="2"/>
  <c r="K44" i="2" l="1"/>
  <c r="I44" i="2" s="1"/>
  <c r="B36" i="2"/>
  <c r="E29" i="2"/>
  <c r="K42" i="2"/>
  <c r="H42" i="2" s="1"/>
  <c r="K47" i="2"/>
  <c r="I47" i="2" s="1"/>
  <c r="F46" i="2"/>
  <c r="G46" i="2" s="1"/>
  <c r="K46" i="2" s="1"/>
  <c r="C50" i="2"/>
  <c r="H64" i="2"/>
  <c r="K64" i="2" s="1"/>
  <c r="H49" i="2"/>
  <c r="H48" i="2"/>
  <c r="H44" i="2"/>
  <c r="D43" i="2"/>
  <c r="I42" i="2" l="1"/>
  <c r="H47" i="2"/>
  <c r="I46" i="2"/>
  <c r="H46" i="2"/>
  <c r="K43" i="2"/>
  <c r="I43" i="2" s="1"/>
  <c r="D50" i="2"/>
  <c r="H43" i="2" l="1"/>
  <c r="K50" i="2"/>
  <c r="I50" i="2" s="1"/>
  <c r="H50" i="2" l="1"/>
</calcChain>
</file>

<file path=xl/sharedStrings.xml><?xml version="1.0" encoding="utf-8"?>
<sst xmlns="http://schemas.openxmlformats.org/spreadsheetml/2006/main" count="170" uniqueCount="77">
  <si>
    <t>Average Retained weight</t>
  </si>
  <si>
    <t>Average released Weight</t>
  </si>
  <si>
    <t>Average Release Probability (#)</t>
  </si>
  <si>
    <t>Recreational Discard Mortality</t>
  </si>
  <si>
    <t>Commercial Discard Mortality</t>
  </si>
  <si>
    <t>Avg</t>
  </si>
  <si>
    <t>None</t>
  </si>
  <si>
    <t>Prop</t>
  </si>
  <si>
    <t>Retained weight</t>
  </si>
  <si>
    <t>Released weight</t>
  </si>
  <si>
    <t>Discard mortality</t>
  </si>
  <si>
    <t>Summary with post release mortalities</t>
  </si>
  <si>
    <t>Total</t>
  </si>
  <si>
    <t>Parameters</t>
  </si>
  <si>
    <t>Value</t>
  </si>
  <si>
    <t>Source</t>
  </si>
  <si>
    <t>NA</t>
  </si>
  <si>
    <t>Init data</t>
  </si>
  <si>
    <t>Country</t>
  </si>
  <si>
    <t>Recreational data year</t>
  </si>
  <si>
    <t>Angler Numbers</t>
  </si>
  <si>
    <t>Retained Number</t>
  </si>
  <si>
    <t>Released Number</t>
  </si>
  <si>
    <t>Source/notes</t>
  </si>
  <si>
    <t>Reconstruction</t>
  </si>
  <si>
    <t>Calculations</t>
  </si>
  <si>
    <t>Angler numbers</t>
  </si>
  <si>
    <t>Notes</t>
  </si>
  <si>
    <t>Reconstructed retained?</t>
  </si>
  <si>
    <t>Reconstructed released?</t>
  </si>
  <si>
    <t>Retained Wt</t>
  </si>
  <si>
    <t>Retained # calculation</t>
  </si>
  <si>
    <t>Released # calculation</t>
  </si>
  <si>
    <t>Bias</t>
  </si>
  <si>
    <t>DE</t>
  </si>
  <si>
    <r>
      <t>% of total</t>
    </r>
    <r>
      <rPr>
        <sz val="11"/>
        <rFont val="Calibri"/>
        <family val="2"/>
        <scheme val="minor"/>
      </rPr>
      <t xml:space="preserve"> numbers reconstructed</t>
    </r>
  </si>
  <si>
    <t>Retained number</t>
  </si>
  <si>
    <t>Released number</t>
  </si>
  <si>
    <t>Total number</t>
  </si>
  <si>
    <t>Recreational</t>
  </si>
  <si>
    <t>Commercial</t>
  </si>
  <si>
    <t>% of catch</t>
  </si>
  <si>
    <t>Kept</t>
  </si>
  <si>
    <t>Released mortality</t>
  </si>
  <si>
    <t>Removal</t>
  </si>
  <si>
    <t>Landings</t>
  </si>
  <si>
    <t>Total removal</t>
  </si>
  <si>
    <t>2016 landings</t>
  </si>
  <si>
    <t>Year</t>
  </si>
  <si>
    <t>Anglers</t>
  </si>
  <si>
    <t>Kept Wt.</t>
  </si>
  <si>
    <t>Kept #</t>
  </si>
  <si>
    <t>Released Wt.</t>
  </si>
  <si>
    <t>Released #</t>
  </si>
  <si>
    <t>Denmark</t>
  </si>
  <si>
    <t>Estonia</t>
  </si>
  <si>
    <t>Finland</t>
  </si>
  <si>
    <t>Germany</t>
  </si>
  <si>
    <t>Latvia</t>
  </si>
  <si>
    <t>Lithuania</t>
  </si>
  <si>
    <t>Poland</t>
  </si>
  <si>
    <t>Sweden</t>
  </si>
  <si>
    <t>sal-bal</t>
  </si>
  <si>
    <t>Leave-one-out (* = countries used in leave-one-out procedure)</t>
  </si>
  <si>
    <t>Dead releases</t>
  </si>
  <si>
    <t>Upper confidence limit</t>
  </si>
  <si>
    <t>Lower confidence limit</t>
  </si>
  <si>
    <t>Result</t>
  </si>
  <si>
    <t>Denmark*</t>
  </si>
  <si>
    <t>Germany*</t>
  </si>
  <si>
    <t>Total (LOO)</t>
  </si>
  <si>
    <t>Precautionary value due to lack of data</t>
  </si>
  <si>
    <t>WGRFS (2017); WGBAST (2017)</t>
  </si>
  <si>
    <t>WGBAST (2017)</t>
  </si>
  <si>
    <t>Total dead commercial discards</t>
  </si>
  <si>
    <t>Commercial dead discard to landings ratio</t>
  </si>
  <si>
    <t>WGBAST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</si>
</sst>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0"/>
  </numFmts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2" fontId="0" fillId="0" borderId="0" xfId="0" applyNumberFormat="1"/>
    <xf numFmtId="0" fontId="0" fillId="0" borderId="0" xfId="0" applyFont="1"/>
    <xf numFmtId="0" fontId="0" fillId="0" borderId="0" xfId="0" applyFont="1" applyAlignment="1">
      <alignment vertical="center"/>
    </xf>
    <xf numFmtId="3" fontId="0" fillId="0" borderId="0" xfId="0" applyNumberFormat="1" applyAlignment="1">
      <alignment horizontal="center"/>
    </xf>
    <xf numFmtId="0" fontId="0" fillId="0" borderId="0" xfId="0" applyNumberFormat="1"/>
    <xf numFmtId="3" fontId="0" fillId="0" borderId="0" xfId="0" applyNumberFormat="1"/>
    <xf numFmtId="0" fontId="0" fillId="0" borderId="0" xfId="0" applyAlignment="1">
      <alignment horizontal="left" vertical="top"/>
    </xf>
    <xf numFmtId="0" fontId="3" fillId="2" borderId="0" xfId="1" applyFont="1"/>
    <xf numFmtId="10" fontId="3" fillId="2" borderId="0" xfId="1" applyNumberFormat="1" applyFont="1"/>
    <xf numFmtId="165" fontId="0" fillId="0" borderId="0" xfId="0" applyNumberFormat="1"/>
    <xf numFmtId="2" fontId="3" fillId="2" borderId="0" xfId="1" applyNumberFormat="1" applyFont="1"/>
    <xf numFmtId="0" fontId="4" fillId="0" borderId="0" xfId="0" applyFont="1"/>
    <xf numFmtId="164" fontId="4" fillId="0" borderId="0" xfId="0" applyNumberFormat="1" applyFont="1" applyAlignment="1">
      <alignment horizontal="center"/>
    </xf>
    <xf numFmtId="4" fontId="4" fillId="0" borderId="0" xfId="0" applyNumberFormat="1" applyFont="1"/>
    <xf numFmtId="10" fontId="4" fillId="0" borderId="0" xfId="0" applyNumberFormat="1" applyFont="1"/>
    <xf numFmtId="2" fontId="4" fillId="0" borderId="0" xfId="0" applyNumberFormat="1" applyFont="1"/>
    <xf numFmtId="0" fontId="4" fillId="0" borderId="0" xfId="0" applyNumberFormat="1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/>
    <xf numFmtId="0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 applyAlignment="1">
      <alignment horizontal="left" vertical="top"/>
    </xf>
    <xf numFmtId="0" fontId="5" fillId="0" borderId="0" xfId="0" applyFont="1"/>
    <xf numFmtId="2" fontId="0" fillId="0" borderId="0" xfId="0" applyNumberFormat="1" applyFont="1"/>
    <xf numFmtId="0" fontId="4" fillId="0" borderId="0" xfId="2" applyFont="1" applyFill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0" xfId="0" applyFill="1" applyAlignment="1">
      <alignment horizontal="center"/>
    </xf>
  </cellXfs>
  <cellStyles count="3">
    <cellStyle name="Bad" xfId="2" builtinId="27"/>
    <cellStyle name="Good" xfId="1" builtinId="26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N65"/>
  <sheetViews>
    <sheetView tabSelected="1" topLeftCell="A21" zoomScale="70" zoomScaleNormal="70" workbookViewId="0">
      <selection activeCell="E36" sqref="E36"/>
    </sheetView>
  </sheetViews>
  <sheetFormatPr defaultColWidth="9.140625" defaultRowHeight="15" x14ac:dyDescent="0.25"/>
  <cols>
    <col min="1" max="1" width="36.140625" style="12" customWidth="1"/>
    <col min="2" max="2" width="23" style="12" bestFit="1" customWidth="1"/>
    <col min="3" max="3" width="38.28515625" style="12" bestFit="1" customWidth="1"/>
    <col min="4" max="5" width="16.85546875" style="12" bestFit="1" customWidth="1"/>
    <col min="6" max="6" width="17" style="12" bestFit="1" customWidth="1"/>
    <col min="7" max="7" width="18.28515625" style="12" bestFit="1" customWidth="1"/>
    <col min="8" max="8" width="24.5703125" style="12" customWidth="1"/>
    <col min="9" max="9" width="23.28515625" style="12" bestFit="1" customWidth="1"/>
    <col min="10" max="10" width="21.140625" style="12" bestFit="1" customWidth="1"/>
    <col min="11" max="11" width="20.7109375" style="12" bestFit="1" customWidth="1"/>
    <col min="12" max="12" width="20.85546875" style="12" bestFit="1" customWidth="1"/>
    <col min="13" max="16384" width="9.140625" style="12"/>
  </cols>
  <sheetData>
    <row r="1" spans="1:8" x14ac:dyDescent="0.25">
      <c r="A1" s="12" t="s">
        <v>13</v>
      </c>
      <c r="B1" s="12" t="s">
        <v>14</v>
      </c>
      <c r="C1" s="12" t="s">
        <v>15</v>
      </c>
    </row>
    <row r="2" spans="1:8" x14ac:dyDescent="0.25">
      <c r="A2" s="12" t="s">
        <v>0</v>
      </c>
      <c r="B2" s="13">
        <f>(D11+D14)/(E11+E14)*1000</f>
        <v>5.7904958677685956</v>
      </c>
    </row>
    <row r="3" spans="1:8" x14ac:dyDescent="0.25">
      <c r="A3" s="12" t="s">
        <v>1</v>
      </c>
      <c r="B3" s="13" t="s">
        <v>16</v>
      </c>
    </row>
    <row r="4" spans="1:8" x14ac:dyDescent="0.25">
      <c r="A4" s="12" t="s">
        <v>2</v>
      </c>
      <c r="B4" s="13">
        <f>(G11+G14)/(E11+E14+G11+G14)</f>
        <v>0.30202374657501324</v>
      </c>
    </row>
    <row r="5" spans="1:8" x14ac:dyDescent="0.25">
      <c r="A5" s="12" t="s">
        <v>75</v>
      </c>
      <c r="B5" s="13">
        <f>'Discard rate'!A2</f>
        <v>0.12729441481897277</v>
      </c>
      <c r="C5" s="13" t="str">
        <f>'Discard rate'!B2</f>
        <v>WGBAST (2017)</v>
      </c>
    </row>
    <row r="6" spans="1:8" x14ac:dyDescent="0.25">
      <c r="A6" s="12" t="s">
        <v>3</v>
      </c>
      <c r="B6" s="13">
        <f>'Discard mortality'!A2</f>
        <v>0.25</v>
      </c>
      <c r="C6" s="13" t="str">
        <f>'Discard mortality'!B2</f>
        <v>WGBAST (2017)</v>
      </c>
    </row>
    <row r="7" spans="1:8" x14ac:dyDescent="0.25">
      <c r="A7" s="12" t="s">
        <v>4</v>
      </c>
      <c r="B7" s="13">
        <f>'Discard mortality'!C2</f>
        <v>1</v>
      </c>
      <c r="C7" s="13" t="str">
        <f>'Discard mortality'!D2</f>
        <v>Precautionary value due to lack of data</v>
      </c>
    </row>
    <row r="8" spans="1:8" x14ac:dyDescent="0.25">
      <c r="A8" s="12" t="s">
        <v>74</v>
      </c>
      <c r="B8" s="12">
        <f>9071</f>
        <v>9071</v>
      </c>
      <c r="C8" s="12" t="s">
        <v>76</v>
      </c>
    </row>
    <row r="9" spans="1:8" x14ac:dyDescent="0.25">
      <c r="A9" s="31" t="s">
        <v>17</v>
      </c>
      <c r="B9" s="31"/>
      <c r="C9" s="31"/>
      <c r="D9" s="31"/>
      <c r="E9" s="31"/>
      <c r="F9" s="31"/>
      <c r="G9" s="31"/>
      <c r="H9" s="31"/>
    </row>
    <row r="10" spans="1:8" x14ac:dyDescent="0.25">
      <c r="A10" s="12" t="s">
        <v>18</v>
      </c>
      <c r="B10" s="12" t="s">
        <v>19</v>
      </c>
      <c r="C10" s="12" t="s">
        <v>20</v>
      </c>
      <c r="D10" s="12" t="s">
        <v>8</v>
      </c>
      <c r="E10" s="12" t="s">
        <v>21</v>
      </c>
      <c r="F10" s="12" t="s">
        <v>9</v>
      </c>
      <c r="G10" s="12" t="s">
        <v>22</v>
      </c>
      <c r="H10" s="12" t="s">
        <v>23</v>
      </c>
    </row>
    <row r="11" spans="1:8" x14ac:dyDescent="0.25">
      <c r="A11" s="14" t="str">
        <f>'Recreational sal-22-31'!A2</f>
        <v>Denmark</v>
      </c>
      <c r="B11" s="12">
        <f>VLOOKUP($A11,'Recreational sal-22-31'!$A$1:$H$9,2,FALSE)</f>
        <v>2015</v>
      </c>
      <c r="C11" s="12">
        <f>VLOOKUP($A11,'Recreational sal-22-31'!$A$1:$H$9,3,FALSE)</f>
        <v>386000</v>
      </c>
      <c r="D11" s="12">
        <f>VLOOKUP($A11,'Recreational sal-22-31'!$A$1:$H$9,4,FALSE)</f>
        <v>52.81</v>
      </c>
      <c r="E11" s="12">
        <f>VLOOKUP($A11,'Recreational sal-22-31'!$A$1:$H$9,5,FALSE)</f>
        <v>10562</v>
      </c>
      <c r="F11" s="12" t="str">
        <f>VLOOKUP($A11,'Recreational sal-22-31'!$A$1:$H$9,6,FALSE)</f>
        <v>NA</v>
      </c>
      <c r="G11" s="12">
        <f>VLOOKUP($A11,'Recreational sal-22-31'!$A$1:$H$9,7,FALSE)</f>
        <v>5963</v>
      </c>
      <c r="H11" s="12" t="str">
        <f>VLOOKUP($A11,'Recreational sal-22-31'!$A$1:$H$9,8,FALSE)</f>
        <v>WGRFS (2017); WGBAST (2017)</v>
      </c>
    </row>
    <row r="12" spans="1:8" x14ac:dyDescent="0.25">
      <c r="A12" s="14" t="str">
        <f>'Recreational sal-22-31'!A3</f>
        <v>Estonia</v>
      </c>
      <c r="B12" s="12">
        <f>VLOOKUP(A12,'Recreational sal-22-31'!$A$1:$H$9,2,FALSE)</f>
        <v>2016</v>
      </c>
      <c r="C12" s="12">
        <f>VLOOKUP($A12,'Recreational sal-22-31'!$A$1:$H$9,3,FALSE)</f>
        <v>20000</v>
      </c>
      <c r="D12" s="12" t="str">
        <f>VLOOKUP($A12,'Recreational sal-22-31'!$A$1:$H$9,4,FALSE)</f>
        <v>NA</v>
      </c>
      <c r="E12" s="12">
        <f>VLOOKUP($A12,'Recreational sal-22-31'!$A$1:$H$9,5,FALSE)</f>
        <v>432</v>
      </c>
      <c r="F12" s="12" t="str">
        <f>VLOOKUP($A12,'Recreational sal-22-31'!$A$1:$H$9,6,FALSE)</f>
        <v>NA</v>
      </c>
      <c r="G12" s="12" t="str">
        <f>VLOOKUP($A12,'Recreational sal-22-31'!$A$1:$H$9,7,FALSE)</f>
        <v>NA</v>
      </c>
      <c r="H12" s="12" t="str">
        <f>VLOOKUP($A12,'Recreational sal-22-31'!$A$1:$H$9,8,FALSE)</f>
        <v>WGBAST (2017)</v>
      </c>
    </row>
    <row r="13" spans="1:8" x14ac:dyDescent="0.25">
      <c r="A13" s="14" t="str">
        <f>'Recreational sal-22-31'!A4</f>
        <v>Finland</v>
      </c>
      <c r="B13" s="12">
        <f>VLOOKUP(A13,'Recreational sal-22-31'!$A$1:$H$9,2,FALSE)</f>
        <v>2016</v>
      </c>
      <c r="C13" s="12">
        <f>VLOOKUP($A13,'Recreational sal-22-31'!$A$1:$H$9,3,FALSE)</f>
        <v>300000</v>
      </c>
      <c r="D13" s="12" t="str">
        <f>VLOOKUP($A13,'Recreational sal-22-31'!$A$1:$H$9,4,FALSE)</f>
        <v>NA</v>
      </c>
      <c r="E13" s="12">
        <f>VLOOKUP($A13,'Recreational sal-22-31'!$A$1:$H$9,5,FALSE)</f>
        <v>8550</v>
      </c>
      <c r="F13" s="12" t="str">
        <f>VLOOKUP($A13,'Recreational sal-22-31'!$A$1:$H$9,6,FALSE)</f>
        <v>NA</v>
      </c>
      <c r="G13" s="12" t="str">
        <f>VLOOKUP($A13,'Recreational sal-22-31'!$A$1:$H$9,7,FALSE)</f>
        <v>NA</v>
      </c>
      <c r="H13" s="12" t="str">
        <f>VLOOKUP($A13,'Recreational sal-22-31'!$A$1:$H$9,8,FALSE)</f>
        <v>WGBAST (2017)</v>
      </c>
    </row>
    <row r="14" spans="1:8" x14ac:dyDescent="0.25">
      <c r="A14" s="14" t="str">
        <f>'Recreational sal-22-31'!A5</f>
        <v>Germany</v>
      </c>
      <c r="B14" s="12">
        <f>VLOOKUP(A14,'Recreational sal-22-31'!$A$1:$H$9,2,FALSE)</f>
        <v>2016</v>
      </c>
      <c r="C14" s="12">
        <f>VLOOKUP($A14,'Recreational sal-22-31'!$A$1:$H$9,3,FALSE)</f>
        <v>163000</v>
      </c>
      <c r="D14" s="12">
        <f>VLOOKUP($A14,'Recreational sal-22-31'!$A$1:$H$9,4,FALSE)</f>
        <v>31.268000000000001</v>
      </c>
      <c r="E14" s="12">
        <f>VLOOKUP($A14,'Recreational sal-22-31'!$A$1:$H$9,5,FALSE)</f>
        <v>3958</v>
      </c>
      <c r="F14" s="12" t="str">
        <f>VLOOKUP($A14,'Recreational sal-22-31'!$A$1:$H$9,6,FALSE)</f>
        <v>NA</v>
      </c>
      <c r="G14" s="12">
        <f>VLOOKUP($A14,'Recreational sal-22-31'!$A$1:$H$9,7,FALSE)</f>
        <v>320</v>
      </c>
      <c r="H14" s="12" t="str">
        <f>VLOOKUP($A14,'Recreational sal-22-31'!$A$1:$H$9,8,FALSE)</f>
        <v>WGBAST (2017)</v>
      </c>
    </row>
    <row r="15" spans="1:8" x14ac:dyDescent="0.25">
      <c r="A15" s="14" t="str">
        <f>'Recreational sal-22-31'!A6</f>
        <v>Latvia</v>
      </c>
      <c r="B15" s="12">
        <f>VLOOKUP(A15,'Recreational sal-22-31'!$A$1:$H$9,2,FALSE)</f>
        <v>2016</v>
      </c>
      <c r="C15" s="12">
        <f>VLOOKUP($A15,'Recreational sal-22-31'!$A$1:$H$9,3,FALSE)</f>
        <v>41000</v>
      </c>
      <c r="D15" s="12" t="str">
        <f>VLOOKUP($A15,'Recreational sal-22-31'!$A$1:$H$9,4,FALSE)</f>
        <v>NA</v>
      </c>
      <c r="E15" s="12">
        <f>VLOOKUP($A15,'Recreational sal-22-31'!$A$1:$H$9,5,FALSE)</f>
        <v>976</v>
      </c>
      <c r="F15" s="12" t="str">
        <f>VLOOKUP($A15,'Recreational sal-22-31'!$A$1:$H$9,6,FALSE)</f>
        <v>NA</v>
      </c>
      <c r="G15" s="12" t="str">
        <f>VLOOKUP($A15,'Recreational sal-22-31'!$A$1:$H$9,7,FALSE)</f>
        <v>NA</v>
      </c>
      <c r="H15" s="12" t="str">
        <f>VLOOKUP($A15,'Recreational sal-22-31'!$A$1:$H$9,8,FALSE)</f>
        <v>WGBAST (2017)</v>
      </c>
    </row>
    <row r="16" spans="1:8" x14ac:dyDescent="0.25">
      <c r="A16" s="14" t="str">
        <f>'Recreational sal-22-31'!A7</f>
        <v>Lithuania</v>
      </c>
      <c r="B16" s="12">
        <f>VLOOKUP(A16,'Recreational sal-22-31'!$A$1:$H$9,2,FALSE)</f>
        <v>2016</v>
      </c>
      <c r="C16" s="12">
        <f>VLOOKUP($A16,'Recreational sal-22-31'!$A$1:$H$9,3,FALSE)</f>
        <v>60000</v>
      </c>
      <c r="D16" s="12" t="str">
        <f>VLOOKUP($A16,'Recreational sal-22-31'!$A$1:$H$9,4,FALSE)</f>
        <v>NA</v>
      </c>
      <c r="E16" s="12">
        <f>VLOOKUP($A16,'Recreational sal-22-31'!$A$1:$H$9,5,FALSE)</f>
        <v>1510</v>
      </c>
      <c r="F16" s="12" t="str">
        <f>VLOOKUP($A16,'Recreational sal-22-31'!$A$1:$H$9,6,FALSE)</f>
        <v>NA</v>
      </c>
      <c r="G16" s="12" t="str">
        <f>VLOOKUP($A16,'Recreational sal-22-31'!$A$1:$H$9,7,FALSE)</f>
        <v>NA</v>
      </c>
      <c r="H16" s="12" t="str">
        <f>VLOOKUP($A16,'Recreational sal-22-31'!$A$1:$H$9,8,FALSE)</f>
        <v>WGBAST (2017)</v>
      </c>
    </row>
    <row r="17" spans="1:14" x14ac:dyDescent="0.25">
      <c r="A17" s="14" t="str">
        <f>'Recreational sal-22-31'!A8</f>
        <v>Poland</v>
      </c>
      <c r="B17" s="12">
        <f>VLOOKUP(A17,'Recreational sal-22-31'!$A$1:$H$9,2,FALSE)</f>
        <v>2016</v>
      </c>
      <c r="C17" s="12">
        <f>VLOOKUP($A17,'Recreational sal-22-31'!$A$1:$H$9,3,FALSE)</f>
        <v>82000</v>
      </c>
      <c r="D17" s="12" t="str">
        <f>VLOOKUP($A17,'Recreational sal-22-31'!$A$1:$H$9,4,FALSE)</f>
        <v>NA</v>
      </c>
      <c r="E17" s="12" t="str">
        <f>VLOOKUP($A17,'Recreational sal-22-31'!$A$1:$H$9,5,FALSE)</f>
        <v>NA</v>
      </c>
      <c r="F17" s="12" t="str">
        <f>VLOOKUP($A17,'Recreational sal-22-31'!$A$1:$H$9,6,FALSE)</f>
        <v>NA</v>
      </c>
      <c r="G17" s="12" t="str">
        <f>VLOOKUP($A17,'Recreational sal-22-31'!$A$1:$H$9,7,FALSE)</f>
        <v>NA</v>
      </c>
      <c r="H17" s="12" t="str">
        <f>VLOOKUP($A17,'Recreational sal-22-31'!$A$1:$H$9,8,FALSE)</f>
        <v>WGBAST (2017)</v>
      </c>
    </row>
    <row r="18" spans="1:14" x14ac:dyDescent="0.25">
      <c r="A18" s="14" t="str">
        <f>'Recreational sal-22-31'!A9</f>
        <v>Sweden</v>
      </c>
      <c r="B18" s="12">
        <f>VLOOKUP(A18,'Recreational sal-22-31'!$A$1:$H$9,2,FALSE)</f>
        <v>2016</v>
      </c>
      <c r="C18" s="12">
        <f>VLOOKUP($A18,'Recreational sal-22-31'!$A$1:$H$9,3,FALSE)</f>
        <v>565634</v>
      </c>
      <c r="D18" s="12" t="str">
        <f>VLOOKUP($A18,'Recreational sal-22-31'!$A$1:$H$9,4,FALSE)</f>
        <v>NA</v>
      </c>
      <c r="E18" s="12">
        <f>VLOOKUP($A18,'Recreational sal-22-31'!$A$1:$H$9,5,FALSE)</f>
        <v>1603</v>
      </c>
      <c r="F18" s="12" t="str">
        <f>VLOOKUP($A18,'Recreational sal-22-31'!$A$1:$H$9,6,FALSE)</f>
        <v>NA</v>
      </c>
      <c r="G18" s="12" t="str">
        <f>VLOOKUP($A18,'Recreational sal-22-31'!$A$1:$H$9,7,FALSE)</f>
        <v>NA</v>
      </c>
      <c r="H18" s="12" t="str">
        <f>VLOOKUP($A18,'Recreational sal-22-31'!$A$1:$H$9,8,FALSE)</f>
        <v>WGBAST (2017)</v>
      </c>
    </row>
    <row r="21" spans="1:14" x14ac:dyDescent="0.25">
      <c r="A21" s="31" t="s">
        <v>24</v>
      </c>
      <c r="B21" s="31"/>
      <c r="C21" s="31"/>
      <c r="D21" s="31"/>
      <c r="E21" s="31"/>
      <c r="F21" s="31"/>
      <c r="G21" s="31"/>
      <c r="H21" s="31"/>
      <c r="I21" s="31"/>
      <c r="J21" s="31" t="s">
        <v>25</v>
      </c>
      <c r="K21" s="31"/>
      <c r="L21" s="31"/>
    </row>
    <row r="22" spans="1:14" x14ac:dyDescent="0.25">
      <c r="A22" s="12" t="s">
        <v>18</v>
      </c>
      <c r="B22" s="12" t="s">
        <v>26</v>
      </c>
      <c r="C22" s="12" t="s">
        <v>8</v>
      </c>
      <c r="D22" s="12" t="s">
        <v>21</v>
      </c>
      <c r="E22" s="12" t="s">
        <v>9</v>
      </c>
      <c r="F22" s="12" t="s">
        <v>22</v>
      </c>
      <c r="G22" s="12" t="s">
        <v>27</v>
      </c>
      <c r="H22" s="12" t="s">
        <v>28</v>
      </c>
      <c r="I22" s="12" t="s">
        <v>29</v>
      </c>
      <c r="J22" s="12" t="s">
        <v>30</v>
      </c>
      <c r="K22" s="12" t="s">
        <v>31</v>
      </c>
      <c r="L22" s="12" t="s">
        <v>32</v>
      </c>
      <c r="N22" s="12" t="s">
        <v>33</v>
      </c>
    </row>
    <row r="23" spans="1:14" x14ac:dyDescent="0.25">
      <c r="A23" s="12" t="str">
        <f>A11</f>
        <v>Denmark</v>
      </c>
      <c r="B23" s="12">
        <f>C11</f>
        <v>386000</v>
      </c>
      <c r="C23" s="12">
        <f>IF(J23 = "Avg", D23*($B$2/1000), IF(J23 = "None", D11, "Help"))</f>
        <v>52.81</v>
      </c>
      <c r="D23" s="12">
        <f>IF(K23 = "DE", B23/$B$26*$D$26, IF(K23 = "None", E11, "Help"))</f>
        <v>10562</v>
      </c>
      <c r="E23" s="12" t="e">
        <f>ROUND(IF(F11 = "NA", F23*($B$3/1000), F11),2)</f>
        <v>#VALUE!</v>
      </c>
      <c r="F23" s="12">
        <f>IF(L23 = "DE", B23/$B$26*$F$26, IF(L23 = "DK", B23/$B$23*$F$23, IF(L23 = "None", G11, IF(L23 = "Prop", D23*$B$4, "Help"))))</f>
        <v>5963</v>
      </c>
      <c r="H23" s="12" t="str">
        <f>IF(E11 = "NA", "Y","N")</f>
        <v>N</v>
      </c>
      <c r="I23" s="12" t="str">
        <f>IF(G11 = "NA", "Y","N")</f>
        <v>N</v>
      </c>
      <c r="J23" s="12" t="s">
        <v>6</v>
      </c>
      <c r="K23" s="12" t="s">
        <v>6</v>
      </c>
      <c r="L23" s="12" t="s">
        <v>6</v>
      </c>
      <c r="M23" s="12">
        <f>ROUND(F23,0)</f>
        <v>5963</v>
      </c>
      <c r="N23" s="12">
        <v>0</v>
      </c>
    </row>
    <row r="24" spans="1:14" x14ac:dyDescent="0.25">
      <c r="A24" s="12" t="str">
        <f t="shared" ref="A24:A29" si="0">A12</f>
        <v>Estonia</v>
      </c>
      <c r="B24" s="12">
        <f t="shared" ref="B24:B30" si="1">C12</f>
        <v>20000</v>
      </c>
      <c r="C24" s="12">
        <f t="shared" ref="C24:C30" si="2">IF(J24 = "Avg", D24*($B$2/1000), IF(J24 = "None", D12, "Help"))</f>
        <v>2.5014942148760331</v>
      </c>
      <c r="D24" s="12">
        <f t="shared" ref="D24:D28" si="3">IF(K24 = "DE", B24/$B$26*$D$26, IF(K24 = "None", E12, "Help"))</f>
        <v>432</v>
      </c>
      <c r="E24" s="12" t="e">
        <f t="shared" ref="E24:E30" si="4">ROUND(IF(F12 = "NA", F24*($B$3/1000), F12),2)</f>
        <v>#VALUE!</v>
      </c>
      <c r="F24" s="12">
        <f>IF(L24 = "DE", B24/$B$26*$F$26, IF(L24 = "DK", B24/$B$23*$F$23, IF(L24 = "None", G12, IF(L24 = "Prop", D24*$B$4, "Help"))))</f>
        <v>130.47425852040573</v>
      </c>
      <c r="H24" s="12" t="str">
        <f t="shared" ref="H24:H30" si="5">IF(E12 = "NA", "Y","N")</f>
        <v>N</v>
      </c>
      <c r="I24" s="12" t="str">
        <f t="shared" ref="I24:I30" si="6">IF(G12 = "NA", "Y","N")</f>
        <v>Y</v>
      </c>
      <c r="J24" s="12" t="s">
        <v>5</v>
      </c>
      <c r="K24" s="12" t="s">
        <v>6</v>
      </c>
      <c r="L24" s="12" t="s">
        <v>7</v>
      </c>
      <c r="M24" s="12">
        <f t="shared" ref="M24:M30" si="7">ROUND(F24,0)</f>
        <v>130</v>
      </c>
      <c r="N24" s="12">
        <v>0</v>
      </c>
    </row>
    <row r="25" spans="1:14" x14ac:dyDescent="0.25">
      <c r="A25" s="12" t="str">
        <f t="shared" si="0"/>
        <v>Finland</v>
      </c>
      <c r="B25" s="12">
        <f t="shared" si="1"/>
        <v>300000</v>
      </c>
      <c r="C25" s="12">
        <f t="shared" si="2"/>
        <v>49.508739669421487</v>
      </c>
      <c r="D25" s="12">
        <f t="shared" si="3"/>
        <v>8550</v>
      </c>
      <c r="E25" s="12" t="e">
        <f t="shared" si="4"/>
        <v>#VALUE!</v>
      </c>
      <c r="F25" s="12">
        <f t="shared" ref="F25:F30" si="8">IF(L25 = "DE", B25/$B$26*$F$26, IF(L25 = "DK", B25/$B$23*$F$23, IF(L25 = "None", G13, IF(L25 = "Prop", D25*$B$4, "Help"))))</f>
        <v>2582.303033216363</v>
      </c>
      <c r="H25" s="12" t="str">
        <f t="shared" si="5"/>
        <v>N</v>
      </c>
      <c r="I25" s="12" t="str">
        <f t="shared" si="6"/>
        <v>Y</v>
      </c>
      <c r="J25" s="12" t="s">
        <v>5</v>
      </c>
      <c r="K25" s="12" t="s">
        <v>6</v>
      </c>
      <c r="L25" s="12" t="s">
        <v>7</v>
      </c>
      <c r="M25" s="12">
        <f>ROUND(F25,0)</f>
        <v>2582</v>
      </c>
      <c r="N25" s="12">
        <v>0</v>
      </c>
    </row>
    <row r="26" spans="1:14" x14ac:dyDescent="0.25">
      <c r="A26" s="12" t="str">
        <f t="shared" si="0"/>
        <v>Germany</v>
      </c>
      <c r="B26" s="12">
        <f t="shared" si="1"/>
        <v>163000</v>
      </c>
      <c r="C26" s="12">
        <f t="shared" si="2"/>
        <v>31.268000000000001</v>
      </c>
      <c r="D26" s="12">
        <f t="shared" si="3"/>
        <v>3958</v>
      </c>
      <c r="E26" s="12" t="e">
        <f t="shared" si="4"/>
        <v>#VALUE!</v>
      </c>
      <c r="F26" s="12">
        <f t="shared" si="8"/>
        <v>320</v>
      </c>
      <c r="H26" s="12" t="str">
        <f t="shared" si="5"/>
        <v>N</v>
      </c>
      <c r="I26" s="12" t="str">
        <f t="shared" si="6"/>
        <v>N</v>
      </c>
      <c r="J26" s="12" t="s">
        <v>6</v>
      </c>
      <c r="K26" s="12" t="s">
        <v>6</v>
      </c>
      <c r="L26" s="12" t="s">
        <v>6</v>
      </c>
      <c r="M26" s="12">
        <f t="shared" si="7"/>
        <v>320</v>
      </c>
      <c r="N26" s="12">
        <v>0</v>
      </c>
    </row>
    <row r="27" spans="1:14" x14ac:dyDescent="0.25">
      <c r="A27" s="12" t="str">
        <f t="shared" si="0"/>
        <v>Latvia</v>
      </c>
      <c r="B27" s="12">
        <f t="shared" si="1"/>
        <v>41000</v>
      </c>
      <c r="C27" s="12">
        <f>IF(J27 = "Avg", D27*($B$2/1000), IF(J27 = "None", D15, "Help"))</f>
        <v>5.6515239669421486</v>
      </c>
      <c r="D27" s="12">
        <f t="shared" si="3"/>
        <v>976</v>
      </c>
      <c r="E27" s="12" t="e">
        <f t="shared" si="4"/>
        <v>#VALUE!</v>
      </c>
      <c r="F27" s="12">
        <f t="shared" si="8"/>
        <v>294.77517665721291</v>
      </c>
      <c r="H27" s="12" t="str">
        <f t="shared" si="5"/>
        <v>N</v>
      </c>
      <c r="I27" s="12" t="str">
        <f t="shared" si="6"/>
        <v>Y</v>
      </c>
      <c r="J27" s="12" t="s">
        <v>5</v>
      </c>
      <c r="K27" s="12" t="s">
        <v>6</v>
      </c>
      <c r="L27" s="12" t="s">
        <v>7</v>
      </c>
      <c r="M27" s="12">
        <f t="shared" si="7"/>
        <v>295</v>
      </c>
      <c r="N27" s="12">
        <v>0</v>
      </c>
    </row>
    <row r="28" spans="1:14" x14ac:dyDescent="0.25">
      <c r="A28" s="12" t="str">
        <f t="shared" si="0"/>
        <v>Lithuania</v>
      </c>
      <c r="B28" s="12">
        <f t="shared" si="1"/>
        <v>60000</v>
      </c>
      <c r="C28" s="12">
        <f t="shared" si="2"/>
        <v>8.7436487603305793</v>
      </c>
      <c r="D28" s="12">
        <f t="shared" si="3"/>
        <v>1510</v>
      </c>
      <c r="E28" s="12" t="e">
        <f t="shared" si="4"/>
        <v>#VALUE!</v>
      </c>
      <c r="F28" s="12">
        <f t="shared" si="8"/>
        <v>456.05585732827001</v>
      </c>
      <c r="H28" s="12" t="str">
        <f t="shared" si="5"/>
        <v>N</v>
      </c>
      <c r="I28" s="12" t="str">
        <f t="shared" si="6"/>
        <v>Y</v>
      </c>
      <c r="J28" s="12" t="s">
        <v>5</v>
      </c>
      <c r="K28" s="12" t="s">
        <v>6</v>
      </c>
      <c r="L28" s="12" t="s">
        <v>7</v>
      </c>
      <c r="M28" s="12">
        <f>ROUND(F28,0)</f>
        <v>456</v>
      </c>
      <c r="N28" s="12">
        <v>0</v>
      </c>
    </row>
    <row r="29" spans="1:14" x14ac:dyDescent="0.25">
      <c r="A29" s="12" t="str">
        <f t="shared" si="0"/>
        <v>Poland</v>
      </c>
      <c r="B29" s="12">
        <f t="shared" si="1"/>
        <v>82000</v>
      </c>
      <c r="C29" s="12">
        <f t="shared" si="2"/>
        <v>11.529694336561375</v>
      </c>
      <c r="D29" s="12">
        <f>IF(K29 = "DE", B29/$B$26*$D$26, IF(K29 = "None", E17, "Help"))</f>
        <v>1991.1411042944785</v>
      </c>
      <c r="E29" s="12" t="e">
        <f t="shared" si="4"/>
        <v>#VALUE!</v>
      </c>
      <c r="F29" s="12">
        <f t="shared" si="8"/>
        <v>601.37189627852763</v>
      </c>
      <c r="H29" s="12" t="str">
        <f t="shared" si="5"/>
        <v>Y</v>
      </c>
      <c r="I29" s="12" t="str">
        <f t="shared" si="6"/>
        <v>Y</v>
      </c>
      <c r="J29" s="12" t="s">
        <v>5</v>
      </c>
      <c r="K29" s="12" t="s">
        <v>34</v>
      </c>
      <c r="L29" s="12" t="s">
        <v>7</v>
      </c>
      <c r="M29" s="12">
        <f t="shared" si="7"/>
        <v>601</v>
      </c>
      <c r="N29" s="12">
        <v>0</v>
      </c>
    </row>
    <row r="30" spans="1:14" x14ac:dyDescent="0.25">
      <c r="A30" s="12" t="str">
        <f>A18</f>
        <v>Sweden</v>
      </c>
      <c r="B30" s="12">
        <f t="shared" si="1"/>
        <v>565634</v>
      </c>
      <c r="C30" s="12">
        <f t="shared" si="2"/>
        <v>9.2821648760330575</v>
      </c>
      <c r="D30" s="12">
        <f>IF(K30 = "DE", B30/$B$26*$D$26, IF(K30 = "None", E18, "Help"))</f>
        <v>1603</v>
      </c>
      <c r="E30" s="12" t="e">
        <f t="shared" si="4"/>
        <v>#VALUE!</v>
      </c>
      <c r="F30" s="12">
        <f t="shared" si="8"/>
        <v>484.14406575974624</v>
      </c>
      <c r="H30" s="12" t="str">
        <f t="shared" si="5"/>
        <v>N</v>
      </c>
      <c r="I30" s="12" t="str">
        <f t="shared" si="6"/>
        <v>Y</v>
      </c>
      <c r="J30" s="12" t="s">
        <v>5</v>
      </c>
      <c r="K30" s="12" t="s">
        <v>6</v>
      </c>
      <c r="L30" s="12" t="s">
        <v>7</v>
      </c>
      <c r="M30" s="12">
        <f t="shared" si="7"/>
        <v>484</v>
      </c>
      <c r="N30" s="12">
        <v>0</v>
      </c>
    </row>
    <row r="34" spans="1:11" x14ac:dyDescent="0.25">
      <c r="A34" s="31" t="s">
        <v>35</v>
      </c>
      <c r="B34" s="31"/>
      <c r="C34" s="31"/>
    </row>
    <row r="35" spans="1:11" x14ac:dyDescent="0.25">
      <c r="A35" s="12" t="s">
        <v>36</v>
      </c>
      <c r="B35" s="12" t="s">
        <v>37</v>
      </c>
      <c r="C35" s="12" t="s">
        <v>38</v>
      </c>
    </row>
    <row r="36" spans="1:11" x14ac:dyDescent="0.25">
      <c r="A36" s="15">
        <f>SUMIF(H23:H30,"&lt;&gt;N",D23:D30)/SUM(D23:D30)</f>
        <v>6.7308890768742288E-2</v>
      </c>
      <c r="B36" s="15">
        <f>SUMIF(I23:I30,"&lt;&gt;N",F23:F30)/SUM(F23:F30)</f>
        <v>0.41996603500023427</v>
      </c>
      <c r="C36" s="15">
        <f>(SUMIF(H23:H30,"&lt;&gt;N",D23:D30)+SUMIF(I23:I30,"&lt;&gt;N",F23:F30))/SUM(D23:D30,F23:F30)</f>
        <v>0.16183061423011161</v>
      </c>
      <c r="D36" s="29"/>
      <c r="E36" s="29"/>
      <c r="F36" s="29"/>
      <c r="G36" s="29"/>
      <c r="H36" s="29"/>
    </row>
    <row r="37" spans="1:11" x14ac:dyDescent="0.25">
      <c r="D37" s="15"/>
    </row>
    <row r="39" spans="1:11" x14ac:dyDescent="0.25">
      <c r="A39" s="31" t="s">
        <v>11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x14ac:dyDescent="0.25">
      <c r="B40" s="31" t="s">
        <v>39</v>
      </c>
      <c r="C40" s="31"/>
      <c r="D40" s="31"/>
      <c r="E40" s="31" t="s">
        <v>40</v>
      </c>
      <c r="F40" s="31"/>
      <c r="G40" s="31"/>
      <c r="H40" s="31" t="s">
        <v>41</v>
      </c>
      <c r="I40" s="31"/>
    </row>
    <row r="41" spans="1:11" x14ac:dyDescent="0.25">
      <c r="A41" s="12" t="s">
        <v>18</v>
      </c>
      <c r="B41" s="12" t="s">
        <v>42</v>
      </c>
      <c r="C41" s="12" t="s">
        <v>43</v>
      </c>
      <c r="D41" s="12" t="s">
        <v>44</v>
      </c>
      <c r="E41" s="12" t="s">
        <v>45</v>
      </c>
      <c r="F41" s="12" t="s">
        <v>10</v>
      </c>
      <c r="G41" s="12" t="s">
        <v>44</v>
      </c>
      <c r="H41" s="12" t="s">
        <v>39</v>
      </c>
      <c r="I41" s="12" t="s">
        <v>40</v>
      </c>
      <c r="J41" s="12" t="s">
        <v>15</v>
      </c>
      <c r="K41" s="12" t="s">
        <v>46</v>
      </c>
    </row>
    <row r="42" spans="1:11" x14ac:dyDescent="0.25">
      <c r="A42" s="12" t="str">
        <f t="shared" ref="A42:A49" si="9">A23</f>
        <v>Denmark</v>
      </c>
      <c r="B42" s="12">
        <f t="shared" ref="B42:B47" si="10">D23</f>
        <v>10562</v>
      </c>
      <c r="C42" s="12">
        <f t="shared" ref="C42:C49" si="11">F23*$B$6</f>
        <v>1490.75</v>
      </c>
      <c r="D42" s="12">
        <f>B42+C42</f>
        <v>12052.75</v>
      </c>
      <c r="E42" s="12">
        <f>VLOOKUP($A42,'Commercial sal-22-31'!$A$1:$F$18,2, FALSE)</f>
        <v>9684</v>
      </c>
      <c r="F42" s="16">
        <f t="shared" ref="F42:F49" si="12">E42*($B$5*$B$7)</f>
        <v>1232.7191131069324</v>
      </c>
      <c r="G42" s="16">
        <f t="shared" ref="G42:G50" si="13">E42+F42</f>
        <v>10916.719113106932</v>
      </c>
      <c r="H42" s="15">
        <f t="shared" ref="H42:H50" si="14">D42/K42</f>
        <v>0.52472914984014196</v>
      </c>
      <c r="I42" s="15">
        <f t="shared" ref="I42:I50" si="15">G42/K42</f>
        <v>0.47527085015985798</v>
      </c>
      <c r="J42" s="12" t="str">
        <f>VLOOKUP($A42,'Commercial sal-22-31'!$A$1:$F$18,3, FALSE)</f>
        <v>WGBAST (2017)</v>
      </c>
      <c r="K42" s="12">
        <f t="shared" ref="K42:K49" si="16">D42+G42</f>
        <v>22969.469113106934</v>
      </c>
    </row>
    <row r="43" spans="1:11" x14ac:dyDescent="0.25">
      <c r="A43" s="12" t="str">
        <f t="shared" si="9"/>
        <v>Estonia</v>
      </c>
      <c r="B43" s="12">
        <f t="shared" si="10"/>
        <v>432</v>
      </c>
      <c r="C43" s="12">
        <f t="shared" si="11"/>
        <v>32.618564630101432</v>
      </c>
      <c r="D43" s="12">
        <f t="shared" ref="D43:D49" si="17">B43+C43</f>
        <v>464.61856463010145</v>
      </c>
      <c r="E43" s="12">
        <f>VLOOKUP($A43,'Commercial sal-22-31'!$A$1:$F$18,2, FALSE)</f>
        <v>726</v>
      </c>
      <c r="F43" s="16">
        <f t="shared" si="12"/>
        <v>92.415745158574239</v>
      </c>
      <c r="G43" s="16">
        <f t="shared" si="13"/>
        <v>818.41574515857428</v>
      </c>
      <c r="H43" s="15">
        <f t="shared" si="14"/>
        <v>0.3621248169946657</v>
      </c>
      <c r="I43" s="15">
        <f t="shared" si="15"/>
        <v>0.6378751830053343</v>
      </c>
      <c r="J43" s="12" t="str">
        <f>VLOOKUP($A43,'Commercial sal-22-31'!$A$1:$F$18,3, FALSE)</f>
        <v>WGBAST (2017)</v>
      </c>
      <c r="K43" s="12">
        <f t="shared" si="16"/>
        <v>1283.0343097886757</v>
      </c>
    </row>
    <row r="44" spans="1:11" x14ac:dyDescent="0.25">
      <c r="A44" s="12" t="str">
        <f t="shared" si="9"/>
        <v>Finland</v>
      </c>
      <c r="B44" s="12">
        <f t="shared" si="10"/>
        <v>8550</v>
      </c>
      <c r="C44" s="12">
        <f t="shared" si="11"/>
        <v>645.57575830409075</v>
      </c>
      <c r="D44" s="12">
        <f t="shared" si="17"/>
        <v>9195.5757583040904</v>
      </c>
      <c r="E44" s="12">
        <f>VLOOKUP($A44,'Commercial sal-22-31'!$A$1:$F$18,2, FALSE)</f>
        <v>24585</v>
      </c>
      <c r="F44" s="16">
        <f t="shared" si="12"/>
        <v>3129.5331883244457</v>
      </c>
      <c r="G44" s="16">
        <f t="shared" si="13"/>
        <v>27714.533188324447</v>
      </c>
      <c r="H44" s="15">
        <f t="shared" si="14"/>
        <v>0.2491343434288085</v>
      </c>
      <c r="I44" s="15">
        <f t="shared" si="15"/>
        <v>0.75086565657119164</v>
      </c>
      <c r="J44" s="12" t="str">
        <f>VLOOKUP($A44,'Commercial sal-22-31'!$A$1:$F$18,3, FALSE)</f>
        <v>WGBAST (2017)</v>
      </c>
      <c r="K44" s="12">
        <f t="shared" si="16"/>
        <v>36910.108946628534</v>
      </c>
    </row>
    <row r="45" spans="1:11" x14ac:dyDescent="0.25">
      <c r="A45" s="12" t="str">
        <f t="shared" si="9"/>
        <v>Germany</v>
      </c>
      <c r="B45" s="12">
        <f t="shared" si="10"/>
        <v>3958</v>
      </c>
      <c r="C45" s="12">
        <f t="shared" si="11"/>
        <v>80</v>
      </c>
      <c r="D45" s="12">
        <f t="shared" si="17"/>
        <v>4038</v>
      </c>
      <c r="E45" s="12">
        <f>VLOOKUP($A45,'Commercial sal-22-31'!$A$1:$F$18,2, FALSE)</f>
        <v>1616</v>
      </c>
      <c r="F45" s="16">
        <f t="shared" si="12"/>
        <v>205.70777434746</v>
      </c>
      <c r="G45" s="16">
        <f t="shared" si="13"/>
        <v>1821.7077743474599</v>
      </c>
      <c r="H45" s="15">
        <f t="shared" si="14"/>
        <v>0.68911286287645523</v>
      </c>
      <c r="I45" s="15">
        <f t="shared" si="15"/>
        <v>0.31088713712354471</v>
      </c>
      <c r="J45" s="12" t="str">
        <f>VLOOKUP($A45,'Commercial sal-22-31'!$A$1:$F$18,3, FALSE)</f>
        <v>WGBAST (2017)</v>
      </c>
      <c r="K45" s="12">
        <f t="shared" si="16"/>
        <v>5859.7077743474601</v>
      </c>
    </row>
    <row r="46" spans="1:11" x14ac:dyDescent="0.25">
      <c r="A46" s="12" t="str">
        <f t="shared" si="9"/>
        <v>Latvia</v>
      </c>
      <c r="B46" s="12">
        <f t="shared" si="10"/>
        <v>976</v>
      </c>
      <c r="C46" s="12">
        <f t="shared" si="11"/>
        <v>73.693794164303227</v>
      </c>
      <c r="D46" s="12">
        <f t="shared" si="17"/>
        <v>1049.6937941643032</v>
      </c>
      <c r="E46" s="12">
        <f>VLOOKUP($A46,'Commercial sal-22-31'!$A$1:$F$18,2, FALSE)</f>
        <v>724</v>
      </c>
      <c r="F46" s="16">
        <f t="shared" si="12"/>
        <v>92.161156328936286</v>
      </c>
      <c r="G46" s="16">
        <f t="shared" si="13"/>
        <v>816.16115632893627</v>
      </c>
      <c r="H46" s="15">
        <f t="shared" si="14"/>
        <v>0.5625805981793045</v>
      </c>
      <c r="I46" s="15">
        <f t="shared" si="15"/>
        <v>0.43741940182069555</v>
      </c>
      <c r="J46" s="12" t="str">
        <f>VLOOKUP($A46,'Commercial sal-22-31'!$A$1:$F$18,3, FALSE)</f>
        <v>WGBAST (2017)</v>
      </c>
      <c r="K46" s="12">
        <f t="shared" si="16"/>
        <v>1865.8549504932394</v>
      </c>
    </row>
    <row r="47" spans="1:11" x14ac:dyDescent="0.25">
      <c r="A47" s="12" t="str">
        <f t="shared" si="9"/>
        <v>Lithuania</v>
      </c>
      <c r="B47" s="12">
        <f t="shared" si="10"/>
        <v>1510</v>
      </c>
      <c r="C47" s="12">
        <f t="shared" si="11"/>
        <v>114.0139643320675</v>
      </c>
      <c r="D47" s="12">
        <f t="shared" si="17"/>
        <v>1624.0139643320674</v>
      </c>
      <c r="E47" s="12">
        <f>VLOOKUP($A47,'Commercial sal-22-31'!$A$1:$F$18,2, FALSE)</f>
        <v>344</v>
      </c>
      <c r="F47" s="16">
        <f t="shared" si="12"/>
        <v>43.789278697726637</v>
      </c>
      <c r="G47" s="16">
        <f t="shared" si="13"/>
        <v>387.78927869772662</v>
      </c>
      <c r="H47" s="15">
        <f t="shared" si="14"/>
        <v>0.80724293986438134</v>
      </c>
      <c r="I47" s="15">
        <f t="shared" si="15"/>
        <v>0.19275706013561864</v>
      </c>
      <c r="J47" s="12" t="str">
        <f>VLOOKUP($A47,'Commercial sal-22-31'!$A$1:$F$18,3, FALSE)</f>
        <v>WGBAST (2017)</v>
      </c>
      <c r="K47" s="12">
        <f t="shared" si="16"/>
        <v>2011.803243029794</v>
      </c>
    </row>
    <row r="48" spans="1:11" x14ac:dyDescent="0.25">
      <c r="A48" s="12" t="str">
        <f t="shared" si="9"/>
        <v>Poland</v>
      </c>
      <c r="B48" s="12">
        <f>ROUND(D29,0)</f>
        <v>1991</v>
      </c>
      <c r="C48" s="12">
        <f t="shared" si="11"/>
        <v>150.34297406963191</v>
      </c>
      <c r="D48" s="12">
        <f t="shared" si="17"/>
        <v>2141.342974069632</v>
      </c>
      <c r="E48" s="12">
        <f>VLOOKUP($A48,'Commercial sal-22-31'!$A$1:$F$18,2, FALSE)</f>
        <v>3647</v>
      </c>
      <c r="F48" s="16">
        <f t="shared" si="12"/>
        <v>464.2427308447937</v>
      </c>
      <c r="G48" s="16">
        <f t="shared" si="13"/>
        <v>4111.2427308447941</v>
      </c>
      <c r="H48" s="15">
        <f t="shared" si="14"/>
        <v>0.34247319031334073</v>
      </c>
      <c r="I48" s="15">
        <f t="shared" si="15"/>
        <v>0.65752680968665922</v>
      </c>
      <c r="J48" s="12" t="str">
        <f>VLOOKUP($A48,'Commercial sal-22-31'!$A$1:$F$18,3, FALSE)</f>
        <v>WGBAST (2017)</v>
      </c>
      <c r="K48" s="12">
        <f t="shared" si="16"/>
        <v>6252.5857049144261</v>
      </c>
    </row>
    <row r="49" spans="1:11" x14ac:dyDescent="0.25">
      <c r="A49" s="12" t="str">
        <f t="shared" si="9"/>
        <v>Sweden</v>
      </c>
      <c r="B49" s="12">
        <f>D30</f>
        <v>1603</v>
      </c>
      <c r="C49" s="12">
        <f t="shared" si="11"/>
        <v>121.03601643993656</v>
      </c>
      <c r="D49" s="12">
        <f t="shared" si="17"/>
        <v>1724.0360164399365</v>
      </c>
      <c r="E49" s="12">
        <f>VLOOKUP($A49,'Commercial sal-22-31'!$A$1:$F$18,2, FALSE)</f>
        <v>29312</v>
      </c>
      <c r="F49" s="16">
        <f t="shared" si="12"/>
        <v>3731.2538871737297</v>
      </c>
      <c r="G49" s="16">
        <f t="shared" si="13"/>
        <v>33043.253887173727</v>
      </c>
      <c r="H49" s="15">
        <f t="shared" si="14"/>
        <v>4.9587874729940987E-2</v>
      </c>
      <c r="I49" s="15">
        <f t="shared" si="15"/>
        <v>0.95041212527005892</v>
      </c>
      <c r="J49" s="12" t="str">
        <f>VLOOKUP($A49,'Commercial sal-22-31'!$A$1:$F$18,3, FALSE)</f>
        <v>WGBAST (2017)</v>
      </c>
      <c r="K49" s="12">
        <f t="shared" si="16"/>
        <v>34767.289903613666</v>
      </c>
    </row>
    <row r="50" spans="1:11" x14ac:dyDescent="0.25">
      <c r="A50" s="8" t="s">
        <v>12</v>
      </c>
      <c r="B50" s="8">
        <f>SUM(B42:B49)</f>
        <v>29582</v>
      </c>
      <c r="C50" s="8">
        <f t="shared" ref="C50:D50" si="18">SUM(C42:C49)</f>
        <v>2708.0310719401318</v>
      </c>
      <c r="D50" s="8">
        <f t="shared" si="18"/>
        <v>32290.031071940135</v>
      </c>
      <c r="E50" s="8">
        <v>71260</v>
      </c>
      <c r="F50" s="11">
        <f>B8*$B$7</f>
        <v>9071</v>
      </c>
      <c r="G50" s="11">
        <f t="shared" si="13"/>
        <v>80331</v>
      </c>
      <c r="H50" s="9">
        <f t="shared" si="14"/>
        <v>0.28671404234715175</v>
      </c>
      <c r="I50" s="9">
        <f t="shared" si="15"/>
        <v>0.7132859576528483</v>
      </c>
      <c r="J50" s="8" t="s">
        <v>47</v>
      </c>
      <c r="K50" s="8">
        <f>G50+D50</f>
        <v>112621.03107194013</v>
      </c>
    </row>
    <row r="52" spans="1:11" x14ac:dyDescent="0.25">
      <c r="F52" s="16"/>
    </row>
    <row r="54" spans="1:11" x14ac:dyDescent="0.25">
      <c r="A54" s="32" t="s">
        <v>63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5" spans="1:11" x14ac:dyDescent="0.25">
      <c r="A55" s="27" t="s">
        <v>18</v>
      </c>
      <c r="B55" s="27" t="s">
        <v>26</v>
      </c>
      <c r="C55" s="27" t="s">
        <v>8</v>
      </c>
      <c r="D55" s="27" t="s">
        <v>21</v>
      </c>
      <c r="E55" s="27" t="s">
        <v>9</v>
      </c>
      <c r="F55" s="27" t="s">
        <v>22</v>
      </c>
      <c r="G55" s="27" t="s">
        <v>64</v>
      </c>
      <c r="H55" s="27" t="s">
        <v>44</v>
      </c>
      <c r="I55" s="27"/>
      <c r="J55" s="27"/>
      <c r="K55" s="27"/>
    </row>
    <row r="56" spans="1:11" x14ac:dyDescent="0.25">
      <c r="A56" s="12" t="s">
        <v>68</v>
      </c>
      <c r="B56" s="12">
        <f t="shared" ref="B56" si="19">B23</f>
        <v>386000</v>
      </c>
      <c r="D56" s="12">
        <f>B56/B26*D26</f>
        <v>9372.932515337423</v>
      </c>
      <c r="F56" s="12">
        <f>B56/B26*F26</f>
        <v>757.79141104294479</v>
      </c>
      <c r="G56" s="12">
        <f>F56*$B$6</f>
        <v>189.4478527607362</v>
      </c>
      <c r="H56" s="12">
        <f>D56+G56</f>
        <v>9562.38036809816</v>
      </c>
    </row>
    <row r="57" spans="1:11" x14ac:dyDescent="0.25">
      <c r="A57" s="12" t="str">
        <f>A24</f>
        <v>Estonia</v>
      </c>
      <c r="B57" s="12">
        <f>B24</f>
        <v>20000</v>
      </c>
      <c r="D57" s="12">
        <f>D24</f>
        <v>432</v>
      </c>
      <c r="F57" s="12">
        <f>F24</f>
        <v>130.47425852040573</v>
      </c>
      <c r="G57" s="12">
        <f t="shared" ref="G57:G63" si="20">F57*$B$6</f>
        <v>32.618564630101432</v>
      </c>
      <c r="H57" s="12">
        <f t="shared" ref="H57:H63" si="21">D57+G57</f>
        <v>464.61856463010145</v>
      </c>
    </row>
    <row r="58" spans="1:11" x14ac:dyDescent="0.25">
      <c r="A58" s="12" t="str">
        <f>A25</f>
        <v>Finland</v>
      </c>
      <c r="B58" s="12">
        <f>B25</f>
        <v>300000</v>
      </c>
      <c r="D58" s="12">
        <f>D25</f>
        <v>8550</v>
      </c>
      <c r="F58" s="12">
        <f>F25</f>
        <v>2582.303033216363</v>
      </c>
      <c r="G58" s="12">
        <f t="shared" si="20"/>
        <v>645.57575830409075</v>
      </c>
      <c r="H58" s="12">
        <f t="shared" si="21"/>
        <v>9195.5757583040904</v>
      </c>
    </row>
    <row r="59" spans="1:11" x14ac:dyDescent="0.25">
      <c r="A59" s="12" t="s">
        <v>69</v>
      </c>
      <c r="B59" s="12">
        <f>B26</f>
        <v>163000</v>
      </c>
      <c r="D59" s="12">
        <f>B59/B23*D23</f>
        <v>4460.1191709844561</v>
      </c>
      <c r="F59" s="12">
        <f>B59/B23*F23</f>
        <v>2518.0544041450776</v>
      </c>
      <c r="G59" s="12">
        <f t="shared" si="20"/>
        <v>629.51360103626939</v>
      </c>
      <c r="H59" s="12">
        <f t="shared" si="21"/>
        <v>5089.6327720207255</v>
      </c>
    </row>
    <row r="60" spans="1:11" x14ac:dyDescent="0.25">
      <c r="A60" s="12" t="str">
        <f>A27</f>
        <v>Latvia</v>
      </c>
      <c r="B60" s="12">
        <f>B27</f>
        <v>41000</v>
      </c>
      <c r="D60" s="12">
        <f>D27</f>
        <v>976</v>
      </c>
      <c r="F60" s="12">
        <f>F27</f>
        <v>294.77517665721291</v>
      </c>
      <c r="G60" s="12">
        <f t="shared" si="20"/>
        <v>73.693794164303227</v>
      </c>
      <c r="H60" s="12">
        <f t="shared" si="21"/>
        <v>1049.6937941643032</v>
      </c>
    </row>
    <row r="61" spans="1:11" x14ac:dyDescent="0.25">
      <c r="A61" s="12" t="str">
        <f>A28</f>
        <v>Lithuania</v>
      </c>
      <c r="B61" s="12">
        <f>B28</f>
        <v>60000</v>
      </c>
      <c r="D61" s="12">
        <f>D28</f>
        <v>1510</v>
      </c>
      <c r="F61" s="12">
        <f>F28</f>
        <v>456.05585732827001</v>
      </c>
      <c r="G61" s="12">
        <f t="shared" si="20"/>
        <v>114.0139643320675</v>
      </c>
      <c r="H61" s="12">
        <f t="shared" si="21"/>
        <v>1624.0139643320674</v>
      </c>
    </row>
    <row r="62" spans="1:11" x14ac:dyDescent="0.25">
      <c r="A62" s="12" t="str">
        <f>A29</f>
        <v>Poland</v>
      </c>
      <c r="B62" s="12">
        <f t="shared" ref="B62:F62" si="22">B29</f>
        <v>82000</v>
      </c>
      <c r="D62" s="12">
        <f t="shared" si="22"/>
        <v>1991.1411042944785</v>
      </c>
      <c r="F62" s="12">
        <f t="shared" si="22"/>
        <v>601.37189627852763</v>
      </c>
      <c r="G62" s="12">
        <f t="shared" si="20"/>
        <v>150.34297406963191</v>
      </c>
      <c r="H62" s="12">
        <f t="shared" si="21"/>
        <v>2141.4840783641102</v>
      </c>
    </row>
    <row r="63" spans="1:11" x14ac:dyDescent="0.25">
      <c r="A63" s="12" t="str">
        <f>A30</f>
        <v>Sweden</v>
      </c>
      <c r="B63" s="12">
        <f t="shared" ref="B63:F63" si="23">B30</f>
        <v>565634</v>
      </c>
      <c r="D63" s="12">
        <f t="shared" si="23"/>
        <v>1603</v>
      </c>
      <c r="F63" s="12">
        <f t="shared" si="23"/>
        <v>484.14406575974624</v>
      </c>
      <c r="G63" s="12">
        <f t="shared" si="20"/>
        <v>121.03601643993656</v>
      </c>
      <c r="H63" s="12">
        <f t="shared" si="21"/>
        <v>1724.0360164399365</v>
      </c>
      <c r="I63" t="s">
        <v>65</v>
      </c>
      <c r="J63" t="s">
        <v>66</v>
      </c>
      <c r="K63" t="s">
        <v>67</v>
      </c>
    </row>
    <row r="64" spans="1:11" x14ac:dyDescent="0.25">
      <c r="G64" s="2" t="s">
        <v>70</v>
      </c>
      <c r="H64" s="17">
        <f>SUM(H56:H63)</f>
        <v>30851.435316353494</v>
      </c>
      <c r="I64" s="28">
        <v>44947.91966931858</v>
      </c>
      <c r="J64" s="28">
        <v>19632.424683150646</v>
      </c>
      <c r="K64" s="27" t="str">
        <f>IF((AND(H64&lt;=I64,H64&gt;=J64)),"Good","Bad")</f>
        <v>Good</v>
      </c>
    </row>
    <row r="65" spans="7:8" x14ac:dyDescent="0.25">
      <c r="G65" s="17"/>
      <c r="H65" s="17"/>
    </row>
  </sheetData>
  <mergeCells count="9">
    <mergeCell ref="A9:H9"/>
    <mergeCell ref="A21:I21"/>
    <mergeCell ref="A54:K54"/>
    <mergeCell ref="J21:L21"/>
    <mergeCell ref="A34:C34"/>
    <mergeCell ref="A39:K39"/>
    <mergeCell ref="B40:D40"/>
    <mergeCell ref="E40:G40"/>
    <mergeCell ref="H40:I40"/>
  </mergeCells>
  <conditionalFormatting sqref="K64">
    <cfRule type="cellIs" dxfId="1" priority="1" operator="equal">
      <formula>"Bad"</formula>
    </cfRule>
    <cfRule type="cellIs" dxfId="0" priority="2" operator="equal">
      <formula>"Good"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H28"/>
  <sheetViews>
    <sheetView workbookViewId="0">
      <selection activeCell="H16" sqref="H16:H17"/>
    </sheetView>
  </sheetViews>
  <sheetFormatPr defaultColWidth="9.140625" defaultRowHeight="15" x14ac:dyDescent="0.25"/>
  <cols>
    <col min="1" max="1" width="16" bestFit="1" customWidth="1"/>
    <col min="2" max="2" width="9.85546875" style="5" bestFit="1" customWidth="1"/>
    <col min="3" max="3" width="11.7109375" style="4" bestFit="1" customWidth="1"/>
    <col min="4" max="4" width="9.28515625" bestFit="1" customWidth="1"/>
    <col min="5" max="5" width="12" style="6" customWidth="1"/>
    <col min="6" max="6" width="12.7109375" bestFit="1" customWidth="1"/>
    <col min="7" max="7" width="10.7109375" style="6" bestFit="1" customWidth="1"/>
    <col min="8" max="8" width="34.28515625" customWidth="1"/>
    <col min="9" max="9" width="9.85546875" customWidth="1"/>
  </cols>
  <sheetData>
    <row r="1" spans="1:8" x14ac:dyDescent="0.25">
      <c r="A1" s="14" t="s">
        <v>18</v>
      </c>
      <c r="B1" s="17" t="s">
        <v>48</v>
      </c>
      <c r="C1" s="19" t="s">
        <v>49</v>
      </c>
      <c r="D1" s="14" t="s">
        <v>50</v>
      </c>
      <c r="E1" s="20" t="s">
        <v>51</v>
      </c>
      <c r="F1" s="14" t="s">
        <v>52</v>
      </c>
      <c r="G1" s="20" t="s">
        <v>53</v>
      </c>
      <c r="H1" s="14" t="s">
        <v>15</v>
      </c>
    </row>
    <row r="2" spans="1:8" x14ac:dyDescent="0.25">
      <c r="A2" s="14" t="s">
        <v>54</v>
      </c>
      <c r="B2" s="21">
        <v>2015</v>
      </c>
      <c r="C2" s="22">
        <v>386000</v>
      </c>
      <c r="D2" s="23">
        <v>52.81</v>
      </c>
      <c r="E2" s="19">
        <v>10562</v>
      </c>
      <c r="F2" s="23" t="s">
        <v>16</v>
      </c>
      <c r="G2" s="19">
        <v>5963</v>
      </c>
      <c r="H2" s="18" t="s">
        <v>72</v>
      </c>
    </row>
    <row r="3" spans="1:8" x14ac:dyDescent="0.25">
      <c r="A3" s="14" t="s">
        <v>55</v>
      </c>
      <c r="B3" s="21">
        <v>2016</v>
      </c>
      <c r="C3" s="19">
        <v>20000</v>
      </c>
      <c r="D3" s="23" t="s">
        <v>16</v>
      </c>
      <c r="E3" s="19">
        <v>432</v>
      </c>
      <c r="F3" s="23" t="s">
        <v>16</v>
      </c>
      <c r="G3" s="19" t="s">
        <v>16</v>
      </c>
      <c r="H3" s="18" t="s">
        <v>73</v>
      </c>
    </row>
    <row r="4" spans="1:8" x14ac:dyDescent="0.25">
      <c r="A4" s="14" t="s">
        <v>56</v>
      </c>
      <c r="B4" s="21">
        <v>2016</v>
      </c>
      <c r="C4" s="19">
        <v>300000</v>
      </c>
      <c r="D4" s="23" t="s">
        <v>16</v>
      </c>
      <c r="E4" s="19">
        <v>8550</v>
      </c>
      <c r="F4" s="23" t="s">
        <v>16</v>
      </c>
      <c r="G4" s="19" t="s">
        <v>16</v>
      </c>
      <c r="H4" s="30" t="s">
        <v>73</v>
      </c>
    </row>
    <row r="5" spans="1:8" x14ac:dyDescent="0.25">
      <c r="A5" s="14" t="s">
        <v>57</v>
      </c>
      <c r="B5" s="21">
        <v>2016</v>
      </c>
      <c r="C5" s="22">
        <v>163000</v>
      </c>
      <c r="D5" s="23">
        <v>31.268000000000001</v>
      </c>
      <c r="E5" s="19">
        <v>3958</v>
      </c>
      <c r="F5" s="23" t="s">
        <v>16</v>
      </c>
      <c r="G5" s="19">
        <v>320</v>
      </c>
      <c r="H5" s="30" t="s">
        <v>73</v>
      </c>
    </row>
    <row r="6" spans="1:8" x14ac:dyDescent="0.25">
      <c r="A6" s="14" t="s">
        <v>58</v>
      </c>
      <c r="B6" s="21">
        <v>2016</v>
      </c>
      <c r="C6" s="19">
        <v>41000</v>
      </c>
      <c r="D6" s="23" t="s">
        <v>16</v>
      </c>
      <c r="E6" s="19">
        <v>976</v>
      </c>
      <c r="F6" s="23" t="s">
        <v>16</v>
      </c>
      <c r="G6" s="19" t="s">
        <v>16</v>
      </c>
      <c r="H6" s="30" t="s">
        <v>73</v>
      </c>
    </row>
    <row r="7" spans="1:8" x14ac:dyDescent="0.25">
      <c r="A7" s="14" t="s">
        <v>59</v>
      </c>
      <c r="B7" s="21">
        <v>2016</v>
      </c>
      <c r="C7" s="19">
        <v>60000</v>
      </c>
      <c r="D7" s="23" t="s">
        <v>16</v>
      </c>
      <c r="E7" s="19">
        <v>1510</v>
      </c>
      <c r="F7" s="23" t="s">
        <v>16</v>
      </c>
      <c r="G7" s="19" t="s">
        <v>16</v>
      </c>
      <c r="H7" s="30" t="s">
        <v>73</v>
      </c>
    </row>
    <row r="8" spans="1:8" x14ac:dyDescent="0.25">
      <c r="A8" s="14" t="s">
        <v>60</v>
      </c>
      <c r="B8" s="21">
        <v>2016</v>
      </c>
      <c r="C8" s="19">
        <v>82000</v>
      </c>
      <c r="D8" s="23" t="s">
        <v>16</v>
      </c>
      <c r="E8" s="19" t="s">
        <v>16</v>
      </c>
      <c r="F8" s="23" t="s">
        <v>16</v>
      </c>
      <c r="G8" s="19" t="s">
        <v>16</v>
      </c>
      <c r="H8" s="30" t="s">
        <v>73</v>
      </c>
    </row>
    <row r="9" spans="1:8" x14ac:dyDescent="0.25">
      <c r="A9" s="14" t="s">
        <v>61</v>
      </c>
      <c r="B9" s="21">
        <v>2016</v>
      </c>
      <c r="C9" s="19">
        <v>565634</v>
      </c>
      <c r="D9" s="23" t="s">
        <v>16</v>
      </c>
      <c r="E9" s="19">
        <v>1603</v>
      </c>
      <c r="F9" s="23" t="s">
        <v>16</v>
      </c>
      <c r="G9" s="19" t="s">
        <v>16</v>
      </c>
      <c r="H9" s="30" t="s">
        <v>73</v>
      </c>
    </row>
    <row r="10" spans="1:8" x14ac:dyDescent="0.25">
      <c r="A10" s="12"/>
      <c r="B10" s="17"/>
      <c r="C10" s="19"/>
      <c r="D10" s="12"/>
      <c r="E10" s="20"/>
      <c r="F10" s="12"/>
      <c r="G10" s="20"/>
      <c r="H10" s="12"/>
    </row>
    <row r="12" spans="1:8" x14ac:dyDescent="0.25">
      <c r="D12" s="1"/>
    </row>
    <row r="26" spans="6:7" x14ac:dyDescent="0.25">
      <c r="F26" s="6"/>
    </row>
    <row r="28" spans="6:7" x14ac:dyDescent="0.25">
      <c r="G28" s="10"/>
    </row>
  </sheetData>
  <sortState ref="A2:H9">
    <sortCondition ref="A2:A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AB41"/>
  <sheetViews>
    <sheetView workbookViewId="0">
      <selection activeCell="C9" sqref="C9"/>
    </sheetView>
  </sheetViews>
  <sheetFormatPr defaultColWidth="9.140625" defaultRowHeight="15" x14ac:dyDescent="0.25"/>
  <cols>
    <col min="1" max="1" width="18.42578125" style="2" bestFit="1" customWidth="1"/>
    <col min="2" max="2" width="9.5703125" style="2" bestFit="1" customWidth="1"/>
    <col min="3" max="3" width="20.85546875" style="2" bestFit="1" customWidth="1"/>
    <col min="4" max="16384" width="9.140625" style="2"/>
  </cols>
  <sheetData>
    <row r="1" spans="1:28" ht="15" customHeight="1" x14ac:dyDescent="0.25">
      <c r="A1" s="12" t="s">
        <v>18</v>
      </c>
      <c r="B1" s="12" t="s">
        <v>45</v>
      </c>
      <c r="C1" s="12" t="s">
        <v>15</v>
      </c>
      <c r="D1" s="24" t="s">
        <v>48</v>
      </c>
      <c r="E1" s="24"/>
      <c r="F1" s="2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" customHeight="1" x14ac:dyDescent="0.25">
      <c r="A2" s="12" t="s">
        <v>54</v>
      </c>
      <c r="B2" s="12">
        <v>9684</v>
      </c>
      <c r="C2" s="30" t="s">
        <v>73</v>
      </c>
      <c r="D2" s="24">
        <v>2016</v>
      </c>
      <c r="E2" s="24"/>
      <c r="F2" s="2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" customHeight="1" x14ac:dyDescent="0.25">
      <c r="A3" s="12" t="s">
        <v>55</v>
      </c>
      <c r="B3" s="12">
        <v>726</v>
      </c>
      <c r="C3" s="30" t="s">
        <v>73</v>
      </c>
      <c r="D3" s="24">
        <v>2016</v>
      </c>
      <c r="E3" s="24"/>
      <c r="F3" s="2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 customHeight="1" x14ac:dyDescent="0.25">
      <c r="A4" s="12" t="s">
        <v>56</v>
      </c>
      <c r="B4" s="12">
        <v>24585</v>
      </c>
      <c r="C4" s="30" t="s">
        <v>73</v>
      </c>
      <c r="D4" s="24">
        <v>2016</v>
      </c>
      <c r="E4" s="24"/>
      <c r="F4" s="2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 customHeight="1" x14ac:dyDescent="0.25">
      <c r="A5" s="12" t="s">
        <v>57</v>
      </c>
      <c r="B5" s="12">
        <v>1616</v>
      </c>
      <c r="C5" s="30" t="s">
        <v>73</v>
      </c>
      <c r="D5" s="24">
        <v>2016</v>
      </c>
      <c r="E5" s="24"/>
      <c r="F5" s="2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 customHeight="1" x14ac:dyDescent="0.25">
      <c r="A6" s="12" t="s">
        <v>58</v>
      </c>
      <c r="B6" s="12">
        <v>724</v>
      </c>
      <c r="C6" s="30" t="s">
        <v>73</v>
      </c>
      <c r="D6" s="24">
        <v>2016</v>
      </c>
      <c r="E6" s="24"/>
      <c r="F6" s="2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 customHeight="1" x14ac:dyDescent="0.25">
      <c r="A7" s="12" t="s">
        <v>59</v>
      </c>
      <c r="B7" s="12">
        <v>344</v>
      </c>
      <c r="C7" s="30" t="s">
        <v>73</v>
      </c>
      <c r="D7" s="24">
        <v>2016</v>
      </c>
      <c r="E7" s="24"/>
      <c r="F7" s="2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" customHeight="1" x14ac:dyDescent="0.25">
      <c r="A8" s="12" t="s">
        <v>60</v>
      </c>
      <c r="B8" s="12">
        <v>3647</v>
      </c>
      <c r="C8" s="30" t="s">
        <v>73</v>
      </c>
      <c r="D8" s="24">
        <v>2016</v>
      </c>
      <c r="E8" s="24"/>
      <c r="F8" s="2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15" customHeight="1" x14ac:dyDescent="0.25">
      <c r="A9" s="12" t="s">
        <v>61</v>
      </c>
      <c r="B9" s="12">
        <v>29312</v>
      </c>
      <c r="C9" s="30" t="s">
        <v>73</v>
      </c>
      <c r="D9" s="24">
        <v>2016</v>
      </c>
      <c r="E9" s="24"/>
      <c r="F9" s="2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 customHeight="1" x14ac:dyDescent="0.25">
      <c r="A10" s="24"/>
      <c r="B10" s="24"/>
      <c r="C10" s="24"/>
      <c r="D10" s="24"/>
      <c r="E10" s="24"/>
      <c r="F10" s="2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 customHeight="1" x14ac:dyDescent="0.25">
      <c r="A11" s="24"/>
      <c r="B11" s="24"/>
      <c r="C11" s="24"/>
      <c r="D11" s="24"/>
      <c r="E11" s="24"/>
      <c r="F11" s="24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1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H5"/>
  <sheetViews>
    <sheetView workbookViewId="0">
      <selection activeCell="B2" sqref="B2"/>
    </sheetView>
  </sheetViews>
  <sheetFormatPr defaultColWidth="9.140625" defaultRowHeight="15" x14ac:dyDescent="0.25"/>
  <cols>
    <col min="1" max="1" width="12.140625" bestFit="1" customWidth="1"/>
    <col min="2" max="2" width="18" bestFit="1" customWidth="1"/>
    <col min="3" max="3" width="19.140625" customWidth="1"/>
  </cols>
  <sheetData>
    <row r="1" spans="1:8" x14ac:dyDescent="0.25">
      <c r="A1" s="12" t="s">
        <v>39</v>
      </c>
      <c r="B1" s="12" t="s">
        <v>15</v>
      </c>
      <c r="C1" s="12" t="s">
        <v>40</v>
      </c>
      <c r="D1" s="12" t="s">
        <v>15</v>
      </c>
      <c r="E1" s="12"/>
      <c r="F1" s="12"/>
      <c r="G1" s="12"/>
      <c r="H1" s="12"/>
    </row>
    <row r="2" spans="1:8" x14ac:dyDescent="0.25">
      <c r="A2" s="25">
        <v>0.25</v>
      </c>
      <c r="B2" s="30" t="s">
        <v>73</v>
      </c>
      <c r="C2" s="12">
        <v>1</v>
      </c>
      <c r="D2" s="12" t="s">
        <v>71</v>
      </c>
      <c r="E2" s="12"/>
      <c r="F2" s="12"/>
      <c r="G2" s="12"/>
      <c r="H2" s="12"/>
    </row>
    <row r="3" spans="1:8" x14ac:dyDescent="0.25">
      <c r="A3" s="12"/>
      <c r="B3" s="12"/>
      <c r="C3" s="12"/>
      <c r="D3" s="12"/>
      <c r="E3" s="12"/>
      <c r="F3" s="12"/>
      <c r="G3" s="12"/>
      <c r="H3" s="12"/>
    </row>
    <row r="4" spans="1:8" x14ac:dyDescent="0.25">
      <c r="A4" s="12"/>
      <c r="B4" s="12"/>
      <c r="C4" s="12"/>
      <c r="D4" s="12"/>
      <c r="E4" s="12"/>
      <c r="F4" s="12"/>
      <c r="G4" s="12"/>
      <c r="H4" s="12"/>
    </row>
    <row r="5" spans="1:8" x14ac:dyDescent="0.25">
      <c r="A5" s="12"/>
      <c r="B5" s="12"/>
      <c r="C5" s="12"/>
      <c r="D5" s="12"/>
      <c r="E5" s="12"/>
      <c r="F5" s="12"/>
      <c r="G5" s="12"/>
      <c r="H5" s="1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D5"/>
  <sheetViews>
    <sheetView workbookViewId="0">
      <selection activeCell="A3" sqref="A3"/>
    </sheetView>
  </sheetViews>
  <sheetFormatPr defaultColWidth="9.140625" defaultRowHeight="15" x14ac:dyDescent="0.25"/>
  <cols>
    <col min="2" max="2" width="32.7109375" style="7" bestFit="1" customWidth="1"/>
    <col min="4" max="4" width="28" bestFit="1" customWidth="1"/>
  </cols>
  <sheetData>
    <row r="1" spans="1:4" x14ac:dyDescent="0.25">
      <c r="A1" s="12" t="s">
        <v>62</v>
      </c>
      <c r="B1" s="26" t="s">
        <v>15</v>
      </c>
    </row>
    <row r="2" spans="1:4" x14ac:dyDescent="0.25">
      <c r="A2" s="12">
        <f>9071/71260</f>
        <v>0.12729441481897277</v>
      </c>
      <c r="B2" s="30" t="s">
        <v>73</v>
      </c>
    </row>
    <row r="3" spans="1:4" x14ac:dyDescent="0.25">
      <c r="A3" s="12"/>
      <c r="B3" s="26"/>
    </row>
    <row r="4" spans="1:4" x14ac:dyDescent="0.25">
      <c r="A4" s="12"/>
      <c r="B4" s="26"/>
      <c r="D4" s="12"/>
    </row>
    <row r="5" spans="1:4" x14ac:dyDescent="0.25">
      <c r="A5" s="12"/>
      <c r="B5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sal-22-31</vt:lpstr>
      <vt:lpstr>Recreational sal-22-31</vt:lpstr>
      <vt:lpstr>Commercial sal-22-31</vt:lpstr>
      <vt:lpstr>Discard mortality</vt:lpstr>
      <vt:lpstr>Discard rate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Zachary Radford (Cefas)</dc:creator>
  <cp:keywords/>
  <dc:description/>
  <cp:lastModifiedBy>Zachary Radford (Cefas)</cp:lastModifiedBy>
  <cp:revision/>
  <dcterms:created xsi:type="dcterms:W3CDTF">2017-04-18T10:25:46Z</dcterms:created>
  <dcterms:modified xsi:type="dcterms:W3CDTF">2018-08-01T15:52:04Z</dcterms:modified>
  <cp:category/>
  <cp:contentStatus/>
</cp:coreProperties>
</file>