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fas-my.sharepoint.com/personal/zachary_radford_cefas_co_uk/Documents/MRF impact submission docs/Resubmitted/Supplementary/"/>
    </mc:Choice>
  </mc:AlternateContent>
  <xr:revisionPtr revIDLastSave="95" documentId="11_B102747D80B66AE81262F6D62E0F0553E97C9995" xr6:coauthVersionLast="32" xr6:coauthVersionMax="32" xr10:uidLastSave="{3EE9801E-C703-4FFA-852C-EA6C355AA2FD}"/>
  <bookViews>
    <workbookView xWindow="0" yWindow="0" windowWidth="20490" windowHeight="7095" xr2:uid="{00000000-000D-0000-FFFF-FFFF00000000}"/>
  </bookViews>
  <sheets>
    <sheet name="pol.27.67" sheetId="2" r:id="rId1"/>
    <sheet name="pol-89a" sheetId="3" r:id="rId2"/>
    <sheet name="pol-nsea" sheetId="4" r:id="rId3"/>
    <sheet name="Recreational pol.26.67" sheetId="6" r:id="rId4"/>
    <sheet name="Recreational pol-89a" sheetId="7" r:id="rId5"/>
    <sheet name="Recreational pol-nsea" sheetId="8" r:id="rId6"/>
    <sheet name="Commercial pol27.67" sheetId="9" r:id="rId7"/>
    <sheet name="Commercial pol-89a" sheetId="10" r:id="rId8"/>
    <sheet name="Commercial pol-nsea" sheetId="11" r:id="rId9"/>
    <sheet name="Discard mortality" sheetId="12" r:id="rId10"/>
    <sheet name="Discard rate" sheetId="13" r:id="rId11"/>
    <sheet name="England charter" sheetId="18" r:id="rId12"/>
    <sheet name="England boat + shore" sheetId="19" r:id="rId13"/>
    <sheet name="England combined" sheetId="20" r:id="rId14"/>
    <sheet name="France angler population" sheetId="15" r:id="rId15"/>
    <sheet name="France landing calculation" sheetId="17" r:id="rId16"/>
  </sheets>
  <calcPr calcId="179017" calcCompleted="0"/>
  <pivotCaches>
    <pivotCache cacheId="3" r:id="rId17"/>
    <pivotCache cacheId="4" r:id="rId18"/>
    <pivotCache cacheId="5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E31" i="2"/>
  <c r="C26" i="3" l="1"/>
  <c r="C5" i="4" l="1"/>
  <c r="A12" i="2" l="1"/>
  <c r="A56" i="2" s="1"/>
  <c r="A13" i="2"/>
  <c r="A57" i="2"/>
  <c r="A14" i="2"/>
  <c r="A58" i="2" s="1"/>
  <c r="A15" i="2"/>
  <c r="A59" i="2"/>
  <c r="A16" i="2"/>
  <c r="A60" i="2" s="1"/>
  <c r="A17" i="2"/>
  <c r="A61" i="2"/>
  <c r="A18" i="2"/>
  <c r="A62" i="2" s="1"/>
  <c r="A11" i="2"/>
  <c r="A55" i="2"/>
  <c r="C5" i="3"/>
  <c r="B5" i="3"/>
  <c r="C5" i="2"/>
  <c r="B5" i="2"/>
  <c r="K22" i="18"/>
  <c r="B4" i="20" s="1"/>
  <c r="K21" i="18"/>
  <c r="G43" i="18"/>
  <c r="B13" i="18"/>
  <c r="K20" i="18" s="1"/>
  <c r="K5" i="18" s="1"/>
  <c r="L20" i="18"/>
  <c r="M21" i="18"/>
  <c r="D3" i="20" s="1"/>
  <c r="O43" i="18"/>
  <c r="E13" i="18" s="1"/>
  <c r="M20" i="18" s="1"/>
  <c r="L5" i="18" s="1"/>
  <c r="N20" i="18"/>
  <c r="M22" i="18"/>
  <c r="D4" i="20" s="1"/>
  <c r="B3" i="20"/>
  <c r="B8" i="20"/>
  <c r="B15" i="20"/>
  <c r="C8" i="20"/>
  <c r="C15" i="20" s="1"/>
  <c r="D8" i="20"/>
  <c r="D15" i="20"/>
  <c r="E8" i="20"/>
  <c r="E15" i="20" s="1"/>
  <c r="A10" i="20"/>
  <c r="A16" i="20"/>
  <c r="A9" i="20"/>
  <c r="A17" i="20" s="1"/>
  <c r="A8" i="20"/>
  <c r="A15" i="20"/>
  <c r="A3" i="20"/>
  <c r="A4" i="20"/>
  <c r="A2" i="20"/>
  <c r="C2" i="20"/>
  <c r="D2" i="20"/>
  <c r="E2" i="20"/>
  <c r="B2" i="20"/>
  <c r="K15" i="19"/>
  <c r="M15" i="19" s="1"/>
  <c r="K14" i="19"/>
  <c r="M14" i="19" s="1"/>
  <c r="K13" i="19"/>
  <c r="M13" i="19" s="1"/>
  <c r="K12" i="19"/>
  <c r="M12" i="19" s="1"/>
  <c r="K11" i="19"/>
  <c r="M11" i="19" s="1"/>
  <c r="K10" i="19"/>
  <c r="M10" i="19" s="1"/>
  <c r="K9" i="19"/>
  <c r="M9" i="19" s="1"/>
  <c r="K8" i="19"/>
  <c r="M8" i="19" s="1"/>
  <c r="K7" i="19"/>
  <c r="M7" i="19" s="1"/>
  <c r="K6" i="19"/>
  <c r="M6" i="19" s="1"/>
  <c r="K5" i="19"/>
  <c r="M5" i="19" s="1"/>
  <c r="K4" i="19"/>
  <c r="M4" i="19" s="1"/>
  <c r="K3" i="19"/>
  <c r="M3" i="19" s="1"/>
  <c r="B15" i="19"/>
  <c r="D15" i="19" s="1"/>
  <c r="B14" i="19"/>
  <c r="D14" i="19" s="1"/>
  <c r="B13" i="19"/>
  <c r="D13" i="19" s="1"/>
  <c r="B12" i="19"/>
  <c r="D12" i="19" s="1"/>
  <c r="B11" i="19"/>
  <c r="D11" i="19" s="1"/>
  <c r="B10" i="19"/>
  <c r="D10" i="19" s="1"/>
  <c r="B9" i="19"/>
  <c r="D9" i="19" s="1"/>
  <c r="B8" i="19"/>
  <c r="D8" i="19" s="1"/>
  <c r="B7" i="19"/>
  <c r="D7" i="19" s="1"/>
  <c r="B6" i="19"/>
  <c r="D6" i="19" s="1"/>
  <c r="B5" i="19"/>
  <c r="D5" i="19" s="1"/>
  <c r="B4" i="19"/>
  <c r="D4" i="19" s="1"/>
  <c r="B3" i="19"/>
  <c r="D3" i="19" s="1"/>
  <c r="O51" i="18"/>
  <c r="G51" i="18"/>
  <c r="O50" i="18"/>
  <c r="G50" i="18"/>
  <c r="O49" i="18"/>
  <c r="G49" i="18"/>
  <c r="O48" i="18"/>
  <c r="G48" i="18"/>
  <c r="O47" i="18"/>
  <c r="G47" i="18"/>
  <c r="O46" i="18"/>
  <c r="G46" i="18"/>
  <c r="O45" i="18"/>
  <c r="G45" i="18"/>
  <c r="O44" i="18"/>
  <c r="G44" i="18"/>
  <c r="O42" i="18"/>
  <c r="G42" i="18"/>
  <c r="O41" i="18"/>
  <c r="G41" i="18"/>
  <c r="O40" i="18"/>
  <c r="G40" i="18"/>
  <c r="O39" i="18"/>
  <c r="G39" i="18"/>
  <c r="O38" i="18"/>
  <c r="G38" i="18"/>
  <c r="O37" i="18"/>
  <c r="G37" i="18"/>
  <c r="O36" i="18"/>
  <c r="G36" i="18"/>
  <c r="O35" i="18"/>
  <c r="G35" i="18"/>
  <c r="O34" i="18"/>
  <c r="G34" i="18"/>
  <c r="O33" i="18"/>
  <c r="G33" i="18"/>
  <c r="O32" i="18"/>
  <c r="G32" i="18"/>
  <c r="O31" i="18"/>
  <c r="G31" i="18"/>
  <c r="D8" i="18"/>
  <c r="C8" i="18"/>
  <c r="E7" i="18"/>
  <c r="E6" i="18"/>
  <c r="E5" i="18"/>
  <c r="E4" i="18"/>
  <c r="E3" i="18"/>
  <c r="E2" i="18"/>
  <c r="E8" i="18"/>
  <c r="J49" i="2"/>
  <c r="E49" i="2"/>
  <c r="G49" i="2" s="1"/>
  <c r="B17" i="9"/>
  <c r="E16" i="2"/>
  <c r="E18" i="2"/>
  <c r="B16" i="2"/>
  <c r="B18" i="2"/>
  <c r="A24" i="2"/>
  <c r="A42" i="2" s="1"/>
  <c r="F14" i="2"/>
  <c r="C6" i="6"/>
  <c r="C15" i="2"/>
  <c r="B27" i="2" s="1"/>
  <c r="A28" i="2"/>
  <c r="A46" i="2"/>
  <c r="E17" i="2"/>
  <c r="A30" i="2"/>
  <c r="A48" i="2" s="1"/>
  <c r="D11" i="2"/>
  <c r="H23" i="2" s="1"/>
  <c r="B7" i="2"/>
  <c r="B6" i="2"/>
  <c r="C7" i="2"/>
  <c r="C6" i="2"/>
  <c r="B14" i="15"/>
  <c r="C14" i="15"/>
  <c r="B13" i="15"/>
  <c r="C4" i="15"/>
  <c r="C5" i="15"/>
  <c r="C6" i="15"/>
  <c r="C7" i="15"/>
  <c r="C8" i="15"/>
  <c r="C9" i="15"/>
  <c r="C10" i="15"/>
  <c r="C11" i="15"/>
  <c r="C12" i="15"/>
  <c r="C13" i="15"/>
  <c r="C15" i="15"/>
  <c r="C16" i="15"/>
  <c r="C17" i="15"/>
  <c r="C18" i="15"/>
  <c r="C19" i="15"/>
  <c r="C20" i="15"/>
  <c r="C21" i="15"/>
  <c r="C22" i="15"/>
  <c r="B14" i="2"/>
  <c r="F12" i="2"/>
  <c r="I24" i="2" s="1"/>
  <c r="E13" i="2"/>
  <c r="D17" i="2"/>
  <c r="H29" i="2" s="1"/>
  <c r="H13" i="2"/>
  <c r="C17" i="2"/>
  <c r="B29" i="2" s="1"/>
  <c r="B61" i="2" s="1"/>
  <c r="D16" i="2"/>
  <c r="H28" i="2" s="1"/>
  <c r="G13" i="2"/>
  <c r="B13" i="2"/>
  <c r="H17" i="2"/>
  <c r="H16" i="2"/>
  <c r="B17" i="2"/>
  <c r="B12" i="2"/>
  <c r="G17" i="2"/>
  <c r="F16" i="2"/>
  <c r="I28" i="2" s="1"/>
  <c r="H12" i="2"/>
  <c r="J46" i="2"/>
  <c r="E46" i="2"/>
  <c r="G46" i="2" s="1"/>
  <c r="F11" i="2"/>
  <c r="I23" i="2" s="1"/>
  <c r="B11" i="2"/>
  <c r="E11" i="2"/>
  <c r="E15" i="2"/>
  <c r="B15" i="2"/>
  <c r="F15" i="2"/>
  <c r="I27" i="2" s="1"/>
  <c r="G11" i="2"/>
  <c r="H15" i="2"/>
  <c r="A27" i="2"/>
  <c r="A45" i="2" s="1"/>
  <c r="I26" i="2"/>
  <c r="C18" i="2"/>
  <c r="B30" i="2" s="1"/>
  <c r="G18" i="2"/>
  <c r="D18" i="2"/>
  <c r="H30" i="2" s="1"/>
  <c r="H18" i="2"/>
  <c r="C14" i="2"/>
  <c r="B26" i="2" s="1"/>
  <c r="G14" i="2"/>
  <c r="D14" i="2"/>
  <c r="H26" i="2" s="1"/>
  <c r="H14" i="2"/>
  <c r="H11" i="2"/>
  <c r="G15" i="2"/>
  <c r="E14" i="2"/>
  <c r="A26" i="2"/>
  <c r="A44" i="2" s="1"/>
  <c r="C11" i="2"/>
  <c r="B23" i="2" s="1"/>
  <c r="F18" i="2"/>
  <c r="I30" i="2" s="1"/>
  <c r="D15" i="2"/>
  <c r="H27" i="2" s="1"/>
  <c r="A23" i="2"/>
  <c r="A41" i="2"/>
  <c r="J41" i="2" s="1"/>
  <c r="F17" i="2"/>
  <c r="I29" i="2" s="1"/>
  <c r="F13" i="2"/>
  <c r="I25" i="2" s="1"/>
  <c r="A29" i="2"/>
  <c r="A47" i="2"/>
  <c r="E47" i="2" s="1"/>
  <c r="G47" i="2" s="1"/>
  <c r="A25" i="2"/>
  <c r="A43" i="2"/>
  <c r="J43" i="2" s="1"/>
  <c r="G16" i="2"/>
  <c r="C7" i="6"/>
  <c r="C16" i="2" s="1"/>
  <c r="B28" i="2" s="1"/>
  <c r="C12" i="2"/>
  <c r="B24" i="2" s="1"/>
  <c r="B56" i="2" s="1"/>
  <c r="E41" i="2"/>
  <c r="G41" i="2" s="1"/>
  <c r="J47" i="2"/>
  <c r="D12" i="2"/>
  <c r="H24" i="2" s="1"/>
  <c r="J34" i="3"/>
  <c r="F20" i="3"/>
  <c r="F21" i="3"/>
  <c r="F19" i="3"/>
  <c r="D19" i="3"/>
  <c r="D20" i="3"/>
  <c r="D21" i="3"/>
  <c r="A12" i="3"/>
  <c r="F12" i="3" s="1"/>
  <c r="E20" i="3" s="1"/>
  <c r="C32" i="3" s="1"/>
  <c r="C12" i="3"/>
  <c r="B20" i="3" s="1"/>
  <c r="G12" i="3"/>
  <c r="A13" i="3"/>
  <c r="E13" i="3" s="1"/>
  <c r="D13" i="3"/>
  <c r="F13" i="3"/>
  <c r="E21" i="3" s="1"/>
  <c r="C33" i="3" s="1"/>
  <c r="H13" i="3"/>
  <c r="A14" i="3"/>
  <c r="C14" i="3" s="1"/>
  <c r="B12" i="3"/>
  <c r="B13" i="3"/>
  <c r="A11" i="3"/>
  <c r="H11" i="3"/>
  <c r="E12" i="3"/>
  <c r="A21" i="3"/>
  <c r="A33" i="3" s="1"/>
  <c r="B4" i="3"/>
  <c r="B3" i="3"/>
  <c r="B2" i="3"/>
  <c r="C7" i="3"/>
  <c r="B7" i="3"/>
  <c r="C6" i="3"/>
  <c r="B6" i="3"/>
  <c r="F11" i="3"/>
  <c r="E19" i="3" s="1"/>
  <c r="E11" i="3"/>
  <c r="H12" i="3"/>
  <c r="D12" i="3"/>
  <c r="A20" i="3"/>
  <c r="A32" i="3" s="1"/>
  <c r="B11" i="3"/>
  <c r="C11" i="3"/>
  <c r="B19" i="3" s="1"/>
  <c r="G11" i="3"/>
  <c r="A19" i="3"/>
  <c r="A31" i="3" s="1"/>
  <c r="D11" i="3"/>
  <c r="G13" i="3"/>
  <c r="C13" i="3"/>
  <c r="B21" i="3" s="1"/>
  <c r="E51" i="4"/>
  <c r="J51" i="4"/>
  <c r="A12" i="4"/>
  <c r="B12" i="4"/>
  <c r="A13" i="4"/>
  <c r="B13" i="4" s="1"/>
  <c r="A14" i="4"/>
  <c r="B14" i="4"/>
  <c r="A15" i="4"/>
  <c r="E15" i="4" s="1"/>
  <c r="A16" i="4"/>
  <c r="B16" i="4"/>
  <c r="A19" i="4"/>
  <c r="B19" i="4" s="1"/>
  <c r="A17" i="4"/>
  <c r="B17" i="4"/>
  <c r="A18" i="4"/>
  <c r="B18" i="4" s="1"/>
  <c r="A11" i="4"/>
  <c r="B11" i="4"/>
  <c r="C7" i="4"/>
  <c r="B7" i="4"/>
  <c r="C6" i="4"/>
  <c r="B6" i="4"/>
  <c r="B5" i="4"/>
  <c r="F45" i="4" s="1"/>
  <c r="G8" i="8"/>
  <c r="F48" i="4"/>
  <c r="F44" i="4"/>
  <c r="F43" i="4"/>
  <c r="F51" i="4"/>
  <c r="D13" i="4"/>
  <c r="H26" i="4" s="1"/>
  <c r="B4" i="4"/>
  <c r="H17" i="4"/>
  <c r="F14" i="4"/>
  <c r="D17" i="4"/>
  <c r="H30" i="4" s="1"/>
  <c r="H13" i="4"/>
  <c r="A28" i="4"/>
  <c r="A46" i="4" s="1"/>
  <c r="F11" i="4"/>
  <c r="I24" i="4" s="1"/>
  <c r="G19" i="4"/>
  <c r="G17" i="4"/>
  <c r="C17" i="4"/>
  <c r="B30" i="4" s="1"/>
  <c r="E16" i="4"/>
  <c r="C15" i="4"/>
  <c r="B28" i="4" s="1"/>
  <c r="E14" i="4"/>
  <c r="G13" i="4"/>
  <c r="F26" i="4" s="1"/>
  <c r="E12" i="4"/>
  <c r="A31" i="4"/>
  <c r="A49" i="4" s="1"/>
  <c r="A27" i="4"/>
  <c r="A45" i="4"/>
  <c r="J45" i="4" s="1"/>
  <c r="E11" i="4"/>
  <c r="F12" i="4"/>
  <c r="I25" i="4" s="1"/>
  <c r="A24" i="4"/>
  <c r="A42" i="4"/>
  <c r="E42" i="4" s="1"/>
  <c r="C11" i="4"/>
  <c r="B24" i="4" s="1"/>
  <c r="G11" i="4"/>
  <c r="F19" i="4"/>
  <c r="H18" i="4"/>
  <c r="D18" i="4"/>
  <c r="H31" i="4" s="1"/>
  <c r="F17" i="4"/>
  <c r="H16" i="4"/>
  <c r="D16" i="4"/>
  <c r="H29" i="4" s="1"/>
  <c r="F15" i="4"/>
  <c r="I28" i="4" s="1"/>
  <c r="H14" i="4"/>
  <c r="D14" i="4"/>
  <c r="H27" i="4" s="1"/>
  <c r="F13" i="4"/>
  <c r="I26" i="4" s="1"/>
  <c r="H12" i="4"/>
  <c r="D12" i="4"/>
  <c r="H25" i="4" s="1"/>
  <c r="A30" i="4"/>
  <c r="A48" i="4" s="1"/>
  <c r="A26" i="4"/>
  <c r="A44" i="4" s="1"/>
  <c r="F16" i="4"/>
  <c r="I29" i="4" s="1"/>
  <c r="D11" i="4"/>
  <c r="H24" i="4" s="1"/>
  <c r="H11" i="4"/>
  <c r="E19" i="4"/>
  <c r="G18" i="4"/>
  <c r="C18" i="4"/>
  <c r="B31" i="4" s="1"/>
  <c r="E17" i="4"/>
  <c r="G16" i="4"/>
  <c r="C16" i="4"/>
  <c r="B29" i="4" s="1"/>
  <c r="G14" i="4"/>
  <c r="C14" i="4"/>
  <c r="B27" i="4" s="1"/>
  <c r="G12" i="4"/>
  <c r="C12" i="4"/>
  <c r="B25" i="4" s="1"/>
  <c r="A29" i="4"/>
  <c r="A47" i="4" s="1"/>
  <c r="A25" i="4"/>
  <c r="A43" i="4" s="1"/>
  <c r="J42" i="4"/>
  <c r="I27" i="4"/>
  <c r="I30" i="4"/>
  <c r="B3" i="4"/>
  <c r="E13" i="4"/>
  <c r="G12" i="2"/>
  <c r="F24" i="2" s="1"/>
  <c r="F56" i="2" s="1"/>
  <c r="B3" i="2"/>
  <c r="B2" i="4"/>
  <c r="D26" i="4"/>
  <c r="E12" i="2"/>
  <c r="D24" i="2" s="1"/>
  <c r="D56" i="2" s="1"/>
  <c r="T23" i="19"/>
  <c r="V24" i="19"/>
  <c r="B4" i="17"/>
  <c r="T24" i="19"/>
  <c r="V23" i="19"/>
  <c r="T29" i="19"/>
  <c r="V30" i="19"/>
  <c r="T30" i="19"/>
  <c r="V29" i="19"/>
  <c r="B3" i="17"/>
  <c r="C3" i="17" l="1"/>
  <c r="C4" i="17" s="1"/>
  <c r="D4" i="6" s="1"/>
  <c r="V31" i="19"/>
  <c r="V44" i="19" s="1"/>
  <c r="V56" i="19" s="1"/>
  <c r="V45" i="19"/>
  <c r="V57" i="19" s="1"/>
  <c r="T31" i="19"/>
  <c r="T44" i="19" s="1"/>
  <c r="T56" i="19" s="1"/>
  <c r="V25" i="19"/>
  <c r="V39" i="19" s="1"/>
  <c r="V51" i="19" s="1"/>
  <c r="U51" i="19" s="1"/>
  <c r="C4" i="6"/>
  <c r="C13" i="2" s="1"/>
  <c r="B25" i="2" s="1"/>
  <c r="B57" i="2" s="1"/>
  <c r="T25" i="19"/>
  <c r="T40" i="19" s="1"/>
  <c r="T52" i="19" s="1"/>
  <c r="S52" i="19" s="1"/>
  <c r="E44" i="2"/>
  <c r="G44" i="2" s="1"/>
  <c r="J44" i="2"/>
  <c r="L21" i="18"/>
  <c r="C3" i="20" s="1"/>
  <c r="L22" i="18"/>
  <c r="C4" i="20" s="1"/>
  <c r="E45" i="2"/>
  <c r="G45" i="2" s="1"/>
  <c r="J45" i="2"/>
  <c r="E42" i="2"/>
  <c r="G42" i="2" s="1"/>
  <c r="J42" i="2"/>
  <c r="N22" i="18"/>
  <c r="E4" i="20" s="1"/>
  <c r="N21" i="18"/>
  <c r="E3" i="20" s="1"/>
  <c r="J49" i="4"/>
  <c r="E49" i="4"/>
  <c r="J44" i="4"/>
  <c r="E44" i="4"/>
  <c r="E46" i="4"/>
  <c r="J46" i="4"/>
  <c r="E31" i="3"/>
  <c r="G31" i="3" s="1"/>
  <c r="J31" i="3"/>
  <c r="E34" i="3"/>
  <c r="G34" i="3" s="1"/>
  <c r="E32" i="3"/>
  <c r="G32" i="3" s="1"/>
  <c r="J32" i="3"/>
  <c r="J33" i="3"/>
  <c r="E33" i="3"/>
  <c r="G33" i="3" s="1"/>
  <c r="E48" i="2"/>
  <c r="G48" i="2" s="1"/>
  <c r="J48" i="2"/>
  <c r="E47" i="4"/>
  <c r="J47" i="4"/>
  <c r="E43" i="4"/>
  <c r="J43" i="4"/>
  <c r="J48" i="4"/>
  <c r="E48" i="4"/>
  <c r="D27" i="4"/>
  <c r="C13" i="4"/>
  <c r="B26" i="4" s="1"/>
  <c r="G15" i="4"/>
  <c r="E18" i="4"/>
  <c r="B15" i="4"/>
  <c r="D15" i="4"/>
  <c r="H28" i="4" s="1"/>
  <c r="H19" i="4"/>
  <c r="H15" i="4"/>
  <c r="F42" i="4"/>
  <c r="F47" i="4"/>
  <c r="F14" i="3"/>
  <c r="D14" i="3"/>
  <c r="C21" i="3" s="1"/>
  <c r="E45" i="4"/>
  <c r="G45" i="4" s="1"/>
  <c r="C26" i="4"/>
  <c r="B44" i="4" s="1"/>
  <c r="D31" i="4"/>
  <c r="C19" i="4"/>
  <c r="F18" i="4"/>
  <c r="I31" i="4" s="1"/>
  <c r="D19" i="4"/>
  <c r="F46" i="4"/>
  <c r="F49" i="4"/>
  <c r="B14" i="3"/>
  <c r="H14" i="3"/>
  <c r="E14" i="3"/>
  <c r="G14" i="3"/>
  <c r="E43" i="2"/>
  <c r="G43" i="2" s="1"/>
  <c r="D28" i="4"/>
  <c r="C20" i="3"/>
  <c r="B32" i="3" s="1"/>
  <c r="D32" i="3" s="1"/>
  <c r="D25" i="4"/>
  <c r="D30" i="4"/>
  <c r="F30" i="4" s="1"/>
  <c r="E30" i="4" s="1"/>
  <c r="C48" i="4" s="1"/>
  <c r="D48" i="4" s="1"/>
  <c r="C19" i="3"/>
  <c r="G46" i="4"/>
  <c r="G47" i="4"/>
  <c r="G44" i="4"/>
  <c r="G48" i="4"/>
  <c r="G42" i="4"/>
  <c r="G43" i="4"/>
  <c r="F50" i="4"/>
  <c r="E50" i="4"/>
  <c r="G51" i="4"/>
  <c r="C28" i="4"/>
  <c r="B46" i="4" s="1"/>
  <c r="F28" i="4"/>
  <c r="E28" i="4" s="1"/>
  <c r="C46" i="4" s="1"/>
  <c r="F27" i="4"/>
  <c r="E27" i="4" s="1"/>
  <c r="C45" i="4" s="1"/>
  <c r="C27" i="4"/>
  <c r="B45" i="4" s="1"/>
  <c r="C30" i="4"/>
  <c r="B48" i="4" s="1"/>
  <c r="E26" i="4"/>
  <c r="C44" i="4" s="1"/>
  <c r="F25" i="4"/>
  <c r="E25" i="4" s="1"/>
  <c r="C43" i="4" s="1"/>
  <c r="C25" i="4"/>
  <c r="B43" i="4" s="1"/>
  <c r="C31" i="4"/>
  <c r="B49" i="4" s="1"/>
  <c r="F31" i="4"/>
  <c r="E31" i="4" s="1"/>
  <c r="C49" i="4" s="1"/>
  <c r="D46" i="4"/>
  <c r="D44" i="4"/>
  <c r="B31" i="3"/>
  <c r="B26" i="3"/>
  <c r="C31" i="3"/>
  <c r="C24" i="2"/>
  <c r="B42" i="2" s="1"/>
  <c r="E24" i="2"/>
  <c r="D29" i="2"/>
  <c r="B60" i="2"/>
  <c r="F28" i="2"/>
  <c r="D28" i="2"/>
  <c r="B59" i="2"/>
  <c r="D27" i="2"/>
  <c r="F27" i="2"/>
  <c r="B55" i="2"/>
  <c r="D23" i="2"/>
  <c r="F23" i="2"/>
  <c r="F26" i="2"/>
  <c r="B58" i="2"/>
  <c r="D26" i="2"/>
  <c r="D30" i="2"/>
  <c r="B62" i="2"/>
  <c r="F30" i="2"/>
  <c r="B4" i="2"/>
  <c r="F29" i="2"/>
  <c r="F61" i="2" s="1"/>
  <c r="K32" i="3"/>
  <c r="H32" i="3" s="1"/>
  <c r="B33" i="3" l="1"/>
  <c r="D33" i="3" s="1"/>
  <c r="K33" i="3" s="1"/>
  <c r="H33" i="3" s="1"/>
  <c r="A26" i="3"/>
  <c r="S56" i="19"/>
  <c r="U56" i="19"/>
  <c r="U62" i="19" s="1"/>
  <c r="D10" i="20" s="1"/>
  <c r="D17" i="20" s="1"/>
  <c r="V62" i="19"/>
  <c r="E10" i="20" s="1"/>
  <c r="E17" i="20" s="1"/>
  <c r="V40" i="19"/>
  <c r="V52" i="19" s="1"/>
  <c r="U52" i="19" s="1"/>
  <c r="T45" i="19"/>
  <c r="T57" i="19" s="1"/>
  <c r="G49" i="4"/>
  <c r="G50" i="4" s="1"/>
  <c r="D24" i="4"/>
  <c r="D45" i="4"/>
  <c r="T39" i="19"/>
  <c r="T51" i="19" s="1"/>
  <c r="S51" i="19" s="1"/>
  <c r="V63" i="19"/>
  <c r="E9" i="20" s="1"/>
  <c r="E16" i="20" s="1"/>
  <c r="U57" i="19"/>
  <c r="U63" i="19" s="1"/>
  <c r="D9" i="20" s="1"/>
  <c r="D16" i="20" s="1"/>
  <c r="B2" i="2"/>
  <c r="C23" i="2" s="1"/>
  <c r="D13" i="2"/>
  <c r="K44" i="4"/>
  <c r="I44" i="4" s="1"/>
  <c r="K45" i="4"/>
  <c r="I45" i="4" s="1"/>
  <c r="K46" i="4"/>
  <c r="I46" i="4" s="1"/>
  <c r="D49" i="4"/>
  <c r="K48" i="4"/>
  <c r="I48" i="4" s="1"/>
  <c r="D43" i="4"/>
  <c r="D31" i="3"/>
  <c r="B34" i="3"/>
  <c r="C56" i="2"/>
  <c r="C29" i="2"/>
  <c r="D61" i="2"/>
  <c r="C42" i="2"/>
  <c r="D42" i="2" s="1"/>
  <c r="E56" i="2"/>
  <c r="G56" i="2" s="1"/>
  <c r="H56" i="2" s="1"/>
  <c r="C26" i="2"/>
  <c r="D58" i="2"/>
  <c r="D55" i="2"/>
  <c r="E29" i="2"/>
  <c r="E30" i="2"/>
  <c r="F62" i="2"/>
  <c r="C28" i="2"/>
  <c r="D60" i="2"/>
  <c r="E26" i="2"/>
  <c r="F58" i="2"/>
  <c r="E27" i="2"/>
  <c r="F59" i="2"/>
  <c r="F60" i="2"/>
  <c r="E28" i="2"/>
  <c r="D62" i="2"/>
  <c r="C30" i="2"/>
  <c r="E23" i="2"/>
  <c r="F55" i="2"/>
  <c r="C27" i="2"/>
  <c r="D59" i="2"/>
  <c r="I32" i="3"/>
  <c r="I33" i="3"/>
  <c r="H25" i="2" l="1"/>
  <c r="C25" i="2"/>
  <c r="S62" i="19"/>
  <c r="B10" i="20" s="1"/>
  <c r="B17" i="20" s="1"/>
  <c r="C24" i="4"/>
  <c r="B42" i="4" s="1"/>
  <c r="F24" i="4"/>
  <c r="E24" i="4" s="1"/>
  <c r="T62" i="19"/>
  <c r="C10" i="20" s="1"/>
  <c r="C17" i="20" s="1"/>
  <c r="T63" i="19"/>
  <c r="C9" i="20" s="1"/>
  <c r="C16" i="20" s="1"/>
  <c r="S57" i="19"/>
  <c r="S63" i="19" s="1"/>
  <c r="B9" i="20" s="1"/>
  <c r="B16" i="20" s="1"/>
  <c r="H45" i="4"/>
  <c r="H44" i="4"/>
  <c r="H48" i="4"/>
  <c r="K43" i="4"/>
  <c r="I43" i="4" s="1"/>
  <c r="K49" i="4"/>
  <c r="I49" i="4" s="1"/>
  <c r="H46" i="4"/>
  <c r="D34" i="3"/>
  <c r="K34" i="3" s="1"/>
  <c r="K31" i="3"/>
  <c r="C61" i="2"/>
  <c r="B47" i="2"/>
  <c r="L42" i="2"/>
  <c r="K42" i="2"/>
  <c r="C45" i="2"/>
  <c r="E59" i="2"/>
  <c r="G59" i="2" s="1"/>
  <c r="E61" i="2"/>
  <c r="G61" i="2" s="1"/>
  <c r="C47" i="2"/>
  <c r="D47" i="2" s="1"/>
  <c r="B44" i="2"/>
  <c r="C58" i="2"/>
  <c r="E55" i="2"/>
  <c r="G55" i="2" s="1"/>
  <c r="C41" i="2"/>
  <c r="C46" i="2"/>
  <c r="E60" i="2"/>
  <c r="G60" i="2" s="1"/>
  <c r="C48" i="2"/>
  <c r="E62" i="2"/>
  <c r="G62" i="2" s="1"/>
  <c r="C55" i="2"/>
  <c r="B41" i="2"/>
  <c r="A35" i="2"/>
  <c r="B48" i="2"/>
  <c r="C62" i="2"/>
  <c r="E58" i="2"/>
  <c r="G58" i="2" s="1"/>
  <c r="C44" i="2"/>
  <c r="B45" i="2"/>
  <c r="C59" i="2"/>
  <c r="H59" i="2" s="1"/>
  <c r="C60" i="2"/>
  <c r="H60" i="2" s="1"/>
  <c r="B46" i="2"/>
  <c r="D46" i="2" s="1"/>
  <c r="B43" i="2" l="1"/>
  <c r="D25" i="2"/>
  <c r="C57" i="2"/>
  <c r="C42" i="4"/>
  <c r="D29" i="4"/>
  <c r="B36" i="4"/>
  <c r="H49" i="4"/>
  <c r="H43" i="4"/>
  <c r="H31" i="3"/>
  <c r="I31" i="3"/>
  <c r="H34" i="3"/>
  <c r="I34" i="3"/>
  <c r="H61" i="2"/>
  <c r="D45" i="2"/>
  <c r="L45" i="2" s="1"/>
  <c r="I42" i="2"/>
  <c r="H42" i="2"/>
  <c r="H62" i="2"/>
  <c r="D41" i="2"/>
  <c r="B49" i="2"/>
  <c r="L47" i="2"/>
  <c r="K47" i="2"/>
  <c r="I47" i="2" s="1"/>
  <c r="D48" i="2"/>
  <c r="H55" i="2"/>
  <c r="L46" i="2"/>
  <c r="K46" i="2"/>
  <c r="H58" i="2"/>
  <c r="D44" i="2"/>
  <c r="D57" i="2" l="1"/>
  <c r="F25" i="2"/>
  <c r="C29" i="4"/>
  <c r="F29" i="4"/>
  <c r="E29" i="4" s="1"/>
  <c r="C47" i="4" s="1"/>
  <c r="C50" i="4"/>
  <c r="C51" i="4" s="1"/>
  <c r="D42" i="4"/>
  <c r="K45" i="2"/>
  <c r="I45" i="2" s="1"/>
  <c r="H47" i="2"/>
  <c r="H46" i="2"/>
  <c r="I46" i="2"/>
  <c r="L44" i="2"/>
  <c r="K44" i="2"/>
  <c r="L41" i="2"/>
  <c r="K41" i="2"/>
  <c r="L48" i="2"/>
  <c r="K48" i="2"/>
  <c r="H45" i="2"/>
  <c r="A36" i="4" l="1"/>
  <c r="C36" i="4"/>
  <c r="B47" i="4"/>
  <c r="E25" i="2"/>
  <c r="F57" i="2"/>
  <c r="D50" i="4"/>
  <c r="K42" i="4"/>
  <c r="H44" i="2"/>
  <c r="I44" i="2"/>
  <c r="H41" i="2"/>
  <c r="I41" i="2"/>
  <c r="H48" i="2"/>
  <c r="I48" i="2"/>
  <c r="B35" i="2" l="1"/>
  <c r="C35" i="2"/>
  <c r="E57" i="2"/>
  <c r="G57" i="2" s="1"/>
  <c r="H57" i="2" s="1"/>
  <c r="H63" i="2" s="1"/>
  <c r="K63" i="2" s="1"/>
  <c r="C43" i="2"/>
  <c r="K50" i="4"/>
  <c r="I50" i="4" s="1"/>
  <c r="D51" i="4"/>
  <c r="K51" i="4" s="1"/>
  <c r="I51" i="4" s="1"/>
  <c r="I42" i="4"/>
  <c r="H42" i="4"/>
  <c r="B50" i="4"/>
  <c r="B51" i="4" s="1"/>
  <c r="D47" i="4"/>
  <c r="K47" i="4" s="1"/>
  <c r="I47" i="4" s="1"/>
  <c r="H47" i="4" l="1"/>
  <c r="H50" i="4"/>
  <c r="H51" i="4"/>
  <c r="D43" i="2"/>
  <c r="C49" i="2"/>
  <c r="K43" i="2" l="1"/>
  <c r="I43" i="2" s="1"/>
  <c r="L43" i="2"/>
  <c r="D49" i="2"/>
  <c r="H43" i="2"/>
  <c r="K49" i="2" l="1"/>
  <c r="I49" i="2" s="1"/>
  <c r="L49" i="2"/>
  <c r="H49" i="2" l="1"/>
</calcChain>
</file>

<file path=xl/sharedStrings.xml><?xml version="1.0" encoding="utf-8"?>
<sst xmlns="http://schemas.openxmlformats.org/spreadsheetml/2006/main" count="1070" uniqueCount="257">
  <si>
    <t>Average Retained weight</t>
  </si>
  <si>
    <t>Average released Weight</t>
  </si>
  <si>
    <t>Average Release Probability (#)</t>
  </si>
  <si>
    <t>Recreational Discard Mortality</t>
  </si>
  <si>
    <t>Commercial Discard Mortality</t>
  </si>
  <si>
    <t>Avg</t>
  </si>
  <si>
    <t>None</t>
  </si>
  <si>
    <t>Prop</t>
  </si>
  <si>
    <t>% of total weight reconstructed</t>
  </si>
  <si>
    <t>Retained weight</t>
  </si>
  <si>
    <t>Released weight</t>
  </si>
  <si>
    <t>Total weight</t>
  </si>
  <si>
    <t>pol-89a</t>
  </si>
  <si>
    <t>pol-nsea</t>
  </si>
  <si>
    <t>Discard mortality</t>
  </si>
  <si>
    <t>Summary with post release mortalities</t>
  </si>
  <si>
    <t>Total</t>
  </si>
  <si>
    <t>Total ICES</t>
  </si>
  <si>
    <t>Parameters</t>
  </si>
  <si>
    <t>Value</t>
  </si>
  <si>
    <t>Source</t>
  </si>
  <si>
    <t>Commercial discard to landings ratio</t>
  </si>
  <si>
    <t>Init data</t>
  </si>
  <si>
    <t>Country</t>
  </si>
  <si>
    <t>Recreational data year</t>
  </si>
  <si>
    <t>Angler Numbers</t>
  </si>
  <si>
    <t>Retained Number</t>
  </si>
  <si>
    <t>Released Number</t>
  </si>
  <si>
    <t>Source/notes</t>
  </si>
  <si>
    <t>Reconstruction</t>
  </si>
  <si>
    <t>Calculations</t>
  </si>
  <si>
    <t>Angler numbers</t>
  </si>
  <si>
    <t>Notes</t>
  </si>
  <si>
    <t>Reconstructed retained?</t>
  </si>
  <si>
    <t>Reconstructed released?</t>
  </si>
  <si>
    <t>Retained Wt</t>
  </si>
  <si>
    <t>Retained # calculation</t>
  </si>
  <si>
    <t>Released # calculation</t>
  </si>
  <si>
    <t>EN</t>
  </si>
  <si>
    <t>Released Weight</t>
  </si>
  <si>
    <t>France kind of reconstructed so may be more uncertain</t>
  </si>
  <si>
    <t>Recreational</t>
  </si>
  <si>
    <t>Commercial</t>
  </si>
  <si>
    <t>% of catch</t>
  </si>
  <si>
    <t>Kept</t>
  </si>
  <si>
    <t>Released mortality</t>
  </si>
  <si>
    <t>Removal</t>
  </si>
  <si>
    <t>Landings</t>
  </si>
  <si>
    <t>Total removal</t>
  </si>
  <si>
    <t>Total (ICES)</t>
  </si>
  <si>
    <t>Leave-one-out (* = countries used in leave-one-out procedure)</t>
  </si>
  <si>
    <t>Dead releases</t>
  </si>
  <si>
    <t>Upper confidence limit</t>
  </si>
  <si>
    <t>Lower confidence limit</t>
  </si>
  <si>
    <t>Result</t>
  </si>
  <si>
    <t>Total (LOO)</t>
  </si>
  <si>
    <t>Y</t>
  </si>
  <si>
    <t>NA</t>
  </si>
  <si>
    <t>FR</t>
  </si>
  <si>
    <t>EN + T</t>
  </si>
  <si>
    <t>Prop + T</t>
  </si>
  <si>
    <t>2012 landings</t>
  </si>
  <si>
    <t>Year</t>
  </si>
  <si>
    <t>Anglers</t>
  </si>
  <si>
    <t>Kept Wt.</t>
  </si>
  <si>
    <t>Kept #</t>
  </si>
  <si>
    <t>Released Wt.</t>
  </si>
  <si>
    <t>Released #</t>
  </si>
  <si>
    <t>Channel Islands</t>
  </si>
  <si>
    <t>England</t>
  </si>
  <si>
    <t>France</t>
  </si>
  <si>
    <t>2009-2011</t>
  </si>
  <si>
    <t>2015 regional population * France participation rate (Hyder et al. 2018). Landings calculated from CPUE &amp; total France landings from Herfaut et al. 2013</t>
  </si>
  <si>
    <t>Ireland</t>
  </si>
  <si>
    <t>Isle of Man</t>
  </si>
  <si>
    <t>Northern Ireland</t>
  </si>
  <si>
    <t>2011 Population from UK Census * UK participation rate (Hyder et al. 2018)</t>
  </si>
  <si>
    <t>Scotland</t>
  </si>
  <si>
    <t>Wales</t>
  </si>
  <si>
    <t>France (Whole)</t>
  </si>
  <si>
    <t>Portugal</t>
  </si>
  <si>
    <t>Spain</t>
  </si>
  <si>
    <t>Belgium</t>
  </si>
  <si>
    <t>Denmark</t>
  </si>
  <si>
    <t>Germany</t>
  </si>
  <si>
    <t>Netherlands</t>
  </si>
  <si>
    <t>Norway</t>
  </si>
  <si>
    <t>Norway Tourism</t>
  </si>
  <si>
    <t>Tourism south of 62°. Release prop in Ferter et al. 2013 used to calculate total # caught &amp; subsequently ret + rel #</t>
  </si>
  <si>
    <t>Sweden</t>
  </si>
  <si>
    <t>Estonia</t>
  </si>
  <si>
    <t>Greenland</t>
  </si>
  <si>
    <t>Total (ICES &amp; MMO)</t>
  </si>
  <si>
    <t>Biscay</t>
  </si>
  <si>
    <t>Iberian</t>
  </si>
  <si>
    <t>UK</t>
  </si>
  <si>
    <t>Subarea 3a</t>
  </si>
  <si>
    <t>Subarea 4</t>
  </si>
  <si>
    <t>Faeroes</t>
  </si>
  <si>
    <t>Poland</t>
  </si>
  <si>
    <t>Precautionary value due to lack of data</t>
  </si>
  <si>
    <t>pol.26.67</t>
  </si>
  <si>
    <t>Region</t>
  </si>
  <si>
    <t>ICES area</t>
  </si>
  <si>
    <t>Init No. of boats</t>
  </si>
  <si>
    <t>No. of boats in pop</t>
  </si>
  <si>
    <t>Proportion represented</t>
  </si>
  <si>
    <t>Central North Sea</t>
  </si>
  <si>
    <t>27.4.b</t>
  </si>
  <si>
    <t>Southern North Sea</t>
  </si>
  <si>
    <t>27.4.c</t>
  </si>
  <si>
    <t>Irish Sea</t>
  </si>
  <si>
    <t>27.7.a</t>
  </si>
  <si>
    <t>Avg ret</t>
  </si>
  <si>
    <t>Avg rel</t>
  </si>
  <si>
    <t>Eastern channel</t>
  </si>
  <si>
    <t>27.7.d</t>
  </si>
  <si>
    <t>From study</t>
  </si>
  <si>
    <t>Western Channel</t>
  </si>
  <si>
    <t>27.7.e</t>
  </si>
  <si>
    <t>Celtic Sea</t>
  </si>
  <si>
    <t>27.7.f</t>
  </si>
  <si>
    <t>kept (wt)</t>
  </si>
  <si>
    <t>kept (#)</t>
  </si>
  <si>
    <t>rse</t>
  </si>
  <si>
    <t>Released (wt)</t>
  </si>
  <si>
    <t>released (#)</t>
  </si>
  <si>
    <t>Stock</t>
  </si>
  <si>
    <t>Kept wt</t>
  </si>
  <si>
    <t>kept #</t>
  </si>
  <si>
    <t>Released wt</t>
  </si>
  <si>
    <t>North</t>
  </si>
  <si>
    <t>Celtic</t>
  </si>
  <si>
    <t xml:space="preserve">4B </t>
  </si>
  <si>
    <t>Central north sea</t>
  </si>
  <si>
    <t>4C</t>
  </si>
  <si>
    <t>7e</t>
  </si>
  <si>
    <t>7d</t>
  </si>
  <si>
    <t>Eastern Channel</t>
  </si>
  <si>
    <t>7f</t>
  </si>
  <si>
    <t>Total kept catch weight</t>
  </si>
  <si>
    <t>Total released catch weight</t>
  </si>
  <si>
    <t>Species</t>
  </si>
  <si>
    <t>Area 4b</t>
  </si>
  <si>
    <t>Area 4c</t>
  </si>
  <si>
    <t>Area VIId</t>
  </si>
  <si>
    <t>Area VIIe</t>
  </si>
  <si>
    <t>Area VIIf</t>
  </si>
  <si>
    <t>bass</t>
  </si>
  <si>
    <t>cod</t>
  </si>
  <si>
    <t>conger</t>
  </si>
  <si>
    <t>dab</t>
  </si>
  <si>
    <t>dogfish</t>
  </si>
  <si>
    <t>Eur eel</t>
  </si>
  <si>
    <t>flounder</t>
  </si>
  <si>
    <t>mackerel</t>
  </si>
  <si>
    <t>turbot&amp;brill</t>
  </si>
  <si>
    <t>other</t>
  </si>
  <si>
    <t>plaice</t>
  </si>
  <si>
    <t>ling</t>
  </si>
  <si>
    <t>pollack</t>
  </si>
  <si>
    <t>saithe</t>
  </si>
  <si>
    <t>seabream</t>
  </si>
  <si>
    <t>skates_rays</t>
  </si>
  <si>
    <t>smooth hound</t>
  </si>
  <si>
    <t>tope</t>
  </si>
  <si>
    <t>whiting</t>
  </si>
  <si>
    <t>bib</t>
  </si>
  <si>
    <t>wrasse</t>
  </si>
  <si>
    <t>Shore</t>
  </si>
  <si>
    <t>Boat</t>
  </si>
  <si>
    <t>IFCA Region</t>
  </si>
  <si>
    <t>Effort</t>
  </si>
  <si>
    <t>CPUE</t>
  </si>
  <si>
    <t>Catch (#)</t>
  </si>
  <si>
    <t>CPUE #</t>
  </si>
  <si>
    <t>NW</t>
  </si>
  <si>
    <t>Celt</t>
  </si>
  <si>
    <t>CO</t>
  </si>
  <si>
    <t>DS&amp;A</t>
  </si>
  <si>
    <t>Row Labels</t>
  </si>
  <si>
    <t>Sum of Catch (#)</t>
  </si>
  <si>
    <t>DS&amp;B</t>
  </si>
  <si>
    <t>SO</t>
  </si>
  <si>
    <t>Average weights</t>
  </si>
  <si>
    <t>SU</t>
  </si>
  <si>
    <t>Grand Total</t>
  </si>
  <si>
    <t>KE</t>
  </si>
  <si>
    <t>Rel</t>
  </si>
  <si>
    <t>EA-1</t>
  </si>
  <si>
    <t>EA-2</t>
  </si>
  <si>
    <t>EA-3</t>
  </si>
  <si>
    <t>EA-4</t>
  </si>
  <si>
    <t>NE</t>
  </si>
  <si>
    <t>NM</t>
  </si>
  <si>
    <t>Shore % rel</t>
  </si>
  <si>
    <t>Boat % rel</t>
  </si>
  <si>
    <t>Study total</t>
  </si>
  <si>
    <t>Unraised</t>
  </si>
  <si>
    <t>Quarter</t>
  </si>
  <si>
    <t>Rel wt</t>
  </si>
  <si>
    <t>Rel #</t>
  </si>
  <si>
    <t>Q1</t>
  </si>
  <si>
    <t>Q2</t>
  </si>
  <si>
    <t>Q3</t>
  </si>
  <si>
    <t>Q4</t>
  </si>
  <si>
    <t>Proportions</t>
  </si>
  <si>
    <t>K&amp;E</t>
  </si>
  <si>
    <t>Boat + shore</t>
  </si>
  <si>
    <t>Charter</t>
  </si>
  <si>
    <t>Combined</t>
  </si>
  <si>
    <t>Participation rate</t>
  </si>
  <si>
    <t>Hyder et al., 2017</t>
  </si>
  <si>
    <t>Pop source</t>
  </si>
  <si>
    <t>Area</t>
  </si>
  <si>
    <t>Population 2015</t>
  </si>
  <si>
    <t>No. of fishers</t>
  </si>
  <si>
    <t>Île-de-France</t>
  </si>
  <si>
    <t>Inland</t>
  </si>
  <si>
    <t>Auvergne-Rhône-Alpes</t>
  </si>
  <si>
    <t>Hauts-de-France</t>
  </si>
  <si>
    <t>Channel</t>
  </si>
  <si>
    <t>Nouvelle-Aquitaine</t>
  </si>
  <si>
    <t>Occitanie</t>
  </si>
  <si>
    <t>Med</t>
  </si>
  <si>
    <t>Grand Est</t>
  </si>
  <si>
    <t>Provence-Alpes-Côte d'Azur</t>
  </si>
  <si>
    <t>Pays de la Loire</t>
  </si>
  <si>
    <t>Normandy</t>
  </si>
  <si>
    <t>Brittany (Chan)</t>
  </si>
  <si>
    <t>Brittany (Bisc)</t>
  </si>
  <si>
    <t>Bourgogne-Franche-Comté</t>
  </si>
  <si>
    <t>Centre-Val de Loire</t>
  </si>
  <si>
    <t>Réunion</t>
  </si>
  <si>
    <t>Island</t>
  </si>
  <si>
    <t>Guadeloupe</t>
  </si>
  <si>
    <t>Martinique</t>
  </si>
  <si>
    <t>Corsica</t>
  </si>
  <si>
    <t>French Guiana</t>
  </si>
  <si>
    <t>Colony</t>
  </si>
  <si>
    <t>Mayotte</t>
  </si>
  <si>
    <t>Zeilenbeschriftungen</t>
  </si>
  <si>
    <t>Sum of No. of fishers</t>
  </si>
  <si>
    <t>Gesamtergebnis</t>
  </si>
  <si>
    <t>France (Biscay)</t>
  </si>
  <si>
    <t>France (Channel)</t>
  </si>
  <si>
    <t>WGNSSK (2017)</t>
  </si>
  <si>
    <t>2014 Population from World Bank (World Bank, 2017) * UK participation rate (Hyder et al. 2018)</t>
  </si>
  <si>
    <t>Herfault et al. (2013)</t>
  </si>
  <si>
    <t>Armstrong et al. (2013)</t>
  </si>
  <si>
    <t>Vølstad et al. (2011); Ferter et al. (2013)</t>
  </si>
  <si>
    <t>WGCSE (2017)</t>
  </si>
  <si>
    <t>WGCSE (2017); MMO (2012)</t>
  </si>
  <si>
    <t>MMO (2012)</t>
  </si>
  <si>
    <t>WGBIE (2017)</t>
  </si>
  <si>
    <t>Armstrong et al (2013)</t>
  </si>
  <si>
    <t>Insee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</si>
</sst>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7" borderId="2" applyNumberFormat="0" applyAlignment="0" applyProtection="0"/>
  </cellStyleXfs>
  <cellXfs count="65">
    <xf numFmtId="0" fontId="0" fillId="0" borderId="0" xfId="0"/>
    <xf numFmtId="2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Alignment="1"/>
    <xf numFmtId="1" fontId="0" fillId="0" borderId="0" xfId="0" applyNumberFormat="1" applyAlignment="1">
      <alignment horizontal="center"/>
    </xf>
    <xf numFmtId="10" fontId="0" fillId="0" borderId="0" xfId="0" applyNumberFormat="1"/>
    <xf numFmtId="4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10" fontId="2" fillId="3" borderId="0" xfId="0" applyNumberFormat="1" applyFont="1" applyFill="1"/>
    <xf numFmtId="4" fontId="2" fillId="3" borderId="0" xfId="0" applyNumberFormat="1" applyFont="1" applyFill="1"/>
    <xf numFmtId="0" fontId="3" fillId="2" borderId="0" xfId="1" applyFont="1"/>
    <xf numFmtId="164" fontId="3" fillId="2" borderId="0" xfId="1" applyNumberFormat="1" applyFont="1" applyAlignment="1">
      <alignment horizontal="center"/>
    </xf>
    <xf numFmtId="10" fontId="3" fillId="2" borderId="0" xfId="1" applyNumberFormat="1" applyFont="1"/>
    <xf numFmtId="4" fontId="3" fillId="2" borderId="0" xfId="1" applyNumberFormat="1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pivotButton="1"/>
    <xf numFmtId="0" fontId="0" fillId="0" borderId="0" xfId="0" applyNumberFormat="1"/>
    <xf numFmtId="2" fontId="0" fillId="0" borderId="0" xfId="0" applyNumberFormat="1" applyBorder="1"/>
    <xf numFmtId="0" fontId="1" fillId="2" borderId="0" xfId="1"/>
    <xf numFmtId="0" fontId="2" fillId="5" borderId="0" xfId="0" applyFont="1" applyFill="1"/>
    <xf numFmtId="0" fontId="0" fillId="5" borderId="0" xfId="0" applyFill="1"/>
    <xf numFmtId="10" fontId="2" fillId="5" borderId="0" xfId="0" applyNumberFormat="1" applyFont="1" applyFill="1"/>
    <xf numFmtId="0" fontId="4" fillId="4" borderId="0" xfId="2"/>
    <xf numFmtId="3" fontId="4" fillId="4" borderId="0" xfId="2" applyNumberFormat="1"/>
    <xf numFmtId="0" fontId="0" fillId="6" borderId="0" xfId="0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5" fillId="7" borderId="2" xfId="3"/>
    <xf numFmtId="0" fontId="5" fillId="7" borderId="2" xfId="3" applyAlignment="1">
      <alignment horizontal="left"/>
    </xf>
    <xf numFmtId="0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top"/>
    </xf>
    <xf numFmtId="2" fontId="6" fillId="0" borderId="0" xfId="0" applyNumberFormat="1" applyFont="1"/>
    <xf numFmtId="0" fontId="7" fillId="0" borderId="0" xfId="0" applyFont="1"/>
    <xf numFmtId="2" fontId="0" fillId="0" borderId="0" xfId="0" applyNumberFormat="1" applyFont="1"/>
    <xf numFmtId="165" fontId="6" fillId="0" borderId="0" xfId="0" applyNumberFormat="1" applyFont="1" applyAlignment="1">
      <alignment horizontal="center"/>
    </xf>
    <xf numFmtId="10" fontId="6" fillId="0" borderId="0" xfId="0" applyNumberFormat="1" applyFont="1"/>
    <xf numFmtId="0" fontId="3" fillId="2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3" fontId="4" fillId="0" borderId="0" xfId="2" applyNumberFormat="1" applyFill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  <xf numFmtId="0" fontId="5" fillId="7" borderId="2" xfId="3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Output" xfId="3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133350</xdr:rowOff>
    </xdr:from>
    <xdr:to>
      <xdr:col>13</xdr:col>
      <xdr:colOff>256694</xdr:colOff>
      <xdr:row>21</xdr:row>
      <xdr:rowOff>75731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ACB7F29-01D0-4A09-BDE2-63FB58909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323850"/>
          <a:ext cx="3847619" cy="37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50.66431064815" createdVersion="6" refreshedVersion="6" minRefreshableVersion="3" recordCount="13" xr:uid="{00000000-000A-0000-FFFF-FFFF00000000}">
  <cacheSource type="worksheet">
    <worksheetSource ref="J2:N15" sheet="England boat + shore"/>
  </cacheSource>
  <cacheFields count="5">
    <cacheField name="IFCA Region" numFmtId="0">
      <sharedItems/>
    </cacheField>
    <cacheField name="Effort" numFmtId="0">
      <sharedItems containsSemiMixedTypes="0" containsString="0" containsNumber="1" containsInteger="1" minValue="0" maxValue="32411"/>
    </cacheField>
    <cacheField name="CPUE #" numFmtId="0">
      <sharedItems containsSemiMixedTypes="0" containsString="0" containsNumber="1" minValue="0" maxValue="0.42799999999999999"/>
    </cacheField>
    <cacheField name="Catch (#)" numFmtId="0">
      <sharedItems containsSemiMixedTypes="0" containsString="0" containsNumber="1" containsInteger="1" minValue="0" maxValue="10611"/>
    </cacheField>
    <cacheField name="Stock" numFmtId="0">
      <sharedItems count="2">
        <s v="Celt"/>
        <s v="Nor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chary Radford (Cefas)" refreshedDate="42850.664555787036" createdVersion="6" refreshedVersion="6" minRefreshableVersion="3" recordCount="13" xr:uid="{00000000-000A-0000-FFFF-FFFF01000000}">
  <cacheSource type="worksheet">
    <worksheetSource ref="A2:E15" sheet="England boat + shore"/>
  </cacheSource>
  <cacheFields count="5">
    <cacheField name="IFCA Region" numFmtId="0">
      <sharedItems/>
    </cacheField>
    <cacheField name="Effort" numFmtId="0">
      <sharedItems containsSemiMixedTypes="0" containsString="0" containsNumber="1" containsInteger="1" minValue="2404" maxValue="65939"/>
    </cacheField>
    <cacheField name="CPUE" numFmtId="0">
      <sharedItems containsSemiMixedTypes="0" containsString="0" containsNumber="1" minValue="0" maxValue="0.66100000000000003"/>
    </cacheField>
    <cacheField name="Catch (#)" numFmtId="0">
      <sharedItems containsSemiMixedTypes="0" containsString="0" containsNumber="1" containsInteger="1" minValue="0" maxValue="19175"/>
    </cacheField>
    <cacheField name="Stock" numFmtId="0">
      <sharedItems count="2">
        <s v="Celt"/>
        <s v="Nor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Weltersbach" refreshedDate="43214.45719050926" createdVersion="6" refreshedVersion="4" minRefreshableVersion="3" recordCount="19" xr:uid="{00000000-000A-0000-FFFF-FFFF02000000}">
  <cacheSource type="worksheet">
    <worksheetSource ref="A3:D22" sheet="France angler population"/>
  </cacheSource>
  <cacheFields count="4">
    <cacheField name="Area" numFmtId="0">
      <sharedItems/>
    </cacheField>
    <cacheField name="Population 2015" numFmtId="0">
      <sharedItems containsSemiMixedTypes="0" containsString="0" containsNumber="1" containsInteger="1" minValue="226915" maxValue="12073914"/>
    </cacheField>
    <cacheField name="No. of fishers" numFmtId="0">
      <sharedItems containsSemiMixedTypes="0" containsString="0" containsNumber="1" containsInteger="1" minValue="4674" maxValue="248723"/>
    </cacheField>
    <cacheField name="Region" numFmtId="0">
      <sharedItems count="6">
        <s v="Inland"/>
        <s v="Channel"/>
        <s v="Biscay"/>
        <s v="Med"/>
        <s v="Island"/>
        <s v="Colo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NW"/>
    <n v="11265"/>
    <n v="0"/>
    <n v="0"/>
    <x v="0"/>
  </r>
  <r>
    <s v="CO"/>
    <n v="7394"/>
    <n v="0.34100000000000003"/>
    <n v="2521"/>
    <x v="0"/>
  </r>
  <r>
    <s v="DS&amp;A"/>
    <n v="29272"/>
    <n v="0.10199999999999999"/>
    <n v="2986"/>
    <x v="0"/>
  </r>
  <r>
    <s v="DS&amp;B"/>
    <n v="0"/>
    <n v="0"/>
    <n v="0"/>
    <x v="0"/>
  </r>
  <r>
    <s v="SO"/>
    <n v="24792"/>
    <n v="0.42799999999999999"/>
    <n v="10611"/>
    <x v="0"/>
  </r>
  <r>
    <s v="SU"/>
    <n v="5206"/>
    <n v="0.27400000000000002"/>
    <n v="1426"/>
    <x v="0"/>
  </r>
  <r>
    <s v="KE"/>
    <n v="32411"/>
    <n v="0"/>
    <n v="0"/>
    <x v="1"/>
  </r>
  <r>
    <s v="EA-1"/>
    <n v="0"/>
    <n v="0"/>
    <n v="0"/>
    <x v="1"/>
  </r>
  <r>
    <s v="EA-2"/>
    <n v="57"/>
    <n v="0"/>
    <n v="0"/>
    <x v="1"/>
  </r>
  <r>
    <s v="EA-3"/>
    <n v="0"/>
    <n v="0"/>
    <n v="0"/>
    <x v="1"/>
  </r>
  <r>
    <s v="EA-4"/>
    <n v="546"/>
    <n v="0"/>
    <n v="0"/>
    <x v="1"/>
  </r>
  <r>
    <s v="NE"/>
    <n v="7456"/>
    <n v="0"/>
    <n v="0"/>
    <x v="1"/>
  </r>
  <r>
    <s v="NM"/>
    <n v="2670"/>
    <n v="0"/>
    <n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NW"/>
    <n v="60426"/>
    <n v="0"/>
    <n v="0"/>
    <x v="0"/>
  </r>
  <r>
    <s v="CO"/>
    <n v="29009"/>
    <n v="0.66100000000000003"/>
    <n v="19175"/>
    <x v="0"/>
  </r>
  <r>
    <s v="DS&amp;A"/>
    <n v="45542"/>
    <n v="0.185"/>
    <n v="8425"/>
    <x v="0"/>
  </r>
  <r>
    <s v="DS&amp;B"/>
    <n v="19805"/>
    <n v="6.0000000000000001E-3"/>
    <n v="119"/>
    <x v="0"/>
  </r>
  <r>
    <s v="SO"/>
    <n v="58185"/>
    <n v="0.02"/>
    <n v="1164"/>
    <x v="0"/>
  </r>
  <r>
    <s v="SU"/>
    <n v="54276"/>
    <n v="0.02"/>
    <n v="1086"/>
    <x v="0"/>
  </r>
  <r>
    <s v="KE"/>
    <n v="65939"/>
    <n v="0"/>
    <n v="0"/>
    <x v="1"/>
  </r>
  <r>
    <s v="EA-1"/>
    <n v="3337"/>
    <n v="0"/>
    <n v="0"/>
    <x v="1"/>
  </r>
  <r>
    <s v="EA-2"/>
    <n v="8529"/>
    <n v="0"/>
    <n v="0"/>
    <x v="1"/>
  </r>
  <r>
    <s v="EA-3"/>
    <n v="12411"/>
    <n v="0"/>
    <n v="0"/>
    <x v="1"/>
  </r>
  <r>
    <s v="EA-4"/>
    <n v="2404"/>
    <n v="0"/>
    <n v="0"/>
    <x v="1"/>
  </r>
  <r>
    <s v="NE"/>
    <n v="57216"/>
    <n v="1.4E-2"/>
    <n v="801"/>
    <x v="1"/>
  </r>
  <r>
    <s v="NM"/>
    <n v="48397"/>
    <n v="0"/>
    <n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Île-de-France"/>
    <n v="12073914"/>
    <n v="248723"/>
    <x v="0"/>
  </r>
  <r>
    <s v="Auvergne-Rhône-Alpes"/>
    <n v="7874586"/>
    <n v="162216"/>
    <x v="0"/>
  </r>
  <r>
    <s v="Hauts-de-France"/>
    <n v="6006853"/>
    <n v="123741"/>
    <x v="1"/>
  </r>
  <r>
    <s v="Nouvelle-Aquitaine"/>
    <n v="5904843"/>
    <n v="121640"/>
    <x v="2"/>
  </r>
  <r>
    <s v="Occitanie"/>
    <n v="5791865"/>
    <n v="119312"/>
    <x v="3"/>
  </r>
  <r>
    <s v="Grand Est"/>
    <n v="5560405"/>
    <n v="114544"/>
    <x v="0"/>
  </r>
  <r>
    <s v="Provence-Alpes-Côte d'Azur"/>
    <n v="4989435"/>
    <n v="102782"/>
    <x v="3"/>
  </r>
  <r>
    <s v="Pays de la Loire"/>
    <n v="3716068"/>
    <n v="76551"/>
    <x v="2"/>
  </r>
  <r>
    <s v="Normandy"/>
    <n v="3334657"/>
    <n v="68694"/>
    <x v="1"/>
  </r>
  <r>
    <s v="Brittany (Chan)"/>
    <n v="1647151"/>
    <n v="33931"/>
    <x v="1"/>
  </r>
  <r>
    <s v="Brittany (Bisc)"/>
    <n v="1647151"/>
    <n v="33931"/>
    <x v="2"/>
  </r>
  <r>
    <s v="Bourgogne-Franche-Comté"/>
    <n v="2821042"/>
    <n v="58113"/>
    <x v="0"/>
  </r>
  <r>
    <s v="Centre-Val de Loire"/>
    <n v="2582374"/>
    <n v="53197"/>
    <x v="0"/>
  </r>
  <r>
    <s v="Réunion"/>
    <n v="843529"/>
    <n v="17377"/>
    <x v="4"/>
  </r>
  <r>
    <s v="Guadeloupe"/>
    <n v="400132"/>
    <n v="8243"/>
    <x v="4"/>
  </r>
  <r>
    <s v="Martinique"/>
    <n v="378243"/>
    <n v="7792"/>
    <x v="4"/>
  </r>
  <r>
    <s v="Corsica"/>
    <n v="326898"/>
    <n v="6734"/>
    <x v="3"/>
  </r>
  <r>
    <s v="French Guiana"/>
    <n v="254541"/>
    <n v="5244"/>
    <x v="5"/>
  </r>
  <r>
    <s v="Mayotte"/>
    <n v="226915"/>
    <n v="467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1000000}" name="PivotTable4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2:U15" firstHeaderRow="1" firstDataRow="1" firstDataCol="1"/>
  <pivotFields count="5"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Catch (#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5:U8" firstHeaderRow="1" firstDataRow="1" firstDataCol="1"/>
  <pivotFields count="5"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3">
        <item x="0"/>
        <item x="1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Catch (#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le3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26:B33" firstHeaderRow="1" firstDataRow="1" firstDataCol="1"/>
  <pivotFields count="4">
    <pivotField subtotalTop="0" showAll="0"/>
    <pivotField subtotalTop="0" showAll="0"/>
    <pivotField dataField="1" subtotalTop="0" showAll="0"/>
    <pivotField axis="axisRow" subtotalTop="0" showAll="0">
      <items count="7">
        <item x="2"/>
        <item x="1"/>
        <item x="0"/>
        <item x="3"/>
        <item x="4"/>
        <item x="5"/>
        <item t="default"/>
      </items>
    </pivotField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No. of fisher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63"/>
  <sheetViews>
    <sheetView tabSelected="1" zoomScaleNormal="100" workbookViewId="0">
      <selection activeCell="F4" sqref="F4"/>
    </sheetView>
  </sheetViews>
  <sheetFormatPr defaultColWidth="9.140625" defaultRowHeight="15" x14ac:dyDescent="0.25"/>
  <cols>
    <col min="1" max="1" width="29.28515625" style="48" bestFit="1" customWidth="1"/>
    <col min="2" max="2" width="16.140625" style="48" bestFit="1" customWidth="1"/>
    <col min="3" max="3" width="29.140625" style="48" bestFit="1" customWidth="1"/>
    <col min="4" max="5" width="18" style="48" bestFit="1" customWidth="1"/>
    <col min="6" max="7" width="18.28515625" style="48" bestFit="1" customWidth="1"/>
    <col min="8" max="8" width="24.5703125" style="48" customWidth="1"/>
    <col min="9" max="9" width="23.28515625" style="48" bestFit="1" customWidth="1"/>
    <col min="10" max="10" width="21.140625" style="48" bestFit="1" customWidth="1"/>
    <col min="11" max="11" width="20.7109375" style="48" bestFit="1" customWidth="1"/>
    <col min="12" max="12" width="20.85546875" style="48" bestFit="1" customWidth="1"/>
    <col min="13" max="16384" width="9.140625" style="48"/>
  </cols>
  <sheetData>
    <row r="1" spans="1:8" x14ac:dyDescent="0.25">
      <c r="A1" s="42" t="s">
        <v>18</v>
      </c>
      <c r="B1" s="42" t="s">
        <v>19</v>
      </c>
      <c r="C1" s="42" t="s">
        <v>20</v>
      </c>
      <c r="D1" s="42"/>
      <c r="E1" s="42"/>
      <c r="F1" s="42"/>
      <c r="G1" s="42"/>
      <c r="H1" s="42"/>
    </row>
    <row r="2" spans="1:8" x14ac:dyDescent="0.25">
      <c r="A2" s="42" t="s">
        <v>0</v>
      </c>
      <c r="B2" s="50">
        <f>(SUMIFS('Recreational pol.26.67'!D2:D14,'Recreational pol.26.67'!D2:D14,"&lt;&gt;NA",'Recreational pol.26.67'!E2:E14,"&lt;&gt;NA")/SUMIFS('Recreational pol.26.67'!E2:E14,'Recreational pol.26.67'!E2:E14,"&lt;&gt;NA",'Recreational pol.26.67'!D2:D14,"&lt;&gt;NA"))*1000</f>
        <v>1.5874076851595231</v>
      </c>
      <c r="C2" s="42"/>
      <c r="D2" s="42"/>
      <c r="E2" s="42"/>
      <c r="F2" s="42"/>
      <c r="G2" s="42"/>
      <c r="H2" s="42"/>
    </row>
    <row r="3" spans="1:8" x14ac:dyDescent="0.25">
      <c r="A3" s="42" t="s">
        <v>1</v>
      </c>
      <c r="B3" s="50">
        <f>(SUMIFS('Recreational pol.26.67'!F2:F14,'Recreational pol.26.67'!F2:F14,"&lt;&gt;NA",'Recreational pol.26.67'!G2:G14,"&lt;&gt;NA")/SUMIFS('Recreational pol.26.67'!G2:G14,'Recreational pol.26.67'!G2:G14,"&lt;&gt;NA",'Recreational pol.26.67'!F2:F14,"&lt;&gt;NA"))*1000</f>
        <v>0.50642445901928335</v>
      </c>
      <c r="C3" s="42"/>
      <c r="D3" s="42"/>
      <c r="E3" s="42"/>
      <c r="F3" s="42"/>
      <c r="G3" s="42"/>
      <c r="H3" s="42"/>
    </row>
    <row r="4" spans="1:8" x14ac:dyDescent="0.25">
      <c r="A4" s="42" t="s">
        <v>2</v>
      </c>
      <c r="B4" s="50">
        <f>G12/(G12+E12)</f>
        <v>0.6704604978631159</v>
      </c>
      <c r="C4" s="42"/>
      <c r="D4" s="42"/>
      <c r="E4" s="42"/>
      <c r="F4" s="20" t="s">
        <v>72</v>
      </c>
      <c r="G4" s="42"/>
      <c r="H4" s="42"/>
    </row>
    <row r="5" spans="1:8" x14ac:dyDescent="0.25">
      <c r="A5" s="42" t="s">
        <v>21</v>
      </c>
      <c r="B5" s="50" t="str">
        <f>'Discard rate'!A2</f>
        <v>NA</v>
      </c>
      <c r="C5" s="50" t="str">
        <f>'Discard rate'!B2</f>
        <v>WGCSE (2017)</v>
      </c>
      <c r="D5" s="42"/>
      <c r="E5" s="42"/>
      <c r="F5" s="42"/>
      <c r="G5" s="42"/>
      <c r="H5" s="42"/>
    </row>
    <row r="6" spans="1:8" x14ac:dyDescent="0.25">
      <c r="A6" s="42" t="s">
        <v>3</v>
      </c>
      <c r="B6" s="50">
        <f>'Discard mortality'!A2</f>
        <v>1</v>
      </c>
      <c r="C6" s="50" t="str">
        <f>'Discard mortality'!B2</f>
        <v>Precautionary value due to lack of data</v>
      </c>
      <c r="D6" s="42"/>
      <c r="E6" s="42"/>
      <c r="F6" s="42"/>
      <c r="G6" s="42"/>
      <c r="H6" s="42"/>
    </row>
    <row r="7" spans="1:8" x14ac:dyDescent="0.25">
      <c r="A7" s="42" t="s">
        <v>4</v>
      </c>
      <c r="B7" s="50">
        <f>'Discard mortality'!C2</f>
        <v>1</v>
      </c>
      <c r="C7" s="50" t="str">
        <f>'Discard mortality'!D2</f>
        <v>Precautionary value due to lack of data</v>
      </c>
      <c r="D7" s="42"/>
      <c r="E7" s="42"/>
      <c r="F7" s="42"/>
      <c r="G7" s="42"/>
      <c r="H7" s="42"/>
    </row>
    <row r="9" spans="1:8" x14ac:dyDescent="0.25">
      <c r="A9" s="59" t="s">
        <v>22</v>
      </c>
      <c r="B9" s="59"/>
      <c r="C9" s="59"/>
      <c r="D9" s="59"/>
      <c r="E9" s="59"/>
      <c r="F9" s="59"/>
      <c r="G9" s="59"/>
      <c r="H9" s="59"/>
    </row>
    <row r="10" spans="1:8" x14ac:dyDescent="0.25">
      <c r="A10" s="42" t="s">
        <v>23</v>
      </c>
      <c r="B10" s="42" t="s">
        <v>24</v>
      </c>
      <c r="C10" s="42" t="s">
        <v>25</v>
      </c>
      <c r="D10" s="42" t="s">
        <v>9</v>
      </c>
      <c r="E10" s="42" t="s">
        <v>26</v>
      </c>
      <c r="F10" s="42" t="s">
        <v>10</v>
      </c>
      <c r="G10" s="42" t="s">
        <v>27</v>
      </c>
      <c r="H10" s="42" t="s">
        <v>28</v>
      </c>
    </row>
    <row r="11" spans="1:8" x14ac:dyDescent="0.25">
      <c r="A11" s="42" t="str">
        <f>'Recreational pol.26.67'!A2</f>
        <v>Channel Islands</v>
      </c>
      <c r="B11" s="42" t="str">
        <f>VLOOKUP($A11,'Recreational pol.26.67'!$A$1:$H$9,2,FALSE)</f>
        <v>NA</v>
      </c>
      <c r="C11" s="42">
        <f>VLOOKUP($A11,'Recreational pol.26.67'!$A$1:$H$9,3,FALSE)</f>
        <v>4092</v>
      </c>
      <c r="D11" s="42" t="str">
        <f>VLOOKUP($A11,'Recreational pol.26.67'!$A$1:$H$9,4,FALSE)</f>
        <v>NA</v>
      </c>
      <c r="E11" s="42" t="str">
        <f>VLOOKUP($A11,'Recreational pol.26.67'!$A$1:$H$9,5,FALSE)</f>
        <v>NA</v>
      </c>
      <c r="F11" s="42" t="str">
        <f>VLOOKUP($A11,'Recreational pol.26.67'!$A$1:$H$9,6,FALSE)</f>
        <v>NA</v>
      </c>
      <c r="G11" s="42" t="str">
        <f>VLOOKUP($A11,'Recreational pol.26.67'!$A$1:$H$9,7,FALSE)</f>
        <v>NA</v>
      </c>
      <c r="H11" s="42" t="str">
        <f>VLOOKUP($A11,'Recreational pol.26.67'!$A$1:$H$9,8,FALSE)</f>
        <v>NA</v>
      </c>
    </row>
    <row r="12" spans="1:8" x14ac:dyDescent="0.25">
      <c r="A12" s="42" t="str">
        <f>'Recreational pol.26.67'!A3</f>
        <v>England</v>
      </c>
      <c r="B12" s="42">
        <f>VLOOKUP(A12,'Recreational pol.26.67'!$A$1:$H$9,2,FALSE)</f>
        <v>2012</v>
      </c>
      <c r="C12" s="42">
        <f>VLOOKUP($A12,'Recreational pol.26.67'!$A$1:$H$9,3,FALSE)</f>
        <v>884000</v>
      </c>
      <c r="D12" s="42">
        <f>VLOOKUP($A12,'Recreational pol.26.67'!$A$1:$H$9,4,FALSE)</f>
        <v>194.73999999999998</v>
      </c>
      <c r="E12" s="42">
        <f>VLOOKUP($A12,'Recreational pol.26.67'!$A$1:$H$9,5,FALSE)</f>
        <v>122678</v>
      </c>
      <c r="F12" s="42">
        <f>VLOOKUP($A12,'Recreational pol.26.67'!$A$1:$H$9,6,FALSE)</f>
        <v>126.39999999999999</v>
      </c>
      <c r="G12" s="42">
        <f>VLOOKUP($A12,'Recreational pol.26.67'!$A$1:$H$9,7,FALSE)</f>
        <v>249593</v>
      </c>
      <c r="H12" s="42" t="str">
        <f>VLOOKUP($A12,'Recreational pol.26.67'!$A$1:$H$9,8,FALSE)</f>
        <v>Armstrong et al (2013)</v>
      </c>
    </row>
    <row r="13" spans="1:8" x14ac:dyDescent="0.25">
      <c r="A13" s="42" t="str">
        <f>'Recreational pol.26.67'!A4</f>
        <v>France</v>
      </c>
      <c r="B13" s="42" t="str">
        <f>VLOOKUP(A13,'Recreational pol.26.67'!$A$1:$H$9,2,FALSE)</f>
        <v>2009-2011</v>
      </c>
      <c r="C13" s="42">
        <f>VLOOKUP($A13,'Recreational pol.26.67'!$A$1:$H$9,3,FALSE)</f>
        <v>226366</v>
      </c>
      <c r="D13" s="42">
        <f>VLOOKUP($A13,'Recreational pol.26.67'!$A$1:$H$9,4,FALSE)</f>
        <v>2493.4</v>
      </c>
      <c r="E13" s="42" t="str">
        <f>VLOOKUP($A13,'Recreational pol.26.67'!$A$1:$H$9,5,FALSE)</f>
        <v>NA</v>
      </c>
      <c r="F13" s="42" t="str">
        <f>VLOOKUP($A13,'Recreational pol.26.67'!$A$1:$H$9,6,FALSE)</f>
        <v>NA</v>
      </c>
      <c r="G13" s="42" t="str">
        <f>VLOOKUP($A13,'Recreational pol.26.67'!$A$1:$H$9,7,FALSE)</f>
        <v>NA</v>
      </c>
      <c r="H13" s="42" t="str">
        <f>VLOOKUP($A13,'Recreational pol.26.67'!$A$1:$H$9,8,FALSE)</f>
        <v>2015 regional population * France participation rate (Hyder et al. 2018). Landings calculated from CPUE &amp; total France landings from Herfaut et al. 2013</v>
      </c>
    </row>
    <row r="14" spans="1:8" x14ac:dyDescent="0.25">
      <c r="A14" s="42" t="str">
        <f>'Recreational pol.26.67'!A5</f>
        <v>Ireland</v>
      </c>
      <c r="B14" s="42" t="str">
        <f>VLOOKUP(A14,'Recreational pol.26.67'!$A$1:$H$9,2,FALSE)</f>
        <v>NA</v>
      </c>
      <c r="C14" s="42">
        <f>VLOOKUP($A14,'Recreational pol.26.67'!$A$1:$H$9,3,FALSE)</f>
        <v>76600</v>
      </c>
      <c r="D14" s="42" t="str">
        <f>VLOOKUP($A14,'Recreational pol.26.67'!$A$1:$H$9,4,FALSE)</f>
        <v>NA</v>
      </c>
      <c r="E14" s="42" t="str">
        <f>VLOOKUP($A14,'Recreational pol.26.67'!$A$1:$H$9,5,FALSE)</f>
        <v>NA</v>
      </c>
      <c r="F14" s="42" t="str">
        <f>VLOOKUP($A14,'Recreational pol.26.67'!$A$1:$H$9,6,FALSE)</f>
        <v>NA</v>
      </c>
      <c r="G14" s="42" t="str">
        <f>VLOOKUP($A14,'Recreational pol.26.67'!$A$1:$H$9,7,FALSE)</f>
        <v>NA</v>
      </c>
      <c r="H14" s="42" t="str">
        <f>VLOOKUP($A14,'Recreational pol.26.67'!$A$1:$H$9,8,FALSE)</f>
        <v>NA</v>
      </c>
    </row>
    <row r="15" spans="1:8" x14ac:dyDescent="0.25">
      <c r="A15" s="42" t="str">
        <f>'Recreational pol.26.67'!A6</f>
        <v>Isle of Man</v>
      </c>
      <c r="B15" s="42" t="str">
        <f>VLOOKUP(A15,'Recreational pol.26.67'!$A$1:$H$9,2,FALSE)</f>
        <v>NA</v>
      </c>
      <c r="C15" s="42">
        <f>VLOOKUP($A15,'Recreational pol.26.67'!$A$1:$H$9,3,FALSE)</f>
        <v>1560</v>
      </c>
      <c r="D15" s="42" t="str">
        <f>VLOOKUP($A15,'Recreational pol.26.67'!$A$1:$H$9,4,FALSE)</f>
        <v>NA</v>
      </c>
      <c r="E15" s="42" t="str">
        <f>VLOOKUP($A15,'Recreational pol.26.67'!$A$1:$H$9,5,FALSE)</f>
        <v>NA</v>
      </c>
      <c r="F15" s="42" t="str">
        <f>VLOOKUP($A15,'Recreational pol.26.67'!$A$1:$H$9,6,FALSE)</f>
        <v>NA</v>
      </c>
      <c r="G15" s="42" t="str">
        <f>VLOOKUP($A15,'Recreational pol.26.67'!$A$1:$H$9,7,FALSE)</f>
        <v>NA</v>
      </c>
      <c r="H15" s="42" t="str">
        <f>VLOOKUP($A15,'Recreational pol.26.67'!$A$1:$H$9,8,FALSE)</f>
        <v>2014 Population from World Bank (World Bank, 2017) * UK participation rate (Hyder et al. 2018)</v>
      </c>
    </row>
    <row r="16" spans="1:8" x14ac:dyDescent="0.25">
      <c r="A16" s="42" t="str">
        <f>'Recreational pol.26.67'!A7</f>
        <v>Northern Ireland</v>
      </c>
      <c r="B16" s="42" t="str">
        <f>VLOOKUP(A16,'Recreational pol.26.67'!$A$1:$H$9,2,FALSE)</f>
        <v>NA</v>
      </c>
      <c r="C16" s="42">
        <f>VLOOKUP($A16,'Recreational pol.26.67'!$A$1:$H$9,3,FALSE)</f>
        <v>32417</v>
      </c>
      <c r="D16" s="42" t="str">
        <f>VLOOKUP($A16,'Recreational pol.26.67'!$A$1:$H$9,4,FALSE)</f>
        <v>NA</v>
      </c>
      <c r="E16" s="42" t="str">
        <f>VLOOKUP($A16,'Recreational pol.26.67'!$A$1:$H$9,5,FALSE)</f>
        <v>NA</v>
      </c>
      <c r="F16" s="42" t="str">
        <f>VLOOKUP($A16,'Recreational pol.26.67'!$A$1:$H$9,6,FALSE)</f>
        <v>NA</v>
      </c>
      <c r="G16" s="42" t="str">
        <f>VLOOKUP($A16,'Recreational pol.26.67'!$A$1:$H$9,7,FALSE)</f>
        <v>NA</v>
      </c>
      <c r="H16" s="42" t="str">
        <f>VLOOKUP($A16,'Recreational pol.26.67'!$A$1:$H$9,8,FALSE)</f>
        <v>2011 Population from UK Census * UK participation rate (Hyder et al. 2018)</v>
      </c>
    </row>
    <row r="17" spans="1:13" x14ac:dyDescent="0.25">
      <c r="A17" s="42" t="str">
        <f>'Recreational pol.26.67'!A8</f>
        <v>Scotland</v>
      </c>
      <c r="B17" s="42" t="str">
        <f>VLOOKUP(A17,'Recreational pol.26.67'!$A$1:$H$9,2,FALSE)</f>
        <v>NA</v>
      </c>
      <c r="C17" s="42">
        <f>VLOOKUP($A17,'Recreational pol.26.67'!$A$1:$H$9,3,FALSE)</f>
        <v>125188</v>
      </c>
      <c r="D17" s="42" t="str">
        <f>VLOOKUP($A17,'Recreational pol.26.67'!$A$1:$H$9,4,FALSE)</f>
        <v>NA</v>
      </c>
      <c r="E17" s="42" t="str">
        <f>VLOOKUP($A17,'Recreational pol.26.67'!$A$1:$H$9,5,FALSE)</f>
        <v>NA</v>
      </c>
      <c r="F17" s="42" t="str">
        <f>VLOOKUP($A17,'Recreational pol.26.67'!$A$1:$H$9,6,FALSE)</f>
        <v>NA</v>
      </c>
      <c r="G17" s="42" t="str">
        <f>VLOOKUP($A17,'Recreational pol.26.67'!$A$1:$H$9,7,FALSE)</f>
        <v>NA</v>
      </c>
      <c r="H17" s="42" t="str">
        <f>VLOOKUP($A17,'Recreational pol.26.67'!$A$1:$H$9,8,FALSE)</f>
        <v>NA</v>
      </c>
      <c r="I17" s="42"/>
      <c r="J17" s="42"/>
      <c r="K17" s="42"/>
      <c r="L17" s="42"/>
      <c r="M17" s="42"/>
    </row>
    <row r="18" spans="1:13" x14ac:dyDescent="0.25">
      <c r="A18" s="42" t="str">
        <f>'Recreational pol.26.67'!A9</f>
        <v>Wales</v>
      </c>
      <c r="B18" s="42" t="str">
        <f>VLOOKUP(A18,'Recreational pol.26.67'!$A$1:$H$9,2,FALSE)</f>
        <v>NA</v>
      </c>
      <c r="C18" s="42">
        <f>VLOOKUP($A18,'Recreational pol.26.67'!$A$1:$H$9,3,FALSE)</f>
        <v>76000</v>
      </c>
      <c r="D18" s="42" t="str">
        <f>VLOOKUP($A18,'Recreational pol.26.67'!$A$1:$H$9,4,FALSE)</f>
        <v>NA</v>
      </c>
      <c r="E18" s="42" t="str">
        <f>VLOOKUP($A18,'Recreational pol.26.67'!$A$1:$H$9,5,FALSE)</f>
        <v>NA</v>
      </c>
      <c r="F18" s="42" t="str">
        <f>VLOOKUP($A18,'Recreational pol.26.67'!$A$1:$H$9,6,FALSE)</f>
        <v>NA</v>
      </c>
      <c r="G18" s="42" t="str">
        <f>VLOOKUP($A18,'Recreational pol.26.67'!$A$1:$H$9,7,FALSE)</f>
        <v>NA</v>
      </c>
      <c r="H18" s="42" t="str">
        <f>VLOOKUP($A18,'Recreational pol.26.67'!$A$1:$H$9,8,FALSE)</f>
        <v>NA</v>
      </c>
      <c r="I18" s="42"/>
      <c r="J18" s="42"/>
      <c r="K18" s="42"/>
      <c r="L18" s="42"/>
      <c r="M18" s="42"/>
    </row>
    <row r="21" spans="1:13" x14ac:dyDescent="0.25">
      <c r="A21" s="59" t="s">
        <v>29</v>
      </c>
      <c r="B21" s="59"/>
      <c r="C21" s="59"/>
      <c r="D21" s="59"/>
      <c r="E21" s="59"/>
      <c r="F21" s="59"/>
      <c r="G21" s="59"/>
      <c r="H21" s="59"/>
      <c r="I21" s="59"/>
      <c r="J21" s="59" t="s">
        <v>30</v>
      </c>
      <c r="K21" s="59"/>
      <c r="L21" s="59"/>
      <c r="M21" s="42"/>
    </row>
    <row r="22" spans="1:13" x14ac:dyDescent="0.25">
      <c r="A22" s="42" t="s">
        <v>23</v>
      </c>
      <c r="B22" s="42" t="s">
        <v>31</v>
      </c>
      <c r="C22" s="42" t="s">
        <v>9</v>
      </c>
      <c r="D22" s="42" t="s">
        <v>26</v>
      </c>
      <c r="E22" s="42" t="s">
        <v>10</v>
      </c>
      <c r="F22" s="42" t="s">
        <v>27</v>
      </c>
      <c r="G22" s="42" t="s">
        <v>32</v>
      </c>
      <c r="H22" s="42" t="s">
        <v>33</v>
      </c>
      <c r="I22" s="42" t="s">
        <v>34</v>
      </c>
      <c r="J22" s="42" t="s">
        <v>35</v>
      </c>
      <c r="K22" s="42" t="s">
        <v>36</v>
      </c>
      <c r="L22" s="42" t="s">
        <v>37</v>
      </c>
      <c r="M22" s="42"/>
    </row>
    <row r="23" spans="1:13" x14ac:dyDescent="0.25">
      <c r="A23" s="42" t="str">
        <f>A11</f>
        <v>Channel Islands</v>
      </c>
      <c r="B23" s="42">
        <f>C11</f>
        <v>4092</v>
      </c>
      <c r="C23" s="42">
        <f>ROUND(IF(J23 = "Avg", D23*($B$2/1000), IF(J23 = "None", D11, "Help")),2)</f>
        <v>0.9</v>
      </c>
      <c r="D23" s="42">
        <f>ROUND(IF(K23 = "EN",B23/$C$12*$E$12, IF(K23 = "Avg", C23/($B$2/1000),IF(K23 = "None", E11, "help"))),0)</f>
        <v>568</v>
      </c>
      <c r="E23" s="42">
        <f>ROUND(IF(F11 = "NA", F23*($B$3/1000), F11),2)</f>
        <v>0.57999999999999996</v>
      </c>
      <c r="F23" s="42">
        <f>ROUND(IF(L23 = "EN", B23/$C$12*$G$12, IF(L23 = "Prop", D23*$B$4, IF(L23 = "None", G11, "help"))),0)</f>
        <v>1155</v>
      </c>
      <c r="G23" s="42"/>
      <c r="H23" s="42" t="str">
        <f>IF(D11 = "NA", "Y","N")</f>
        <v>Y</v>
      </c>
      <c r="I23" s="42" t="str">
        <f>IF(F11 = "NA", "Y","N")</f>
        <v>Y</v>
      </c>
      <c r="J23" s="42" t="s">
        <v>5</v>
      </c>
      <c r="K23" s="42" t="s">
        <v>38</v>
      </c>
      <c r="L23" s="42" t="s">
        <v>38</v>
      </c>
      <c r="M23" s="42">
        <v>0</v>
      </c>
    </row>
    <row r="24" spans="1:13" x14ac:dyDescent="0.25">
      <c r="A24" s="42" t="str">
        <f t="shared" ref="A24:A30" si="0">A12</f>
        <v>England</v>
      </c>
      <c r="B24" s="42">
        <f t="shared" ref="B24:B30" si="1">C12</f>
        <v>884000</v>
      </c>
      <c r="C24" s="42">
        <f t="shared" ref="C24:C30" si="2">ROUND(IF(J24 = "Avg", D24*($B$2/1000), IF(J24 = "None", D12, "Help")),2)</f>
        <v>194.74</v>
      </c>
      <c r="D24" s="42">
        <f t="shared" ref="D24:D30" si="3">ROUND(IF(K24 = "EN",B24/$C$12*$E$12, IF(K24 = "Avg", C24/($B$2/1000),IF(K24 = "None", E12, "help"))),0)</f>
        <v>122678</v>
      </c>
      <c r="E24" s="42">
        <f t="shared" ref="E24:E30" si="4">ROUND(IF(F12 = "NA", F24*($B$3/1000), F12),2)</f>
        <v>126.4</v>
      </c>
      <c r="F24" s="42">
        <f t="shared" ref="F24:F30" si="5">ROUND(IF(L24 = "EN", B24/$C$12*$G$12, IF(L24 = "Prop", D24*$B$4, IF(L24 = "None", G12, "help"))),0)</f>
        <v>249593</v>
      </c>
      <c r="G24" s="42"/>
      <c r="H24" s="42" t="str">
        <f t="shared" ref="H24:H30" si="6">IF(D12 = "NA", "Y","N")</f>
        <v>N</v>
      </c>
      <c r="I24" s="42" t="str">
        <f t="shared" ref="I24:I30" si="7">IF(F12 = "NA", "Y","N")</f>
        <v>N</v>
      </c>
      <c r="J24" s="42" t="s">
        <v>6</v>
      </c>
      <c r="K24" s="42" t="s">
        <v>6</v>
      </c>
      <c r="L24" s="42" t="s">
        <v>6</v>
      </c>
      <c r="M24" s="42">
        <v>0</v>
      </c>
    </row>
    <row r="25" spans="1:13" x14ac:dyDescent="0.25">
      <c r="A25" s="42" t="str">
        <f t="shared" si="0"/>
        <v>France</v>
      </c>
      <c r="B25" s="42">
        <f t="shared" si="1"/>
        <v>226366</v>
      </c>
      <c r="C25" s="42">
        <f>ROUND(IF(J25 = "Avg", D25*($B$2/1000), IF(J25 = "None", D13, "Help")),2)</f>
        <v>2493.4</v>
      </c>
      <c r="D25" s="42">
        <f t="shared" si="3"/>
        <v>1570737</v>
      </c>
      <c r="E25" s="42">
        <f t="shared" si="4"/>
        <v>533.32000000000005</v>
      </c>
      <c r="F25" s="42">
        <f>ROUND(IF(L25 = "EN", B25/$C$12*$G$12, IF(L25 = "Prop", D25*$B$4, IF(L25 = "None", G13, "help"))),0)</f>
        <v>1053117</v>
      </c>
      <c r="G25" s="42"/>
      <c r="H25" s="42" t="str">
        <f t="shared" si="6"/>
        <v>N</v>
      </c>
      <c r="I25" s="42" t="str">
        <f t="shared" si="7"/>
        <v>Y</v>
      </c>
      <c r="J25" s="42" t="s">
        <v>6</v>
      </c>
      <c r="K25" s="42" t="s">
        <v>5</v>
      </c>
      <c r="L25" s="42" t="s">
        <v>7</v>
      </c>
      <c r="M25" s="42">
        <v>1</v>
      </c>
    </row>
    <row r="26" spans="1:13" x14ac:dyDescent="0.25">
      <c r="A26" s="42" t="str">
        <f t="shared" si="0"/>
        <v>Ireland</v>
      </c>
      <c r="B26" s="42">
        <f t="shared" si="1"/>
        <v>76600</v>
      </c>
      <c r="C26" s="42">
        <f t="shared" si="2"/>
        <v>16.87</v>
      </c>
      <c r="D26" s="42">
        <f t="shared" si="3"/>
        <v>10630</v>
      </c>
      <c r="E26" s="42">
        <f t="shared" si="4"/>
        <v>10.95</v>
      </c>
      <c r="F26" s="42">
        <f t="shared" si="5"/>
        <v>21628</v>
      </c>
      <c r="G26" s="42"/>
      <c r="H26" s="42" t="str">
        <f t="shared" si="6"/>
        <v>Y</v>
      </c>
      <c r="I26" s="42" t="str">
        <f t="shared" si="7"/>
        <v>Y</v>
      </c>
      <c r="J26" s="42" t="s">
        <v>5</v>
      </c>
      <c r="K26" s="42" t="s">
        <v>38</v>
      </c>
      <c r="L26" s="42" t="s">
        <v>38</v>
      </c>
      <c r="M26" s="42">
        <v>0</v>
      </c>
    </row>
    <row r="27" spans="1:13" x14ac:dyDescent="0.25">
      <c r="A27" s="42" t="str">
        <f t="shared" si="0"/>
        <v>Isle of Man</v>
      </c>
      <c r="B27" s="42">
        <f t="shared" si="1"/>
        <v>1560</v>
      </c>
      <c r="C27" s="42">
        <f t="shared" si="2"/>
        <v>0.34</v>
      </c>
      <c r="D27" s="42">
        <f t="shared" si="3"/>
        <v>216</v>
      </c>
      <c r="E27" s="42">
        <f t="shared" si="4"/>
        <v>0.22</v>
      </c>
      <c r="F27" s="42">
        <f t="shared" si="5"/>
        <v>440</v>
      </c>
      <c r="G27" s="42"/>
      <c r="H27" s="42" t="str">
        <f t="shared" si="6"/>
        <v>Y</v>
      </c>
      <c r="I27" s="42" t="str">
        <f t="shared" si="7"/>
        <v>Y</v>
      </c>
      <c r="J27" s="42" t="s">
        <v>5</v>
      </c>
      <c r="K27" s="42" t="s">
        <v>38</v>
      </c>
      <c r="L27" s="42" t="s">
        <v>38</v>
      </c>
      <c r="M27" s="42">
        <v>0</v>
      </c>
    </row>
    <row r="28" spans="1:13" x14ac:dyDescent="0.25">
      <c r="A28" s="42" t="str">
        <f t="shared" si="0"/>
        <v>Northern Ireland</v>
      </c>
      <c r="B28" s="42">
        <f t="shared" si="1"/>
        <v>32417</v>
      </c>
      <c r="C28" s="42">
        <f t="shared" si="2"/>
        <v>7.14</v>
      </c>
      <c r="D28" s="42">
        <f t="shared" si="3"/>
        <v>4499</v>
      </c>
      <c r="E28" s="42">
        <f t="shared" si="4"/>
        <v>4.6399999999999997</v>
      </c>
      <c r="F28" s="42">
        <f t="shared" si="5"/>
        <v>9153</v>
      </c>
      <c r="G28" s="42"/>
      <c r="H28" s="42" t="str">
        <f t="shared" si="6"/>
        <v>Y</v>
      </c>
      <c r="I28" s="42" t="str">
        <f t="shared" si="7"/>
        <v>Y</v>
      </c>
      <c r="J28" s="42" t="s">
        <v>5</v>
      </c>
      <c r="K28" s="42" t="s">
        <v>38</v>
      </c>
      <c r="L28" s="42" t="s">
        <v>38</v>
      </c>
      <c r="M28" s="42">
        <v>0</v>
      </c>
    </row>
    <row r="29" spans="1:13" x14ac:dyDescent="0.25">
      <c r="A29" s="42" t="str">
        <f t="shared" si="0"/>
        <v>Scotland</v>
      </c>
      <c r="B29" s="42">
        <f t="shared" si="1"/>
        <v>125188</v>
      </c>
      <c r="C29" s="42">
        <f t="shared" si="2"/>
        <v>27.58</v>
      </c>
      <c r="D29" s="42">
        <f t="shared" si="3"/>
        <v>17373</v>
      </c>
      <c r="E29" s="42">
        <f t="shared" si="4"/>
        <v>17.899999999999999</v>
      </c>
      <c r="F29" s="42">
        <f t="shared" si="5"/>
        <v>35346</v>
      </c>
      <c r="G29" s="42"/>
      <c r="H29" s="42" t="str">
        <f t="shared" si="6"/>
        <v>Y</v>
      </c>
      <c r="I29" s="42" t="str">
        <f t="shared" si="7"/>
        <v>Y</v>
      </c>
      <c r="J29" s="42" t="s">
        <v>5</v>
      </c>
      <c r="K29" s="42" t="s">
        <v>38</v>
      </c>
      <c r="L29" s="42" t="s">
        <v>38</v>
      </c>
      <c r="M29" s="42">
        <v>0</v>
      </c>
    </row>
    <row r="30" spans="1:13" x14ac:dyDescent="0.25">
      <c r="A30" s="42" t="str">
        <f t="shared" si="0"/>
        <v>Wales</v>
      </c>
      <c r="B30" s="42">
        <f t="shared" si="1"/>
        <v>76000</v>
      </c>
      <c r="C30" s="42">
        <f t="shared" si="2"/>
        <v>16.739999999999998</v>
      </c>
      <c r="D30" s="42">
        <f t="shared" si="3"/>
        <v>10547</v>
      </c>
      <c r="E30" s="42">
        <f t="shared" si="4"/>
        <v>10.87</v>
      </c>
      <c r="F30" s="42">
        <f t="shared" si="5"/>
        <v>21458</v>
      </c>
      <c r="G30" s="42"/>
      <c r="H30" s="42" t="str">
        <f t="shared" si="6"/>
        <v>Y</v>
      </c>
      <c r="I30" s="42" t="str">
        <f t="shared" si="7"/>
        <v>Y</v>
      </c>
      <c r="J30" s="42" t="s">
        <v>5</v>
      </c>
      <c r="K30" s="42" t="s">
        <v>38</v>
      </c>
      <c r="L30" s="42" t="s">
        <v>38</v>
      </c>
      <c r="M30" s="42">
        <v>0</v>
      </c>
    </row>
    <row r="31" spans="1:13" x14ac:dyDescent="0.25">
      <c r="A31" s="42"/>
      <c r="B31" s="42"/>
      <c r="C31" s="42">
        <f>SUM(C23:C30)-C25</f>
        <v>264.30999999999949</v>
      </c>
      <c r="D31" s="20"/>
      <c r="E31" s="42">
        <f>SUM(E23:E30)-E25</f>
        <v>171.56000000000006</v>
      </c>
      <c r="F31" s="42"/>
      <c r="G31" s="42"/>
      <c r="H31" s="42"/>
      <c r="I31" s="42"/>
      <c r="J31" s="42"/>
      <c r="K31" s="42"/>
      <c r="L31" s="42"/>
      <c r="M31" s="42"/>
    </row>
    <row r="33" spans="1:12" x14ac:dyDescent="0.25">
      <c r="A33" s="59" t="s">
        <v>8</v>
      </c>
      <c r="B33" s="59"/>
      <c r="C33" s="59"/>
      <c r="D33" s="42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 t="s">
        <v>9</v>
      </c>
      <c r="B34" s="42" t="s">
        <v>39</v>
      </c>
      <c r="C34" s="42" t="s">
        <v>11</v>
      </c>
      <c r="D34" s="42"/>
      <c r="E34" s="42"/>
      <c r="F34" s="42"/>
      <c r="G34" s="42"/>
      <c r="H34" s="42"/>
      <c r="I34" s="42"/>
      <c r="J34" s="42"/>
      <c r="K34" s="42"/>
      <c r="L34" s="42"/>
    </row>
    <row r="35" spans="1:12" x14ac:dyDescent="0.25">
      <c r="A35" s="51">
        <f>SUMIF(H23:H30,"&lt;&gt;N",C23:C30)/SUM(C23:C30)</f>
        <v>2.522745321299194E-2</v>
      </c>
      <c r="B35" s="51">
        <f>SUMIF(I23:I30,"&lt;&gt;N",E23:E30)/SUM(E23:E30)</f>
        <v>0.82067869708319152</v>
      </c>
      <c r="C35" s="51">
        <f>(SUMIF(H23:H30,"&lt;&gt;N",C23:C30)+SUMIF(I23:I30,"&lt;&gt;N",E23:E30))/SUM(C23:C30,E23:E30)</f>
        <v>0.18715759012762131</v>
      </c>
      <c r="D35" s="60" t="s">
        <v>40</v>
      </c>
      <c r="E35" s="60"/>
      <c r="F35" s="60"/>
      <c r="G35" s="60"/>
      <c r="H35" s="60"/>
      <c r="I35" s="42"/>
      <c r="J35" s="42"/>
      <c r="K35" s="42"/>
      <c r="L35" s="42"/>
    </row>
    <row r="38" spans="1:12" x14ac:dyDescent="0.25">
      <c r="A38" s="59" t="s">
        <v>15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42"/>
    </row>
    <row r="39" spans="1:12" x14ac:dyDescent="0.25">
      <c r="A39" s="42"/>
      <c r="B39" s="59" t="s">
        <v>41</v>
      </c>
      <c r="C39" s="59"/>
      <c r="D39" s="59"/>
      <c r="E39" s="59" t="s">
        <v>42</v>
      </c>
      <c r="F39" s="59"/>
      <c r="G39" s="59"/>
      <c r="H39" s="59" t="s">
        <v>43</v>
      </c>
      <c r="I39" s="59"/>
      <c r="J39" s="42"/>
      <c r="K39" s="42"/>
      <c r="L39" s="42"/>
    </row>
    <row r="40" spans="1:12" x14ac:dyDescent="0.25">
      <c r="A40" s="42" t="s">
        <v>23</v>
      </c>
      <c r="B40" s="42" t="s">
        <v>44</v>
      </c>
      <c r="C40" s="42" t="s">
        <v>45</v>
      </c>
      <c r="D40" s="42" t="s">
        <v>46</v>
      </c>
      <c r="E40" s="42" t="s">
        <v>47</v>
      </c>
      <c r="F40" s="42" t="s">
        <v>14</v>
      </c>
      <c r="G40" s="42" t="s">
        <v>46</v>
      </c>
      <c r="H40" s="42" t="s">
        <v>41</v>
      </c>
      <c r="I40" s="42" t="s">
        <v>42</v>
      </c>
      <c r="J40" s="42" t="s">
        <v>20</v>
      </c>
      <c r="K40" s="42" t="s">
        <v>48</v>
      </c>
      <c r="L40" s="42"/>
    </row>
    <row r="41" spans="1:12" x14ac:dyDescent="0.25">
      <c r="A41" s="42" t="str">
        <f>A23</f>
        <v>Channel Islands</v>
      </c>
      <c r="B41" s="42">
        <f>C23</f>
        <v>0.9</v>
      </c>
      <c r="C41" s="42">
        <f>E23</f>
        <v>0.57999999999999996</v>
      </c>
      <c r="D41" s="42">
        <f>B41+C41</f>
        <v>1.48</v>
      </c>
      <c r="E41" s="42">
        <f>ROUND(VLOOKUP($A41,'Commercial pol27.67'!$A$1:$F$18,2, FALSE),2)</f>
        <v>0.82</v>
      </c>
      <c r="F41" s="42">
        <v>0</v>
      </c>
      <c r="G41" s="42">
        <f>E41+F41</f>
        <v>0.82</v>
      </c>
      <c r="H41" s="51">
        <f>D41/K41</f>
        <v>0.64347826086956528</v>
      </c>
      <c r="I41" s="51">
        <f>G41/K41</f>
        <v>0.35652173913043478</v>
      </c>
      <c r="J41" s="42" t="str">
        <f>VLOOKUP($A41,'Commercial pol27.67'!$A$1:$F$18,3, FALSE)</f>
        <v>MMO (2012)</v>
      </c>
      <c r="K41" s="42">
        <f>D41+G41</f>
        <v>2.2999999999999998</v>
      </c>
      <c r="L41" s="42">
        <f>(D41*M23)</f>
        <v>0</v>
      </c>
    </row>
    <row r="42" spans="1:12" x14ac:dyDescent="0.25">
      <c r="A42" s="42" t="str">
        <f t="shared" ref="A42:A48" si="8">A24</f>
        <v>England</v>
      </c>
      <c r="B42" s="42">
        <f t="shared" ref="B42:B48" si="9">C24</f>
        <v>194.74</v>
      </c>
      <c r="C42" s="42">
        <f t="shared" ref="C42:C48" si="10">E24</f>
        <v>126.4</v>
      </c>
      <c r="D42" s="42">
        <f t="shared" ref="D42:D48" si="11">B42+C42</f>
        <v>321.14</v>
      </c>
      <c r="E42" s="42">
        <f>ROUND(VLOOKUP($A42,'Commercial pol27.67'!$A$1:$F$18,2, FALSE),2)</f>
        <v>1435.54</v>
      </c>
      <c r="F42" s="42">
        <v>0</v>
      </c>
      <c r="G42" s="42">
        <f t="shared" ref="G42:G48" si="12">E42+F42</f>
        <v>1435.54</v>
      </c>
      <c r="H42" s="51">
        <f t="shared" ref="H42:H48" si="13">D42/K42</f>
        <v>0.18281075665459845</v>
      </c>
      <c r="I42" s="51">
        <f t="shared" ref="I42:I48" si="14">G42/K42</f>
        <v>0.81718924334540166</v>
      </c>
      <c r="J42" s="42" t="str">
        <f>VLOOKUP($A42,'Commercial pol27.67'!$A$1:$F$18,3, FALSE)</f>
        <v>MMO (2012)</v>
      </c>
      <c r="K42" s="42">
        <f t="shared" ref="K42:K48" si="15">D42+G42</f>
        <v>1756.6799999999998</v>
      </c>
      <c r="L42" s="42">
        <f t="shared" ref="L42:L48" si="16">(D42*M24)</f>
        <v>0</v>
      </c>
    </row>
    <row r="43" spans="1:12" x14ac:dyDescent="0.25">
      <c r="A43" s="42" t="str">
        <f t="shared" si="8"/>
        <v>France</v>
      </c>
      <c r="B43" s="42">
        <f t="shared" si="9"/>
        <v>2493.4</v>
      </c>
      <c r="C43" s="42">
        <f t="shared" si="10"/>
        <v>533.32000000000005</v>
      </c>
      <c r="D43" s="42">
        <f t="shared" si="11"/>
        <v>3026.7200000000003</v>
      </c>
      <c r="E43" s="42">
        <f>ROUND(VLOOKUP($A43,'Commercial pol27.67'!$A$1:$F$18,2, FALSE),2)</f>
        <v>1423</v>
      </c>
      <c r="F43" s="42">
        <v>0</v>
      </c>
      <c r="G43" s="42">
        <f t="shared" si="12"/>
        <v>1423</v>
      </c>
      <c r="H43" s="51">
        <f t="shared" si="13"/>
        <v>0.68020459714319104</v>
      </c>
      <c r="I43" s="51">
        <f t="shared" si="14"/>
        <v>0.31979540285680896</v>
      </c>
      <c r="J43" s="42" t="str">
        <f>VLOOKUP($A43,'Commercial pol27.67'!$A$1:$F$18,3, FALSE)</f>
        <v>WGCSE (2017)</v>
      </c>
      <c r="K43" s="42">
        <f t="shared" si="15"/>
        <v>4449.72</v>
      </c>
      <c r="L43" s="42">
        <f t="shared" si="16"/>
        <v>3026.7200000000003</v>
      </c>
    </row>
    <row r="44" spans="1:12" x14ac:dyDescent="0.25">
      <c r="A44" s="42" t="str">
        <f t="shared" si="8"/>
        <v>Ireland</v>
      </c>
      <c r="B44" s="42">
        <f t="shared" si="9"/>
        <v>16.87</v>
      </c>
      <c r="C44" s="42">
        <f t="shared" si="10"/>
        <v>10.95</v>
      </c>
      <c r="D44" s="42">
        <f t="shared" si="11"/>
        <v>27.82</v>
      </c>
      <c r="E44" s="42">
        <f>ROUND(VLOOKUP($A44,'Commercial pol27.67'!$A$1:$F$18,2, FALSE),2)</f>
        <v>1175</v>
      </c>
      <c r="F44" s="42">
        <v>0</v>
      </c>
      <c r="G44" s="42">
        <f t="shared" si="12"/>
        <v>1175</v>
      </c>
      <c r="H44" s="51">
        <f t="shared" si="13"/>
        <v>2.312898022979332E-2</v>
      </c>
      <c r="I44" s="51">
        <f t="shared" si="14"/>
        <v>0.97687101977020674</v>
      </c>
      <c r="J44" s="42" t="str">
        <f>VLOOKUP($A44,'Commercial pol27.67'!$A$1:$F$18,3, FALSE)</f>
        <v>WGCSE (2017)</v>
      </c>
      <c r="K44" s="42">
        <f t="shared" si="15"/>
        <v>1202.82</v>
      </c>
      <c r="L44" s="42">
        <f t="shared" si="16"/>
        <v>0</v>
      </c>
    </row>
    <row r="45" spans="1:12" x14ac:dyDescent="0.25">
      <c r="A45" s="42" t="str">
        <f t="shared" si="8"/>
        <v>Isle of Man</v>
      </c>
      <c r="B45" s="42">
        <f t="shared" si="9"/>
        <v>0.34</v>
      </c>
      <c r="C45" s="42">
        <f t="shared" si="10"/>
        <v>0.22</v>
      </c>
      <c r="D45" s="42">
        <f t="shared" si="11"/>
        <v>0.56000000000000005</v>
      </c>
      <c r="E45" s="42">
        <f>ROUND(VLOOKUP($A45,'Commercial pol27.67'!$A$1:$F$18,2, FALSE),2)</f>
        <v>8.18</v>
      </c>
      <c r="F45" s="42">
        <v>0</v>
      </c>
      <c r="G45" s="42">
        <f t="shared" si="12"/>
        <v>8.18</v>
      </c>
      <c r="H45" s="51">
        <f t="shared" si="13"/>
        <v>6.4073226544622428E-2</v>
      </c>
      <c r="I45" s="51">
        <f t="shared" si="14"/>
        <v>0.93592677345537756</v>
      </c>
      <c r="J45" s="42" t="str">
        <f>VLOOKUP($A45,'Commercial pol27.67'!$A$1:$F$18,3, FALSE)</f>
        <v>MMO (2012)</v>
      </c>
      <c r="K45" s="42">
        <f t="shared" si="15"/>
        <v>8.74</v>
      </c>
      <c r="L45" s="42">
        <f t="shared" si="16"/>
        <v>0</v>
      </c>
    </row>
    <row r="46" spans="1:12" x14ac:dyDescent="0.25">
      <c r="A46" s="42" t="str">
        <f t="shared" si="8"/>
        <v>Northern Ireland</v>
      </c>
      <c r="B46" s="42">
        <f t="shared" si="9"/>
        <v>7.14</v>
      </c>
      <c r="C46" s="42">
        <f t="shared" si="10"/>
        <v>4.6399999999999997</v>
      </c>
      <c r="D46" s="42">
        <f t="shared" si="11"/>
        <v>11.78</v>
      </c>
      <c r="E46" s="42">
        <f>ROUND(VLOOKUP($A46,'Commercial pol27.67'!$A$1:$F$18,2, FALSE),2)</f>
        <v>8.08</v>
      </c>
      <c r="F46" s="42">
        <v>0</v>
      </c>
      <c r="G46" s="42">
        <f t="shared" si="12"/>
        <v>8.08</v>
      </c>
      <c r="H46" s="51">
        <f t="shared" si="13"/>
        <v>0.59315206445115809</v>
      </c>
      <c r="I46" s="51">
        <f t="shared" si="14"/>
        <v>0.40684793554884191</v>
      </c>
      <c r="J46" s="42" t="str">
        <f>VLOOKUP($A46,'Commercial pol27.67'!$A$1:$F$18,3, FALSE)</f>
        <v>MMO (2012)</v>
      </c>
      <c r="K46" s="42">
        <f t="shared" si="15"/>
        <v>19.86</v>
      </c>
      <c r="L46" s="42">
        <f t="shared" si="16"/>
        <v>0</v>
      </c>
    </row>
    <row r="47" spans="1:12" x14ac:dyDescent="0.25">
      <c r="A47" s="42" t="str">
        <f t="shared" si="8"/>
        <v>Scotland</v>
      </c>
      <c r="B47" s="42">
        <f t="shared" si="9"/>
        <v>27.58</v>
      </c>
      <c r="C47" s="42">
        <f t="shared" si="10"/>
        <v>17.899999999999999</v>
      </c>
      <c r="D47" s="42">
        <f t="shared" si="11"/>
        <v>45.48</v>
      </c>
      <c r="E47" s="42">
        <f>ROUND(VLOOKUP($A47,'Commercial pol27.67'!$A$1:$F$18,2, FALSE),2)</f>
        <v>31.51</v>
      </c>
      <c r="F47" s="42">
        <v>0</v>
      </c>
      <c r="G47" s="42">
        <f t="shared" si="12"/>
        <v>31.51</v>
      </c>
      <c r="H47" s="51">
        <f t="shared" si="13"/>
        <v>0.59072606832056107</v>
      </c>
      <c r="I47" s="51">
        <f t="shared" si="14"/>
        <v>0.40927393167943893</v>
      </c>
      <c r="J47" s="42" t="str">
        <f>VLOOKUP($A47,'Commercial pol27.67'!$A$1:$F$18,3, FALSE)</f>
        <v>MMO (2012)</v>
      </c>
      <c r="K47" s="42">
        <f t="shared" si="15"/>
        <v>76.989999999999995</v>
      </c>
      <c r="L47" s="42">
        <f t="shared" si="16"/>
        <v>0</v>
      </c>
    </row>
    <row r="48" spans="1:12" x14ac:dyDescent="0.25">
      <c r="A48" s="42" t="str">
        <f t="shared" si="8"/>
        <v>Wales</v>
      </c>
      <c r="B48" s="42">
        <f t="shared" si="9"/>
        <v>16.739999999999998</v>
      </c>
      <c r="C48" s="42">
        <f t="shared" si="10"/>
        <v>10.87</v>
      </c>
      <c r="D48" s="42">
        <f t="shared" si="11"/>
        <v>27.61</v>
      </c>
      <c r="E48" s="42">
        <f>ROUND(VLOOKUP($A48,'Commercial pol27.67'!$A$1:$F$18,2, FALSE),2)</f>
        <v>1.42</v>
      </c>
      <c r="F48" s="42">
        <v>0</v>
      </c>
      <c r="G48" s="42">
        <f t="shared" si="12"/>
        <v>1.42</v>
      </c>
      <c r="H48" s="51">
        <f t="shared" si="13"/>
        <v>0.95108508439545292</v>
      </c>
      <c r="I48" s="51">
        <f t="shared" si="14"/>
        <v>4.8914915604547013E-2</v>
      </c>
      <c r="J48" s="42" t="str">
        <f>VLOOKUP($A48,'Commercial pol27.67'!$A$1:$F$18,3, FALSE)</f>
        <v>MMO (2012)</v>
      </c>
      <c r="K48" s="42">
        <f t="shared" si="15"/>
        <v>29.03</v>
      </c>
      <c r="L48" s="42">
        <f t="shared" si="16"/>
        <v>0</v>
      </c>
    </row>
    <row r="49" spans="1:12" x14ac:dyDescent="0.25">
      <c r="A49" s="52" t="s">
        <v>49</v>
      </c>
      <c r="B49" s="16">
        <f>SUM(B41:B48)</f>
        <v>2757.7099999999996</v>
      </c>
      <c r="C49" s="16">
        <f t="shared" ref="C49:D49" si="17">SUM(C41:C48)</f>
        <v>704.88000000000011</v>
      </c>
      <c r="D49" s="16">
        <f t="shared" si="17"/>
        <v>3462.5900000000006</v>
      </c>
      <c r="E49" s="16">
        <f>ROUND(VLOOKUP($A49,'Commercial pol27.67'!$A$1:$F$18,2, FALSE),2)</f>
        <v>4513</v>
      </c>
      <c r="F49" s="16">
        <v>0</v>
      </c>
      <c r="G49" s="16">
        <f>E49+F49</f>
        <v>4513</v>
      </c>
      <c r="H49" s="18">
        <f>D49/K49</f>
        <v>0.43414844544416159</v>
      </c>
      <c r="I49" s="18">
        <f>G49/K49</f>
        <v>0.56585155455583847</v>
      </c>
      <c r="J49" s="16" t="str">
        <f>VLOOKUP($A49,'Commercial pol27.67'!$A$1:$F$18,3, FALSE)</f>
        <v>WGCSE (2017)</v>
      </c>
      <c r="K49" s="16">
        <f>G49+D49</f>
        <v>7975.59</v>
      </c>
      <c r="L49" s="20">
        <f>SUM(L41:L48)/D49</f>
        <v>0.8741202394739197</v>
      </c>
    </row>
    <row r="53" spans="1:12" x14ac:dyDescent="0.25">
      <c r="A53" s="61" t="s">
        <v>50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42"/>
    </row>
    <row r="54" spans="1:12" x14ac:dyDescent="0.25">
      <c r="A54" s="42" t="s">
        <v>23</v>
      </c>
      <c r="B54" s="42" t="s">
        <v>31</v>
      </c>
      <c r="C54" s="42" t="s">
        <v>9</v>
      </c>
      <c r="D54" s="42" t="s">
        <v>26</v>
      </c>
      <c r="E54" s="42" t="s">
        <v>10</v>
      </c>
      <c r="F54" s="42" t="s">
        <v>27</v>
      </c>
      <c r="G54" s="42" t="s">
        <v>51</v>
      </c>
      <c r="H54" s="42" t="s">
        <v>46</v>
      </c>
      <c r="I54" s="42"/>
      <c r="J54" s="42"/>
      <c r="K54" s="42"/>
      <c r="L54" s="42"/>
    </row>
    <row r="55" spans="1:12" x14ac:dyDescent="0.25">
      <c r="A55" s="42" t="str">
        <f>A11</f>
        <v>Channel Islands</v>
      </c>
      <c r="B55" s="42">
        <f>B23</f>
        <v>4092</v>
      </c>
      <c r="C55" s="42">
        <f t="shared" ref="C55:F55" si="18">C23</f>
        <v>0.9</v>
      </c>
      <c r="D55" s="42">
        <f t="shared" si="18"/>
        <v>568</v>
      </c>
      <c r="E55" s="42">
        <f t="shared" si="18"/>
        <v>0.57999999999999996</v>
      </c>
      <c r="F55" s="42">
        <f t="shared" si="18"/>
        <v>1155</v>
      </c>
      <c r="G55" s="20">
        <f>E55*$B$6</f>
        <v>0.57999999999999996</v>
      </c>
      <c r="H55" s="20">
        <f>C55+G55</f>
        <v>1.48</v>
      </c>
      <c r="I55" s="42"/>
      <c r="J55" s="42"/>
      <c r="K55" s="42"/>
      <c r="L55" s="42"/>
    </row>
    <row r="56" spans="1:12" x14ac:dyDescent="0.25">
      <c r="A56" s="42" t="str">
        <f t="shared" ref="A56:A62" si="19">A12</f>
        <v>England</v>
      </c>
      <c r="B56" s="42">
        <f t="shared" ref="B56:F62" si="20">B24</f>
        <v>884000</v>
      </c>
      <c r="C56" s="42">
        <f t="shared" si="20"/>
        <v>194.74</v>
      </c>
      <c r="D56" s="42">
        <f t="shared" si="20"/>
        <v>122678</v>
      </c>
      <c r="E56" s="42">
        <f t="shared" si="20"/>
        <v>126.4</v>
      </c>
      <c r="F56" s="42">
        <f t="shared" si="20"/>
        <v>249593</v>
      </c>
      <c r="G56" s="20">
        <f t="shared" ref="G56:G62" si="21">E56*$B$6</f>
        <v>126.4</v>
      </c>
      <c r="H56" s="20">
        <f t="shared" ref="H56:H62" si="22">C56+G56</f>
        <v>321.14</v>
      </c>
      <c r="I56" s="42"/>
      <c r="J56" s="42"/>
      <c r="K56" s="42"/>
      <c r="L56" s="42"/>
    </row>
    <row r="57" spans="1:12" x14ac:dyDescent="0.25">
      <c r="A57" s="42" t="str">
        <f t="shared" si="19"/>
        <v>France</v>
      </c>
      <c r="B57" s="42">
        <f t="shared" si="20"/>
        <v>226366</v>
      </c>
      <c r="C57" s="42">
        <f t="shared" si="20"/>
        <v>2493.4</v>
      </c>
      <c r="D57" s="42">
        <f t="shared" si="20"/>
        <v>1570737</v>
      </c>
      <c r="E57" s="42">
        <f t="shared" si="20"/>
        <v>533.32000000000005</v>
      </c>
      <c r="F57" s="42">
        <f t="shared" si="20"/>
        <v>1053117</v>
      </c>
      <c r="G57" s="20">
        <f t="shared" si="21"/>
        <v>533.32000000000005</v>
      </c>
      <c r="H57" s="20">
        <f t="shared" si="22"/>
        <v>3026.7200000000003</v>
      </c>
      <c r="I57" s="42"/>
      <c r="J57" s="42"/>
      <c r="K57" s="42"/>
      <c r="L57" s="42"/>
    </row>
    <row r="58" spans="1:12" x14ac:dyDescent="0.25">
      <c r="A58" s="42" t="str">
        <f t="shared" si="19"/>
        <v>Ireland</v>
      </c>
      <c r="B58" s="42">
        <f t="shared" si="20"/>
        <v>76600</v>
      </c>
      <c r="C58" s="42">
        <f t="shared" si="20"/>
        <v>16.87</v>
      </c>
      <c r="D58" s="42">
        <f t="shared" si="20"/>
        <v>10630</v>
      </c>
      <c r="E58" s="42">
        <f t="shared" si="20"/>
        <v>10.95</v>
      </c>
      <c r="F58" s="42">
        <f t="shared" si="20"/>
        <v>21628</v>
      </c>
      <c r="G58" s="20">
        <f t="shared" si="21"/>
        <v>10.95</v>
      </c>
      <c r="H58" s="20">
        <f t="shared" si="22"/>
        <v>27.82</v>
      </c>
      <c r="I58" s="42"/>
      <c r="J58" s="42"/>
      <c r="K58" s="42"/>
      <c r="L58" s="42"/>
    </row>
    <row r="59" spans="1:12" x14ac:dyDescent="0.25">
      <c r="A59" s="42" t="str">
        <f t="shared" si="19"/>
        <v>Isle of Man</v>
      </c>
      <c r="B59" s="42">
        <f t="shared" si="20"/>
        <v>1560</v>
      </c>
      <c r="C59" s="42">
        <f t="shared" si="20"/>
        <v>0.34</v>
      </c>
      <c r="D59" s="42">
        <f t="shared" si="20"/>
        <v>216</v>
      </c>
      <c r="E59" s="42">
        <f t="shared" si="20"/>
        <v>0.22</v>
      </c>
      <c r="F59" s="42">
        <f t="shared" si="20"/>
        <v>440</v>
      </c>
      <c r="G59" s="20">
        <f t="shared" si="21"/>
        <v>0.22</v>
      </c>
      <c r="H59" s="20">
        <f t="shared" si="22"/>
        <v>0.56000000000000005</v>
      </c>
      <c r="I59" s="42"/>
      <c r="J59" s="42"/>
      <c r="K59" s="42"/>
      <c r="L59" s="42"/>
    </row>
    <row r="60" spans="1:12" x14ac:dyDescent="0.25">
      <c r="A60" s="42" t="str">
        <f t="shared" si="19"/>
        <v>Northern Ireland</v>
      </c>
      <c r="B60" s="42">
        <f t="shared" si="20"/>
        <v>32417</v>
      </c>
      <c r="C60" s="42">
        <f t="shared" si="20"/>
        <v>7.14</v>
      </c>
      <c r="D60" s="42">
        <f t="shared" si="20"/>
        <v>4499</v>
      </c>
      <c r="E60" s="42">
        <f t="shared" si="20"/>
        <v>4.6399999999999997</v>
      </c>
      <c r="F60" s="42">
        <f t="shared" si="20"/>
        <v>9153</v>
      </c>
      <c r="G60" s="20">
        <f t="shared" si="21"/>
        <v>4.6399999999999997</v>
      </c>
      <c r="H60" s="20">
        <f t="shared" si="22"/>
        <v>11.78</v>
      </c>
      <c r="I60" s="42"/>
      <c r="J60" s="42"/>
      <c r="K60" s="42"/>
      <c r="L60" s="42"/>
    </row>
    <row r="61" spans="1:12" x14ac:dyDescent="0.25">
      <c r="A61" s="42" t="str">
        <f t="shared" si="19"/>
        <v>Scotland</v>
      </c>
      <c r="B61" s="42">
        <f t="shared" si="20"/>
        <v>125188</v>
      </c>
      <c r="C61" s="42">
        <f t="shared" si="20"/>
        <v>27.58</v>
      </c>
      <c r="D61" s="42">
        <f t="shared" si="20"/>
        <v>17373</v>
      </c>
      <c r="E61" s="42">
        <f t="shared" si="20"/>
        <v>17.899999999999999</v>
      </c>
      <c r="F61" s="42">
        <f t="shared" si="20"/>
        <v>35346</v>
      </c>
      <c r="G61" s="20">
        <f t="shared" si="21"/>
        <v>17.899999999999999</v>
      </c>
      <c r="H61" s="20">
        <f t="shared" si="22"/>
        <v>45.48</v>
      </c>
      <c r="I61" s="42"/>
      <c r="J61" s="42"/>
      <c r="K61" s="42"/>
      <c r="L61" s="42"/>
    </row>
    <row r="62" spans="1:12" x14ac:dyDescent="0.25">
      <c r="A62" s="42" t="str">
        <f t="shared" si="19"/>
        <v>Wales</v>
      </c>
      <c r="B62" s="42">
        <f t="shared" si="20"/>
        <v>76000</v>
      </c>
      <c r="C62" s="42">
        <f t="shared" si="20"/>
        <v>16.739999999999998</v>
      </c>
      <c r="D62" s="42">
        <f t="shared" si="20"/>
        <v>10547</v>
      </c>
      <c r="E62" s="42">
        <f t="shared" si="20"/>
        <v>10.87</v>
      </c>
      <c r="F62" s="42">
        <f t="shared" si="20"/>
        <v>21458</v>
      </c>
      <c r="G62" s="20">
        <f t="shared" si="21"/>
        <v>10.87</v>
      </c>
      <c r="H62" s="20">
        <f t="shared" si="22"/>
        <v>27.61</v>
      </c>
      <c r="I62" t="s">
        <v>52</v>
      </c>
      <c r="J62" t="s">
        <v>53</v>
      </c>
      <c r="K62" t="s">
        <v>54</v>
      </c>
      <c r="L62" s="42"/>
    </row>
    <row r="63" spans="1:12" x14ac:dyDescent="0.25">
      <c r="A63" s="42"/>
      <c r="B63" s="42"/>
      <c r="C63" s="42"/>
      <c r="D63" s="42"/>
      <c r="E63" s="42"/>
      <c r="F63" s="42"/>
      <c r="G63" s="20" t="s">
        <v>55</v>
      </c>
      <c r="H63" s="20">
        <f>SUM(H55:H62)</f>
        <v>3462.5900000000006</v>
      </c>
      <c r="I63" s="49">
        <v>4819.9252799999995</v>
      </c>
      <c r="J63" s="49">
        <v>2105.2547199999999</v>
      </c>
      <c r="K63" s="42" t="str">
        <f>IF((AND(H63&lt;=I63,H63&gt;=J63)),"Good","Bad")</f>
        <v>Good</v>
      </c>
      <c r="L63" s="42"/>
    </row>
  </sheetData>
  <mergeCells count="10">
    <mergeCell ref="A9:H9"/>
    <mergeCell ref="A21:I21"/>
    <mergeCell ref="J21:L21"/>
    <mergeCell ref="A33:C33"/>
    <mergeCell ref="A38:K38"/>
    <mergeCell ref="B39:D39"/>
    <mergeCell ref="E39:G39"/>
    <mergeCell ref="H39:I39"/>
    <mergeCell ref="D35:H35"/>
    <mergeCell ref="A53:K53"/>
  </mergeCells>
  <conditionalFormatting sqref="K63">
    <cfRule type="cellIs" dxfId="1" priority="1" operator="equal">
      <formula>"Bad"</formula>
    </cfRule>
    <cfRule type="cellIs" dxfId="0" priority="2" operator="equal">
      <formula>"Good"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D2"/>
  <sheetViews>
    <sheetView workbookViewId="0">
      <selection activeCell="H17" sqref="H17"/>
    </sheetView>
  </sheetViews>
  <sheetFormatPr defaultColWidth="9.140625" defaultRowHeight="15" x14ac:dyDescent="0.25"/>
  <cols>
    <col min="1" max="1" width="12.140625" bestFit="1" customWidth="1"/>
    <col min="2" max="2" width="27.5703125" bestFit="1" customWidth="1"/>
    <col min="3" max="3" width="25.85546875" customWidth="1"/>
  </cols>
  <sheetData>
    <row r="1" spans="1:4" x14ac:dyDescent="0.25">
      <c r="A1" t="s">
        <v>41</v>
      </c>
      <c r="B1" t="s">
        <v>20</v>
      </c>
      <c r="C1" t="s">
        <v>42</v>
      </c>
      <c r="D1" t="s">
        <v>20</v>
      </c>
    </row>
    <row r="2" spans="1:4" x14ac:dyDescent="0.25">
      <c r="A2">
        <v>1</v>
      </c>
      <c r="B2" t="s">
        <v>100</v>
      </c>
      <c r="C2">
        <v>1</v>
      </c>
      <c r="D2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F2"/>
  <sheetViews>
    <sheetView workbookViewId="0">
      <selection activeCell="B3" sqref="B3"/>
    </sheetView>
  </sheetViews>
  <sheetFormatPr defaultColWidth="9.140625" defaultRowHeight="15" x14ac:dyDescent="0.25"/>
  <cols>
    <col min="4" max="4" width="28" bestFit="1" customWidth="1"/>
  </cols>
  <sheetData>
    <row r="1" spans="1:6" x14ac:dyDescent="0.25">
      <c r="A1" t="s">
        <v>101</v>
      </c>
      <c r="B1" t="s">
        <v>20</v>
      </c>
      <c r="C1" t="s">
        <v>12</v>
      </c>
      <c r="D1" t="s">
        <v>20</v>
      </c>
      <c r="E1" t="s">
        <v>13</v>
      </c>
      <c r="F1" t="s">
        <v>20</v>
      </c>
    </row>
    <row r="2" spans="1:6" x14ac:dyDescent="0.25">
      <c r="A2" t="s">
        <v>57</v>
      </c>
      <c r="B2" t="s">
        <v>251</v>
      </c>
      <c r="C2" t="s">
        <v>57</v>
      </c>
      <c r="D2" t="s">
        <v>254</v>
      </c>
      <c r="E2" t="s">
        <v>57</v>
      </c>
      <c r="F2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O51"/>
  <sheetViews>
    <sheetView workbookViewId="0">
      <selection activeCell="J1" sqref="J1"/>
    </sheetView>
  </sheetViews>
  <sheetFormatPr defaultColWidth="9.140625" defaultRowHeight="15" x14ac:dyDescent="0.25"/>
  <cols>
    <col min="1" max="1" width="18.5703125" customWidth="1"/>
    <col min="3" max="3" width="15.28515625" customWidth="1"/>
    <col min="4" max="4" width="18" customWidth="1"/>
    <col min="5" max="5" width="22.42578125" customWidth="1"/>
    <col min="6" max="6" width="11.5703125" customWidth="1"/>
    <col min="10" max="10" width="12" bestFit="1" customWidth="1"/>
    <col min="13" max="14" width="12" customWidth="1"/>
  </cols>
  <sheetData>
    <row r="1" spans="1:12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</row>
    <row r="2" spans="1:12" x14ac:dyDescent="0.25">
      <c r="A2" t="s">
        <v>107</v>
      </c>
      <c r="B2" t="s">
        <v>108</v>
      </c>
      <c r="C2">
        <v>23</v>
      </c>
      <c r="D2">
        <v>62</v>
      </c>
      <c r="E2" s="10">
        <f t="shared" ref="E2:E7" si="0">C2/D2</f>
        <v>0.37096774193548387</v>
      </c>
    </row>
    <row r="3" spans="1:12" x14ac:dyDescent="0.25">
      <c r="A3" t="s">
        <v>109</v>
      </c>
      <c r="B3" t="s">
        <v>110</v>
      </c>
      <c r="C3">
        <v>41</v>
      </c>
      <c r="D3">
        <v>82</v>
      </c>
      <c r="E3" s="10">
        <f t="shared" si="0"/>
        <v>0.5</v>
      </c>
    </row>
    <row r="4" spans="1:12" x14ac:dyDescent="0.25">
      <c r="A4" t="s">
        <v>111</v>
      </c>
      <c r="B4" t="s">
        <v>112</v>
      </c>
      <c r="C4">
        <v>5</v>
      </c>
      <c r="D4">
        <v>9</v>
      </c>
      <c r="E4" s="10">
        <f>C4/D4</f>
        <v>0.55555555555555558</v>
      </c>
      <c r="K4" t="s">
        <v>113</v>
      </c>
      <c r="L4" t="s">
        <v>114</v>
      </c>
    </row>
    <row r="5" spans="1:12" x14ac:dyDescent="0.25">
      <c r="A5" t="s">
        <v>115</v>
      </c>
      <c r="B5" t="s">
        <v>116</v>
      </c>
      <c r="C5">
        <v>41</v>
      </c>
      <c r="D5">
        <v>92</v>
      </c>
      <c r="E5" s="10">
        <f t="shared" si="0"/>
        <v>0.44565217391304346</v>
      </c>
      <c r="J5" t="s">
        <v>117</v>
      </c>
      <c r="K5">
        <f>K20/L20*1000</f>
        <v>3.3173241821366828</v>
      </c>
      <c r="L5">
        <f>M20/N20*1000</f>
        <v>1.0100170831009099</v>
      </c>
    </row>
    <row r="6" spans="1:12" x14ac:dyDescent="0.25">
      <c r="A6" t="s">
        <v>118</v>
      </c>
      <c r="B6" t="s">
        <v>119</v>
      </c>
      <c r="C6">
        <v>43</v>
      </c>
      <c r="D6">
        <v>118</v>
      </c>
      <c r="E6" s="10">
        <f t="shared" si="0"/>
        <v>0.36440677966101692</v>
      </c>
    </row>
    <row r="7" spans="1:12" x14ac:dyDescent="0.25">
      <c r="A7" t="s">
        <v>120</v>
      </c>
      <c r="B7" t="s">
        <v>121</v>
      </c>
      <c r="C7">
        <v>13</v>
      </c>
      <c r="D7">
        <v>36</v>
      </c>
      <c r="E7" s="10">
        <f t="shared" si="0"/>
        <v>0.3611111111111111</v>
      </c>
    </row>
    <row r="8" spans="1:12" x14ac:dyDescent="0.25">
      <c r="A8" s="28" t="s">
        <v>16</v>
      </c>
      <c r="B8" s="29"/>
      <c r="C8" s="28">
        <f>SUM(C2:C7)</f>
        <v>166</v>
      </c>
      <c r="D8" s="28">
        <f>SUM(D2:D7)</f>
        <v>399</v>
      </c>
      <c r="E8" s="30">
        <f>C8/D8</f>
        <v>0.41604010025062654</v>
      </c>
    </row>
    <row r="12" spans="1:12" x14ac:dyDescent="0.25">
      <c r="A12" s="31"/>
      <c r="B12" s="31" t="s">
        <v>122</v>
      </c>
      <c r="C12" s="31" t="s">
        <v>123</v>
      </c>
      <c r="D12" s="31" t="s">
        <v>124</v>
      </c>
      <c r="E12" s="31" t="s">
        <v>125</v>
      </c>
      <c r="F12" s="31" t="s">
        <v>126</v>
      </c>
      <c r="G12" s="31" t="s">
        <v>124</v>
      </c>
    </row>
    <row r="13" spans="1:12" x14ac:dyDescent="0.25">
      <c r="A13" s="31" t="s">
        <v>16</v>
      </c>
      <c r="B13" s="31">
        <f>G43</f>
        <v>123.26513195983486</v>
      </c>
      <c r="C13" s="32">
        <v>37158</v>
      </c>
      <c r="D13" s="31"/>
      <c r="E13" s="31">
        <f>O43</f>
        <v>10.418326212185885</v>
      </c>
      <c r="F13" s="32">
        <v>10315</v>
      </c>
      <c r="G13" s="31"/>
    </row>
    <row r="19" spans="1:15" x14ac:dyDescent="0.25">
      <c r="J19" s="27" t="s">
        <v>127</v>
      </c>
      <c r="K19" s="27" t="s">
        <v>128</v>
      </c>
      <c r="L19" s="27" t="s">
        <v>129</v>
      </c>
      <c r="M19" s="27" t="s">
        <v>130</v>
      </c>
      <c r="N19" s="27" t="s">
        <v>67</v>
      </c>
    </row>
    <row r="20" spans="1:15" x14ac:dyDescent="0.25">
      <c r="C20" s="2"/>
      <c r="J20" s="27" t="s">
        <v>16</v>
      </c>
      <c r="K20" s="27">
        <f>B13</f>
        <v>123.26513195983486</v>
      </c>
      <c r="L20" s="27">
        <f t="shared" ref="L20" si="1">C13</f>
        <v>37158</v>
      </c>
      <c r="M20" s="27">
        <f>E13</f>
        <v>10.418326212185885</v>
      </c>
      <c r="N20" s="27">
        <f>F13</f>
        <v>10315</v>
      </c>
      <c r="O20" s="2"/>
    </row>
    <row r="21" spans="1:15" x14ac:dyDescent="0.25">
      <c r="J21" s="27" t="s">
        <v>131</v>
      </c>
      <c r="K21" s="27">
        <f>ROUND(SUM(B43:D43)/1000,2)</f>
        <v>23.7</v>
      </c>
      <c r="L21" s="27">
        <f>ROUND(K21/($K$5/1000),0)</f>
        <v>7144</v>
      </c>
      <c r="M21" s="27">
        <f>ROUND(SUM(J43:L43)/1000,2)</f>
        <v>0.94</v>
      </c>
      <c r="N21" s="27">
        <f>ROUND(M21/($L$5/1000),0)</f>
        <v>931</v>
      </c>
    </row>
    <row r="22" spans="1:15" x14ac:dyDescent="0.25">
      <c r="J22" s="27" t="s">
        <v>132</v>
      </c>
      <c r="K22" s="27">
        <f>ROUND(SUM(E43:F43)/1000,2)</f>
        <v>99.56</v>
      </c>
      <c r="L22" s="27">
        <f>ROUND(K22/($K$5/1000),0)</f>
        <v>30012</v>
      </c>
      <c r="M22" s="27">
        <f>ROUND(SUM(M43:N43)/1000,2)</f>
        <v>9.4700000000000006</v>
      </c>
      <c r="N22" s="27">
        <f>ROUND(M22/($L$5/1000),0)</f>
        <v>9376</v>
      </c>
    </row>
    <row r="23" spans="1:15" x14ac:dyDescent="0.25">
      <c r="A23" t="s">
        <v>133</v>
      </c>
      <c r="B23" t="s">
        <v>134</v>
      </c>
    </row>
    <row r="24" spans="1:15" x14ac:dyDescent="0.25">
      <c r="A24" t="s">
        <v>135</v>
      </c>
      <c r="B24" t="s">
        <v>109</v>
      </c>
    </row>
    <row r="25" spans="1:15" x14ac:dyDescent="0.25">
      <c r="A25" t="s">
        <v>136</v>
      </c>
      <c r="B25" t="s">
        <v>118</v>
      </c>
    </row>
    <row r="26" spans="1:15" x14ac:dyDescent="0.25">
      <c r="A26" t="s">
        <v>137</v>
      </c>
      <c r="B26" t="s">
        <v>138</v>
      </c>
    </row>
    <row r="27" spans="1:15" x14ac:dyDescent="0.25">
      <c r="A27" t="s">
        <v>139</v>
      </c>
      <c r="B27" t="s">
        <v>120</v>
      </c>
    </row>
    <row r="29" spans="1:15" x14ac:dyDescent="0.25">
      <c r="A29" s="60" t="s">
        <v>140</v>
      </c>
      <c r="B29" s="60"/>
      <c r="C29" s="60"/>
      <c r="D29" s="60"/>
      <c r="E29" s="60"/>
      <c r="F29" s="60"/>
      <c r="G29" s="60"/>
      <c r="I29" s="60" t="s">
        <v>141</v>
      </c>
      <c r="J29" s="60"/>
      <c r="K29" s="60"/>
      <c r="L29" s="60"/>
      <c r="M29" s="60"/>
      <c r="N29" s="60"/>
      <c r="O29" s="60"/>
    </row>
    <row r="30" spans="1:15" x14ac:dyDescent="0.25">
      <c r="A30" t="s">
        <v>142</v>
      </c>
      <c r="B30" t="s">
        <v>143</v>
      </c>
      <c r="C30" t="s">
        <v>144</v>
      </c>
      <c r="D30" t="s">
        <v>145</v>
      </c>
      <c r="E30" t="s">
        <v>146</v>
      </c>
      <c r="F30" t="s">
        <v>147</v>
      </c>
      <c r="G30" t="s">
        <v>16</v>
      </c>
      <c r="I30" t="s">
        <v>142</v>
      </c>
      <c r="J30" t="s">
        <v>143</v>
      </c>
      <c r="K30" t="s">
        <v>144</v>
      </c>
      <c r="L30" t="s">
        <v>145</v>
      </c>
      <c r="M30" t="s">
        <v>146</v>
      </c>
      <c r="N30" t="s">
        <v>147</v>
      </c>
      <c r="O30" t="s">
        <v>16</v>
      </c>
    </row>
    <row r="31" spans="1:15" x14ac:dyDescent="0.25">
      <c r="A31" t="s">
        <v>148</v>
      </c>
      <c r="B31">
        <v>28.181818181818183</v>
      </c>
      <c r="C31">
        <v>3435.0564705293646</v>
      </c>
      <c r="D31">
        <v>13736.910330958113</v>
      </c>
      <c r="E31">
        <v>13572.001204392922</v>
      </c>
      <c r="F31">
        <v>745.32806324110663</v>
      </c>
      <c r="G31">
        <f>SUM(B31:F31)/1000</f>
        <v>31.517477887303325</v>
      </c>
      <c r="I31" t="s">
        <v>148</v>
      </c>
      <c r="J31">
        <v>0</v>
      </c>
      <c r="K31">
        <v>1026.8588534805467</v>
      </c>
      <c r="L31">
        <v>6350.068337391358</v>
      </c>
      <c r="M31">
        <v>4264.6101995188528</v>
      </c>
      <c r="N31">
        <v>1018.1027667984189</v>
      </c>
      <c r="O31">
        <f>SUM(J31:N31)/1000</f>
        <v>12.659640157189175</v>
      </c>
    </row>
    <row r="32" spans="1:15" x14ac:dyDescent="0.25">
      <c r="A32" t="s">
        <v>149</v>
      </c>
      <c r="B32">
        <v>89153.24444444447</v>
      </c>
      <c r="C32">
        <v>30168.587598577087</v>
      </c>
      <c r="D32">
        <v>15457.517894864452</v>
      </c>
      <c r="E32">
        <v>24132.521031207598</v>
      </c>
      <c r="F32">
        <v>1045.8498023715415</v>
      </c>
      <c r="G32">
        <f t="shared" ref="G32:G51" si="2">SUM(B32:F32)/1000</f>
        <v>159.95772077146515</v>
      </c>
      <c r="I32" t="s">
        <v>149</v>
      </c>
      <c r="J32">
        <v>13485.438383838384</v>
      </c>
      <c r="K32">
        <v>2479.0635763077735</v>
      </c>
      <c r="L32">
        <v>596.57210705082605</v>
      </c>
      <c r="M32">
        <v>22.731283831405136</v>
      </c>
      <c r="N32">
        <v>72.569169960474312</v>
      </c>
      <c r="O32">
        <f t="shared" ref="O32:O51" si="3">SUM(J32:N32)/1000</f>
        <v>16.656374520988866</v>
      </c>
    </row>
    <row r="33" spans="1:15" x14ac:dyDescent="0.25">
      <c r="A33" t="s">
        <v>150</v>
      </c>
      <c r="B33">
        <v>0</v>
      </c>
      <c r="C33">
        <v>0</v>
      </c>
      <c r="D33">
        <v>863.83330997115991</v>
      </c>
      <c r="E33">
        <v>4687.978290366349</v>
      </c>
      <c r="F33">
        <v>0</v>
      </c>
      <c r="G33">
        <f t="shared" si="2"/>
        <v>5.5518116003375093</v>
      </c>
      <c r="I33" t="s">
        <v>150</v>
      </c>
      <c r="J33">
        <v>137.77777777777777</v>
      </c>
      <c r="K33">
        <v>0</v>
      </c>
      <c r="L33">
        <v>14317.376673184399</v>
      </c>
      <c r="M33">
        <v>63573.759315311545</v>
      </c>
      <c r="N33">
        <v>6573.4861660079041</v>
      </c>
      <c r="O33">
        <f t="shared" si="3"/>
        <v>84.602399932281628</v>
      </c>
    </row>
    <row r="34" spans="1:15" x14ac:dyDescent="0.25">
      <c r="A34" t="s">
        <v>151</v>
      </c>
      <c r="B34">
        <v>118.26300584258668</v>
      </c>
      <c r="C34">
        <v>12302.915257242745</v>
      </c>
      <c r="D34">
        <v>431.46039845401179</v>
      </c>
      <c r="E34">
        <v>84.29294979723413</v>
      </c>
      <c r="F34">
        <v>0</v>
      </c>
      <c r="G34">
        <f t="shared" si="2"/>
        <v>12.936931611336579</v>
      </c>
      <c r="I34" t="s">
        <v>151</v>
      </c>
      <c r="J34">
        <v>52.460171410280878</v>
      </c>
      <c r="K34">
        <v>205.8685639143884</v>
      </c>
      <c r="L34">
        <v>374.55553952752808</v>
      </c>
      <c r="M34">
        <v>48.032564450474894</v>
      </c>
      <c r="N34">
        <v>0</v>
      </c>
      <c r="O34">
        <f t="shared" si="3"/>
        <v>0.68091683930267233</v>
      </c>
    </row>
    <row r="35" spans="1:15" x14ac:dyDescent="0.25">
      <c r="A35" t="s">
        <v>152</v>
      </c>
      <c r="B35">
        <v>0</v>
      </c>
      <c r="C35">
        <v>3599.4665531190121</v>
      </c>
      <c r="D35">
        <v>1371.4249644454651</v>
      </c>
      <c r="E35">
        <v>2344.2798749985345</v>
      </c>
      <c r="F35">
        <v>2946.6892638235909</v>
      </c>
      <c r="G35">
        <f t="shared" si="2"/>
        <v>10.261860656386604</v>
      </c>
      <c r="I35" t="s">
        <v>152</v>
      </c>
      <c r="J35">
        <v>0</v>
      </c>
      <c r="K35">
        <v>24596.810446104992</v>
      </c>
      <c r="L35">
        <v>8275.7173985071895</v>
      </c>
      <c r="M35">
        <v>12890.75805724396</v>
      </c>
      <c r="N35">
        <v>28557.310765519775</v>
      </c>
      <c r="O35">
        <f t="shared" si="3"/>
        <v>74.320596667375909</v>
      </c>
    </row>
    <row r="36" spans="1:15" x14ac:dyDescent="0.25">
      <c r="A36" t="s">
        <v>153</v>
      </c>
      <c r="B36">
        <v>0</v>
      </c>
      <c r="C36">
        <v>0</v>
      </c>
      <c r="D36">
        <v>0</v>
      </c>
      <c r="E36">
        <v>0</v>
      </c>
      <c r="F36">
        <v>0</v>
      </c>
      <c r="G36">
        <f t="shared" si="2"/>
        <v>0</v>
      </c>
      <c r="I36" t="s">
        <v>153</v>
      </c>
      <c r="J36">
        <v>0</v>
      </c>
      <c r="K36">
        <v>21.99701937406855</v>
      </c>
      <c r="L36">
        <v>0</v>
      </c>
      <c r="M36">
        <v>0</v>
      </c>
      <c r="N36">
        <v>0</v>
      </c>
      <c r="O36">
        <f t="shared" si="3"/>
        <v>2.199701937406855E-2</v>
      </c>
    </row>
    <row r="37" spans="1:15" x14ac:dyDescent="0.25">
      <c r="A37" t="s">
        <v>154</v>
      </c>
      <c r="B37">
        <v>98.239656052151958</v>
      </c>
      <c r="C37">
        <v>0</v>
      </c>
      <c r="D37">
        <v>0</v>
      </c>
      <c r="E37">
        <v>0</v>
      </c>
      <c r="F37">
        <v>0</v>
      </c>
      <c r="G37">
        <f t="shared" si="2"/>
        <v>9.8239656052151958E-2</v>
      </c>
      <c r="I37" t="s">
        <v>154</v>
      </c>
      <c r="J37">
        <v>8.5171717171717169</v>
      </c>
      <c r="K37">
        <v>3.7394932935916541</v>
      </c>
      <c r="L37">
        <v>0</v>
      </c>
      <c r="M37">
        <v>0</v>
      </c>
      <c r="N37">
        <v>0</v>
      </c>
      <c r="O37">
        <f t="shared" si="3"/>
        <v>1.2256665010763371E-2</v>
      </c>
    </row>
    <row r="38" spans="1:15" x14ac:dyDescent="0.25">
      <c r="A38" t="s">
        <v>155</v>
      </c>
      <c r="B38">
        <v>7207.13766233766</v>
      </c>
      <c r="C38">
        <v>25706.487060830041</v>
      </c>
      <c r="D38">
        <v>7899.3829483348827</v>
      </c>
      <c r="E38">
        <v>27201.43309760854</v>
      </c>
      <c r="F38">
        <v>3697.6391783870645</v>
      </c>
      <c r="G38">
        <f t="shared" si="2"/>
        <v>71.712079947498196</v>
      </c>
      <c r="I38" t="s">
        <v>155</v>
      </c>
      <c r="J38">
        <v>2450.7665775958462</v>
      </c>
      <c r="K38">
        <v>12798.599105812218</v>
      </c>
      <c r="L38">
        <v>1396.614845119813</v>
      </c>
      <c r="M38">
        <v>3763.3330961512434</v>
      </c>
      <c r="N38">
        <v>129.0877470355731</v>
      </c>
      <c r="O38">
        <f t="shared" si="3"/>
        <v>20.538401371714695</v>
      </c>
    </row>
    <row r="39" spans="1:15" x14ac:dyDescent="0.25">
      <c r="A39" t="s">
        <v>156</v>
      </c>
      <c r="B39">
        <v>0</v>
      </c>
      <c r="C39">
        <v>81.511912156791809</v>
      </c>
      <c r="D39">
        <v>0</v>
      </c>
      <c r="E39">
        <v>10452.283064860007</v>
      </c>
      <c r="F39">
        <v>0</v>
      </c>
      <c r="G39">
        <f t="shared" si="2"/>
        <v>10.533794977016798</v>
      </c>
      <c r="I39" t="s">
        <v>156</v>
      </c>
      <c r="J39">
        <v>0</v>
      </c>
      <c r="K39">
        <v>81.511912156791809</v>
      </c>
      <c r="L39">
        <v>0</v>
      </c>
      <c r="M39">
        <v>14053.743162084547</v>
      </c>
      <c r="N39">
        <v>0</v>
      </c>
      <c r="O39">
        <f t="shared" si="3"/>
        <v>14.135255074241339</v>
      </c>
    </row>
    <row r="40" spans="1:15" x14ac:dyDescent="0.25">
      <c r="A40" t="s">
        <v>157</v>
      </c>
      <c r="B40">
        <v>0</v>
      </c>
      <c r="C40">
        <v>595.36014346369461</v>
      </c>
      <c r="D40">
        <v>868.74323168994022</v>
      </c>
      <c r="E40">
        <v>5330.3542329414877</v>
      </c>
      <c r="F40">
        <v>51.225296442687743</v>
      </c>
      <c r="G40">
        <f t="shared" si="2"/>
        <v>6.8456829045378109</v>
      </c>
      <c r="I40" t="s">
        <v>157</v>
      </c>
      <c r="J40">
        <v>13.718259122989897</v>
      </c>
      <c r="K40">
        <v>4072.396654331747</v>
      </c>
      <c r="L40">
        <v>919.79391858683391</v>
      </c>
      <c r="M40">
        <v>3977.1633205089415</v>
      </c>
      <c r="N40">
        <v>260.48063241106718</v>
      </c>
      <c r="O40">
        <f t="shared" si="3"/>
        <v>9.2435527849615795</v>
      </c>
    </row>
    <row r="41" spans="1:15" x14ac:dyDescent="0.25">
      <c r="A41" t="s">
        <v>158</v>
      </c>
      <c r="B41">
        <v>0</v>
      </c>
      <c r="C41">
        <v>4373.4396425123969</v>
      </c>
      <c r="D41">
        <v>11949.249331250701</v>
      </c>
      <c r="E41">
        <v>26791.789563979819</v>
      </c>
      <c r="F41">
        <v>0</v>
      </c>
      <c r="G41">
        <f t="shared" si="2"/>
        <v>43.114478537742919</v>
      </c>
      <c r="I41" t="s">
        <v>158</v>
      </c>
      <c r="J41">
        <v>0</v>
      </c>
      <c r="K41">
        <v>25.172218890044238</v>
      </c>
      <c r="L41">
        <v>2900.5400669476385</v>
      </c>
      <c r="M41">
        <v>7435.3835355097317</v>
      </c>
      <c r="N41">
        <v>0</v>
      </c>
      <c r="O41">
        <f t="shared" si="3"/>
        <v>10.361095821347416</v>
      </c>
    </row>
    <row r="42" spans="1:15" x14ac:dyDescent="0.25">
      <c r="A42" t="s">
        <v>159</v>
      </c>
      <c r="B42">
        <v>34134.444444444438</v>
      </c>
      <c r="C42">
        <v>0</v>
      </c>
      <c r="D42">
        <v>293.55719665203759</v>
      </c>
      <c r="E42">
        <v>23023.18906697453</v>
      </c>
      <c r="F42">
        <v>512.42371541501973</v>
      </c>
      <c r="G42">
        <f t="shared" si="2"/>
        <v>57.963614423486028</v>
      </c>
      <c r="I42" t="s">
        <v>159</v>
      </c>
      <c r="J42">
        <v>1396.6909090909091</v>
      </c>
      <c r="K42">
        <v>0</v>
      </c>
      <c r="L42">
        <v>0</v>
      </c>
      <c r="M42">
        <v>153.70420624151964</v>
      </c>
      <c r="N42">
        <v>17.07509881422925</v>
      </c>
      <c r="O42">
        <f t="shared" si="3"/>
        <v>1.5674702141466581</v>
      </c>
    </row>
    <row r="43" spans="1:15" x14ac:dyDescent="0.25">
      <c r="A43" s="33" t="s">
        <v>160</v>
      </c>
      <c r="B43" s="33">
        <v>2824.4444444444439</v>
      </c>
      <c r="C43" s="33">
        <v>2120.8708978391819</v>
      </c>
      <c r="D43" s="33">
        <v>18759.312862389372</v>
      </c>
      <c r="E43" s="33">
        <v>95155.600304844003</v>
      </c>
      <c r="F43" s="33">
        <v>4404.9034503178536</v>
      </c>
      <c r="G43" s="33">
        <f t="shared" si="2"/>
        <v>123.26513195983486</v>
      </c>
      <c r="H43" s="33"/>
      <c r="I43" s="33" t="s">
        <v>160</v>
      </c>
      <c r="J43" s="33">
        <v>0</v>
      </c>
      <c r="K43" s="33">
        <v>0</v>
      </c>
      <c r="L43" s="33">
        <v>943.98419154304565</v>
      </c>
      <c r="M43" s="33">
        <v>5399.7965660973869</v>
      </c>
      <c r="N43" s="33">
        <v>4074.545454545454</v>
      </c>
      <c r="O43" s="33">
        <f t="shared" si="3"/>
        <v>10.418326212185885</v>
      </c>
    </row>
    <row r="44" spans="1:15" x14ac:dyDescent="0.25">
      <c r="A44" t="s">
        <v>161</v>
      </c>
      <c r="B44">
        <v>1648.072727272727</v>
      </c>
      <c r="C44">
        <v>0</v>
      </c>
      <c r="D44">
        <v>0</v>
      </c>
      <c r="E44">
        <v>214.32130257801893</v>
      </c>
      <c r="F44">
        <v>0</v>
      </c>
      <c r="G44">
        <f t="shared" si="2"/>
        <v>1.862394029850746</v>
      </c>
      <c r="I44" t="s">
        <v>161</v>
      </c>
      <c r="J44">
        <v>0</v>
      </c>
      <c r="K44">
        <v>0</v>
      </c>
      <c r="L44">
        <v>0</v>
      </c>
      <c r="M44">
        <v>57.63907734056987</v>
      </c>
      <c r="N44">
        <v>9.4110372711462436</v>
      </c>
      <c r="O44">
        <f t="shared" si="3"/>
        <v>6.7050114611716116E-2</v>
      </c>
    </row>
    <row r="45" spans="1:15" x14ac:dyDescent="0.25">
      <c r="A45" t="s">
        <v>162</v>
      </c>
      <c r="B45">
        <v>0</v>
      </c>
      <c r="C45">
        <v>31.014570717843309</v>
      </c>
      <c r="D45">
        <v>17219.326333724868</v>
      </c>
      <c r="E45">
        <v>9317.4407025907149</v>
      </c>
      <c r="F45">
        <v>170.75098814229247</v>
      </c>
      <c r="G45">
        <f t="shared" si="2"/>
        <v>26.738532595175716</v>
      </c>
      <c r="I45" t="s">
        <v>162</v>
      </c>
      <c r="J45">
        <v>0</v>
      </c>
      <c r="K45">
        <v>0</v>
      </c>
      <c r="L45">
        <v>5912.8994954273212</v>
      </c>
      <c r="M45">
        <v>4387.8787706712646</v>
      </c>
      <c r="N45">
        <v>70.434782608695642</v>
      </c>
      <c r="O45">
        <f t="shared" si="3"/>
        <v>10.371213048707283</v>
      </c>
    </row>
    <row r="46" spans="1:15" x14ac:dyDescent="0.25">
      <c r="A46" t="s">
        <v>163</v>
      </c>
      <c r="B46">
        <v>417.34141414141419</v>
      </c>
      <c r="C46">
        <v>34032.878398265006</v>
      </c>
      <c r="D46">
        <v>608.87229061015682</v>
      </c>
      <c r="E46">
        <v>268.91620182903665</v>
      </c>
      <c r="F46">
        <v>492.53122529644264</v>
      </c>
      <c r="G46">
        <f t="shared" si="2"/>
        <v>35.820539530142057</v>
      </c>
      <c r="I46" t="s">
        <v>163</v>
      </c>
      <c r="J46">
        <v>139.65656565656565</v>
      </c>
      <c r="K46">
        <v>22230.194155381323</v>
      </c>
      <c r="L46">
        <v>9479.3171788606251</v>
      </c>
      <c r="M46">
        <v>12895.008962029404</v>
      </c>
      <c r="N46">
        <v>5825.2031715415014</v>
      </c>
      <c r="O46">
        <f t="shared" si="3"/>
        <v>50.569380033469415</v>
      </c>
    </row>
    <row r="47" spans="1:15" x14ac:dyDescent="0.25">
      <c r="A47" t="s">
        <v>164</v>
      </c>
      <c r="B47">
        <v>1039.0949494949496</v>
      </c>
      <c r="C47">
        <v>549.92548435171386</v>
      </c>
      <c r="D47">
        <v>2569.6551724137935</v>
      </c>
      <c r="E47">
        <v>0</v>
      </c>
      <c r="F47">
        <v>72.569169960474298</v>
      </c>
      <c r="G47">
        <f t="shared" si="2"/>
        <v>4.2312447762209304</v>
      </c>
      <c r="I47" t="s">
        <v>164</v>
      </c>
      <c r="J47">
        <v>3011.2295938405027</v>
      </c>
      <c r="K47">
        <v>31484.342071824663</v>
      </c>
      <c r="L47">
        <v>25908.564028770797</v>
      </c>
      <c r="M47">
        <v>997.85644011348199</v>
      </c>
      <c r="N47">
        <v>11705.605803889326</v>
      </c>
      <c r="O47">
        <f t="shared" si="3"/>
        <v>73.107597938438758</v>
      </c>
    </row>
    <row r="48" spans="1:15" x14ac:dyDescent="0.25">
      <c r="A48" t="s">
        <v>165</v>
      </c>
      <c r="B48">
        <v>0</v>
      </c>
      <c r="C48">
        <v>0</v>
      </c>
      <c r="D48">
        <v>0</v>
      </c>
      <c r="E48">
        <v>0</v>
      </c>
      <c r="F48">
        <v>239.0513833992095</v>
      </c>
      <c r="G48">
        <f t="shared" si="2"/>
        <v>0.2390513833992095</v>
      </c>
      <c r="I48" t="s">
        <v>165</v>
      </c>
      <c r="J48">
        <v>0</v>
      </c>
      <c r="K48">
        <v>1964.92041728763</v>
      </c>
      <c r="L48">
        <v>24286.850911860744</v>
      </c>
      <c r="M48">
        <v>1637.9104477611938</v>
      </c>
      <c r="N48">
        <v>15356.490118577074</v>
      </c>
      <c r="O48">
        <f t="shared" si="3"/>
        <v>43.246171895486647</v>
      </c>
    </row>
    <row r="49" spans="1:15" x14ac:dyDescent="0.25">
      <c r="A49" t="s">
        <v>166</v>
      </c>
      <c r="B49">
        <v>9555.6843407329525</v>
      </c>
      <c r="C49">
        <v>6034.8328964346001</v>
      </c>
      <c r="D49">
        <v>4087.0788963514806</v>
      </c>
      <c r="E49">
        <v>23101.259680976262</v>
      </c>
      <c r="F49">
        <v>248.33993274887229</v>
      </c>
      <c r="G49">
        <f t="shared" si="2"/>
        <v>43.027195747244171</v>
      </c>
      <c r="I49" t="s">
        <v>166</v>
      </c>
      <c r="J49">
        <v>3395.8676945871844</v>
      </c>
      <c r="K49">
        <v>8817.6188342750502</v>
      </c>
      <c r="L49">
        <v>2387.0995110626727</v>
      </c>
      <c r="M49">
        <v>5730.451708733176</v>
      </c>
      <c r="N49">
        <v>165.78522336537011</v>
      </c>
      <c r="O49">
        <f t="shared" si="3"/>
        <v>20.496822972023452</v>
      </c>
    </row>
    <row r="50" spans="1:15" x14ac:dyDescent="0.25">
      <c r="A50" t="s">
        <v>167</v>
      </c>
      <c r="B50">
        <v>2492.0242424242424</v>
      </c>
      <c r="C50">
        <v>1074.6451230701005</v>
      </c>
      <c r="D50">
        <v>1810.629466394013</v>
      </c>
      <c r="E50">
        <v>3973.8765314755865</v>
      </c>
      <c r="F50">
        <v>196.02213438735174</v>
      </c>
      <c r="G50">
        <f t="shared" si="2"/>
        <v>9.5471974977512932</v>
      </c>
      <c r="I50" t="s">
        <v>167</v>
      </c>
      <c r="J50">
        <v>587.93535353535344</v>
      </c>
      <c r="K50">
        <v>412.61720288386641</v>
      </c>
      <c r="L50">
        <v>4799.2218666390672</v>
      </c>
      <c r="M50">
        <v>12246.668292845487</v>
      </c>
      <c r="N50">
        <v>377.95167149407109</v>
      </c>
      <c r="O50">
        <f t="shared" si="3"/>
        <v>18.424394387397847</v>
      </c>
    </row>
    <row r="51" spans="1:15" x14ac:dyDescent="0.25">
      <c r="A51" t="s">
        <v>168</v>
      </c>
      <c r="B51">
        <v>0</v>
      </c>
      <c r="C51">
        <v>5.4992548435171376</v>
      </c>
      <c r="D51">
        <v>77.868338557993738</v>
      </c>
      <c r="E51">
        <v>93.663500678426061</v>
      </c>
      <c r="F51">
        <v>38.418972332015812</v>
      </c>
      <c r="G51">
        <f t="shared" si="2"/>
        <v>0.21545006641195275</v>
      </c>
      <c r="I51" t="s">
        <v>168</v>
      </c>
      <c r="J51">
        <v>0</v>
      </c>
      <c r="K51">
        <v>0</v>
      </c>
      <c r="L51">
        <v>864.64556814329876</v>
      </c>
      <c r="M51">
        <v>4244.8145126164427</v>
      </c>
      <c r="N51">
        <v>18.822074542292487</v>
      </c>
      <c r="O51">
        <f t="shared" si="3"/>
        <v>5.1282821553020339</v>
      </c>
    </row>
  </sheetData>
  <mergeCells count="2">
    <mergeCell ref="A29:G29"/>
    <mergeCell ref="I29:O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V74"/>
  <sheetViews>
    <sheetView zoomScale="85" zoomScaleNormal="85" workbookViewId="0">
      <selection activeCell="Y59" sqref="Y59"/>
    </sheetView>
  </sheetViews>
  <sheetFormatPr defaultColWidth="9.140625" defaultRowHeight="15" x14ac:dyDescent="0.25"/>
  <cols>
    <col min="1" max="1" width="11.5703125" bestFit="1" customWidth="1"/>
    <col min="10" max="10" width="11.5703125" bestFit="1" customWidth="1"/>
    <col min="11" max="11" width="10.5703125" bestFit="1" customWidth="1"/>
    <col min="15" max="15" width="9.5703125" bestFit="1" customWidth="1"/>
    <col min="18" max="18" width="10.5703125" bestFit="1" customWidth="1"/>
    <col min="19" max="19" width="11" bestFit="1" customWidth="1"/>
    <col min="20" max="20" width="13.140625" bestFit="1" customWidth="1"/>
    <col min="21" max="21" width="15.42578125" bestFit="1" customWidth="1"/>
    <col min="22" max="22" width="9.5703125" bestFit="1" customWidth="1"/>
  </cols>
  <sheetData>
    <row r="1" spans="1:21" x14ac:dyDescent="0.25">
      <c r="A1" s="60" t="s">
        <v>169</v>
      </c>
      <c r="B1" s="60"/>
      <c r="C1" s="60"/>
      <c r="D1" s="60"/>
      <c r="E1" s="60"/>
      <c r="J1" s="60" t="s">
        <v>170</v>
      </c>
      <c r="K1" s="60"/>
      <c r="L1" s="60"/>
      <c r="M1" s="60"/>
      <c r="N1" s="60"/>
    </row>
    <row r="2" spans="1:21" x14ac:dyDescent="0.25">
      <c r="A2" t="s">
        <v>171</v>
      </c>
      <c r="B2" t="s">
        <v>172</v>
      </c>
      <c r="C2" t="s">
        <v>173</v>
      </c>
      <c r="D2" t="s">
        <v>174</v>
      </c>
      <c r="E2" t="s">
        <v>127</v>
      </c>
      <c r="J2" t="s">
        <v>171</v>
      </c>
      <c r="K2" t="s">
        <v>172</v>
      </c>
      <c r="L2" t="s">
        <v>175</v>
      </c>
      <c r="M2" t="s">
        <v>174</v>
      </c>
      <c r="N2" t="s">
        <v>127</v>
      </c>
    </row>
    <row r="3" spans="1:21" x14ac:dyDescent="0.25">
      <c r="A3" t="s">
        <v>176</v>
      </c>
      <c r="B3">
        <f>SUM(C23:C26)</f>
        <v>60426</v>
      </c>
      <c r="C3">
        <v>0</v>
      </c>
      <c r="D3">
        <f>ROUND(B3*C3,0)</f>
        <v>0</v>
      </c>
      <c r="E3" t="s">
        <v>177</v>
      </c>
      <c r="J3" t="s">
        <v>176</v>
      </c>
      <c r="K3">
        <f>SUM(L23:L26)</f>
        <v>11265</v>
      </c>
      <c r="L3">
        <v>0</v>
      </c>
      <c r="M3">
        <f>ROUND(K3*L3,0)</f>
        <v>0</v>
      </c>
      <c r="N3" t="s">
        <v>177</v>
      </c>
    </row>
    <row r="4" spans="1:21" x14ac:dyDescent="0.25">
      <c r="A4" t="s">
        <v>178</v>
      </c>
      <c r="B4">
        <f>SUM(C27:C30)</f>
        <v>29009</v>
      </c>
      <c r="C4">
        <v>0.66100000000000003</v>
      </c>
      <c r="D4">
        <f t="shared" ref="D4:D15" si="0">ROUND(B4*C4,0)</f>
        <v>19175</v>
      </c>
      <c r="E4" t="s">
        <v>177</v>
      </c>
      <c r="J4" t="s">
        <v>178</v>
      </c>
      <c r="K4">
        <f>SUM(L27:L30)</f>
        <v>7394</v>
      </c>
      <c r="L4">
        <v>0.34100000000000003</v>
      </c>
      <c r="M4">
        <f t="shared" ref="M4:M15" si="1">ROUND(K4*L4,0)</f>
        <v>2521</v>
      </c>
      <c r="N4" t="s">
        <v>177</v>
      </c>
      <c r="T4" s="60" t="s">
        <v>170</v>
      </c>
      <c r="U4" s="60"/>
    </row>
    <row r="5" spans="1:21" x14ac:dyDescent="0.25">
      <c r="A5" t="s">
        <v>179</v>
      </c>
      <c r="B5">
        <f>SUM(C31:C34)</f>
        <v>45542</v>
      </c>
      <c r="C5">
        <v>0.185</v>
      </c>
      <c r="D5">
        <f t="shared" si="0"/>
        <v>8425</v>
      </c>
      <c r="E5" t="s">
        <v>177</v>
      </c>
      <c r="J5" t="s">
        <v>179</v>
      </c>
      <c r="K5">
        <f>SUM(L31:L34)</f>
        <v>29272</v>
      </c>
      <c r="L5">
        <v>0.10199999999999999</v>
      </c>
      <c r="M5">
        <f t="shared" si="1"/>
        <v>2986</v>
      </c>
      <c r="N5" t="s">
        <v>177</v>
      </c>
      <c r="T5" s="24" t="s">
        <v>180</v>
      </c>
      <c r="U5" t="s">
        <v>181</v>
      </c>
    </row>
    <row r="6" spans="1:21" x14ac:dyDescent="0.25">
      <c r="A6" t="s">
        <v>182</v>
      </c>
      <c r="B6">
        <f>SUM(C35:C38)</f>
        <v>19805</v>
      </c>
      <c r="C6">
        <v>6.0000000000000001E-3</v>
      </c>
      <c r="D6">
        <f t="shared" si="0"/>
        <v>119</v>
      </c>
      <c r="E6" t="s">
        <v>177</v>
      </c>
      <c r="J6" t="s">
        <v>182</v>
      </c>
      <c r="K6">
        <f>SUM(L35:L38)</f>
        <v>0</v>
      </c>
      <c r="L6">
        <v>0</v>
      </c>
      <c r="M6">
        <f t="shared" si="1"/>
        <v>0</v>
      </c>
      <c r="N6" t="s">
        <v>177</v>
      </c>
      <c r="T6" s="22" t="s">
        <v>177</v>
      </c>
      <c r="U6" s="25">
        <v>17544</v>
      </c>
    </row>
    <row r="7" spans="1:21" x14ac:dyDescent="0.25">
      <c r="A7" t="s">
        <v>183</v>
      </c>
      <c r="B7">
        <f>SUM(C39:C42)</f>
        <v>58185</v>
      </c>
      <c r="C7">
        <v>0.02</v>
      </c>
      <c r="D7">
        <f t="shared" si="0"/>
        <v>1164</v>
      </c>
      <c r="E7" t="s">
        <v>177</v>
      </c>
      <c r="J7" t="s">
        <v>183</v>
      </c>
      <c r="K7">
        <f>SUM(L39:L42)</f>
        <v>24792</v>
      </c>
      <c r="L7">
        <v>0.42799999999999999</v>
      </c>
      <c r="M7">
        <f t="shared" si="1"/>
        <v>10611</v>
      </c>
      <c r="N7" t="s">
        <v>177</v>
      </c>
      <c r="O7" s="60" t="s">
        <v>184</v>
      </c>
      <c r="P7" s="60"/>
      <c r="Q7" s="60"/>
      <c r="R7" s="60"/>
      <c r="T7" s="22" t="s">
        <v>131</v>
      </c>
      <c r="U7" s="25">
        <v>0</v>
      </c>
    </row>
    <row r="8" spans="1:21" x14ac:dyDescent="0.25">
      <c r="A8" t="s">
        <v>185</v>
      </c>
      <c r="B8">
        <f>SUM(C43:C46)</f>
        <v>54276</v>
      </c>
      <c r="C8">
        <v>0.02</v>
      </c>
      <c r="D8">
        <f t="shared" si="0"/>
        <v>1086</v>
      </c>
      <c r="E8" t="s">
        <v>177</v>
      </c>
      <c r="J8" t="s">
        <v>185</v>
      </c>
      <c r="K8">
        <f>SUM(L43:L46)</f>
        <v>5206</v>
      </c>
      <c r="L8">
        <v>0.27400000000000002</v>
      </c>
      <c r="M8">
        <f t="shared" si="1"/>
        <v>1426</v>
      </c>
      <c r="N8" t="s">
        <v>177</v>
      </c>
      <c r="O8" s="60" t="s">
        <v>169</v>
      </c>
      <c r="P8" s="60"/>
      <c r="Q8" s="60" t="s">
        <v>170</v>
      </c>
      <c r="R8" s="60"/>
      <c r="T8" s="22" t="s">
        <v>186</v>
      </c>
      <c r="U8" s="25">
        <v>17544</v>
      </c>
    </row>
    <row r="9" spans="1:21" x14ac:dyDescent="0.25">
      <c r="A9" t="s">
        <v>187</v>
      </c>
      <c r="B9">
        <f>SUM(C47:C50)</f>
        <v>65939</v>
      </c>
      <c r="C9">
        <v>0</v>
      </c>
      <c r="D9">
        <f t="shared" si="0"/>
        <v>0</v>
      </c>
      <c r="E9" t="s">
        <v>131</v>
      </c>
      <c r="J9" t="s">
        <v>187</v>
      </c>
      <c r="K9">
        <f>SUM(L47:L50)</f>
        <v>32411</v>
      </c>
      <c r="L9">
        <v>0</v>
      </c>
      <c r="M9">
        <f t="shared" si="1"/>
        <v>0</v>
      </c>
      <c r="N9" t="s">
        <v>131</v>
      </c>
      <c r="O9" t="s">
        <v>44</v>
      </c>
      <c r="P9" t="s">
        <v>188</v>
      </c>
      <c r="Q9" t="s">
        <v>44</v>
      </c>
      <c r="R9" t="s">
        <v>188</v>
      </c>
    </row>
    <row r="10" spans="1:21" x14ac:dyDescent="0.25">
      <c r="A10" t="s">
        <v>189</v>
      </c>
      <c r="B10">
        <f>SUM(C51:C54)</f>
        <v>3337</v>
      </c>
      <c r="C10">
        <v>0</v>
      </c>
      <c r="D10">
        <f t="shared" si="0"/>
        <v>0</v>
      </c>
      <c r="E10" t="s">
        <v>131</v>
      </c>
      <c r="J10" t="s">
        <v>189</v>
      </c>
      <c r="K10">
        <f>SUM(L51:L54)</f>
        <v>0</v>
      </c>
      <c r="L10">
        <v>0</v>
      </c>
      <c r="M10">
        <f t="shared" si="1"/>
        <v>0</v>
      </c>
      <c r="N10" t="s">
        <v>131</v>
      </c>
      <c r="O10" s="26">
        <v>0.38726621931098815</v>
      </c>
      <c r="P10" s="26">
        <v>0.10919976410188334</v>
      </c>
      <c r="Q10" s="26">
        <v>1.1335809118659712</v>
      </c>
      <c r="R10" s="26">
        <v>1.0555982256400316</v>
      </c>
    </row>
    <row r="11" spans="1:21" x14ac:dyDescent="0.25">
      <c r="A11" t="s">
        <v>190</v>
      </c>
      <c r="B11">
        <f>SUM(C55:C58)</f>
        <v>8529</v>
      </c>
      <c r="C11">
        <v>0</v>
      </c>
      <c r="D11">
        <f t="shared" si="0"/>
        <v>0</v>
      </c>
      <c r="E11" t="s">
        <v>131</v>
      </c>
      <c r="J11" t="s">
        <v>190</v>
      </c>
      <c r="K11">
        <f>SUM(L55:L58)</f>
        <v>57</v>
      </c>
      <c r="L11">
        <v>0</v>
      </c>
      <c r="M11">
        <f t="shared" si="1"/>
        <v>0</v>
      </c>
      <c r="N11" t="s">
        <v>131</v>
      </c>
      <c r="T11" s="34" t="s">
        <v>169</v>
      </c>
      <c r="U11" s="34"/>
    </row>
    <row r="12" spans="1:21" x14ac:dyDescent="0.25">
      <c r="A12" t="s">
        <v>191</v>
      </c>
      <c r="B12">
        <f>SUM(C59:C62)</f>
        <v>12411</v>
      </c>
      <c r="C12">
        <v>0</v>
      </c>
      <c r="D12">
        <f t="shared" si="0"/>
        <v>0</v>
      </c>
      <c r="E12" t="s">
        <v>131</v>
      </c>
      <c r="J12" t="s">
        <v>191</v>
      </c>
      <c r="K12">
        <f>SUM(L59:L62)</f>
        <v>0</v>
      </c>
      <c r="L12">
        <v>0</v>
      </c>
      <c r="M12">
        <f t="shared" si="1"/>
        <v>0</v>
      </c>
      <c r="N12" t="s">
        <v>131</v>
      </c>
      <c r="T12" s="24" t="s">
        <v>180</v>
      </c>
      <c r="U12" t="s">
        <v>181</v>
      </c>
    </row>
    <row r="13" spans="1:21" x14ac:dyDescent="0.25">
      <c r="A13" t="s">
        <v>192</v>
      </c>
      <c r="B13">
        <f>SUM(C63:C66)</f>
        <v>2404</v>
      </c>
      <c r="C13">
        <v>0</v>
      </c>
      <c r="D13">
        <f t="shared" si="0"/>
        <v>0</v>
      </c>
      <c r="E13" t="s">
        <v>131</v>
      </c>
      <c r="J13" t="s">
        <v>192</v>
      </c>
      <c r="K13">
        <f>SUM(L63:L66)</f>
        <v>546</v>
      </c>
      <c r="L13">
        <v>0</v>
      </c>
      <c r="M13">
        <f t="shared" si="1"/>
        <v>0</v>
      </c>
      <c r="N13" t="s">
        <v>131</v>
      </c>
      <c r="T13" s="22" t="s">
        <v>177</v>
      </c>
      <c r="U13" s="25">
        <v>29969</v>
      </c>
    </row>
    <row r="14" spans="1:21" x14ac:dyDescent="0.25">
      <c r="A14" t="s">
        <v>193</v>
      </c>
      <c r="B14">
        <f>SUM(C67:C70)</f>
        <v>57216</v>
      </c>
      <c r="C14">
        <v>1.4E-2</v>
      </c>
      <c r="D14">
        <f t="shared" si="0"/>
        <v>801</v>
      </c>
      <c r="E14" t="s">
        <v>131</v>
      </c>
      <c r="J14" t="s">
        <v>193</v>
      </c>
      <c r="K14">
        <f>SUM(L67:L70)</f>
        <v>7456</v>
      </c>
      <c r="L14">
        <v>0</v>
      </c>
      <c r="M14">
        <f t="shared" si="1"/>
        <v>0</v>
      </c>
      <c r="N14" t="s">
        <v>131</v>
      </c>
      <c r="T14" s="22" t="s">
        <v>131</v>
      </c>
      <c r="U14" s="25">
        <v>801</v>
      </c>
    </row>
    <row r="15" spans="1:21" x14ac:dyDescent="0.25">
      <c r="A15" t="s">
        <v>194</v>
      </c>
      <c r="B15">
        <f>SUM(C71:C74)</f>
        <v>48397</v>
      </c>
      <c r="C15">
        <v>0</v>
      </c>
      <c r="D15">
        <f t="shared" si="0"/>
        <v>0</v>
      </c>
      <c r="E15" t="s">
        <v>131</v>
      </c>
      <c r="J15" t="s">
        <v>194</v>
      </c>
      <c r="K15">
        <f>SUM(L71:L74)</f>
        <v>2670</v>
      </c>
      <c r="L15">
        <v>0</v>
      </c>
      <c r="M15">
        <f t="shared" si="1"/>
        <v>0</v>
      </c>
      <c r="N15" t="s">
        <v>131</v>
      </c>
      <c r="T15" s="22" t="s">
        <v>186</v>
      </c>
      <c r="U15" s="25">
        <v>30770</v>
      </c>
    </row>
    <row r="18" spans="1:22" x14ac:dyDescent="0.25">
      <c r="K18" s="23"/>
      <c r="L18" s="61" t="s">
        <v>170</v>
      </c>
      <c r="M18" s="61"/>
      <c r="N18" s="61" t="s">
        <v>169</v>
      </c>
      <c r="O18" s="61"/>
      <c r="S18" t="s">
        <v>195</v>
      </c>
      <c r="T18">
        <v>0.81</v>
      </c>
    </row>
    <row r="19" spans="1:22" x14ac:dyDescent="0.25">
      <c r="K19" s="23"/>
      <c r="L19" s="23" t="s">
        <v>44</v>
      </c>
      <c r="M19" s="23" t="s">
        <v>188</v>
      </c>
      <c r="N19" s="23" t="s">
        <v>44</v>
      </c>
      <c r="O19" s="23" t="s">
        <v>188</v>
      </c>
      <c r="S19" t="s">
        <v>196</v>
      </c>
      <c r="T19">
        <v>0.65</v>
      </c>
    </row>
    <row r="20" spans="1:22" x14ac:dyDescent="0.25">
      <c r="K20" s="23" t="s">
        <v>197</v>
      </c>
      <c r="L20" s="37">
        <v>51404</v>
      </c>
      <c r="M20" s="37">
        <v>94950</v>
      </c>
      <c r="N20" s="37">
        <v>34118</v>
      </c>
      <c r="O20" s="37">
        <v>144336</v>
      </c>
      <c r="R20" s="63" t="s">
        <v>198</v>
      </c>
      <c r="S20" s="63"/>
      <c r="T20" s="63"/>
      <c r="U20" s="63"/>
      <c r="V20" s="63"/>
    </row>
    <row r="21" spans="1:22" x14ac:dyDescent="0.25">
      <c r="A21" s="60" t="s">
        <v>169</v>
      </c>
      <c r="B21" s="60"/>
      <c r="C21" s="60"/>
      <c r="D21" s="53"/>
      <c r="E21" s="53"/>
      <c r="F21" s="53"/>
      <c r="G21" s="53"/>
      <c r="H21" s="53"/>
      <c r="J21" s="60" t="s">
        <v>170</v>
      </c>
      <c r="K21" s="60"/>
      <c r="L21" s="60"/>
      <c r="M21" s="53"/>
      <c r="N21" s="53"/>
      <c r="O21" s="53"/>
      <c r="P21" s="53"/>
      <c r="Q21" s="53"/>
      <c r="R21" s="60" t="s">
        <v>170</v>
      </c>
      <c r="S21" s="60"/>
      <c r="T21" s="60"/>
      <c r="U21" s="60"/>
      <c r="V21" s="60"/>
    </row>
    <row r="22" spans="1:22" x14ac:dyDescent="0.25">
      <c r="A22" t="s">
        <v>102</v>
      </c>
      <c r="B22" t="s">
        <v>199</v>
      </c>
      <c r="C22" t="s">
        <v>172</v>
      </c>
      <c r="J22" t="s">
        <v>102</v>
      </c>
      <c r="K22" t="s">
        <v>199</v>
      </c>
      <c r="L22" t="s">
        <v>172</v>
      </c>
      <c r="R22" t="s">
        <v>127</v>
      </c>
      <c r="S22" t="s">
        <v>128</v>
      </c>
      <c r="T22" t="s">
        <v>65</v>
      </c>
      <c r="U22" t="s">
        <v>200</v>
      </c>
      <c r="V22" t="s">
        <v>201</v>
      </c>
    </row>
    <row r="23" spans="1:22" x14ac:dyDescent="0.25">
      <c r="A23" s="62" t="s">
        <v>176</v>
      </c>
      <c r="B23" t="s">
        <v>202</v>
      </c>
      <c r="C23">
        <v>10160</v>
      </c>
      <c r="D23" t="s">
        <v>177</v>
      </c>
      <c r="J23" s="62" t="s">
        <v>176</v>
      </c>
      <c r="K23" t="s">
        <v>202</v>
      </c>
      <c r="L23">
        <v>4550</v>
      </c>
      <c r="M23" t="s">
        <v>177</v>
      </c>
      <c r="R23" s="22" t="s">
        <v>177</v>
      </c>
      <c r="T23" s="25">
        <f>ROUND(GETPIVOTDATA("Catch (#)",$T$5,"Stock","Celt")*(1-$T$19),0)</f>
        <v>6140</v>
      </c>
      <c r="V23" s="25">
        <f>ROUND(GETPIVOTDATA("Catch (#)",$T$5,"Stock","Celt")*$T$19,0)</f>
        <v>11404</v>
      </c>
    </row>
    <row r="24" spans="1:22" x14ac:dyDescent="0.25">
      <c r="A24" s="62"/>
      <c r="B24" t="s">
        <v>203</v>
      </c>
      <c r="C24">
        <v>13362</v>
      </c>
      <c r="D24" t="s">
        <v>177</v>
      </c>
      <c r="J24" s="62"/>
      <c r="K24" t="s">
        <v>203</v>
      </c>
      <c r="L24">
        <v>2427</v>
      </c>
      <c r="M24" t="s">
        <v>177</v>
      </c>
      <c r="R24" s="22" t="s">
        <v>131</v>
      </c>
      <c r="T24" s="25">
        <f>ROUND(GETPIVOTDATA("Catch (#)",$T$5,"Stock","North")*(1-$T$19),0)</f>
        <v>0</v>
      </c>
      <c r="V24" s="25">
        <f>ROUND(GETPIVOTDATA("Catch (#)",$T$5,"Stock","North")*$T$19,0)</f>
        <v>0</v>
      </c>
    </row>
    <row r="25" spans="1:22" x14ac:dyDescent="0.25">
      <c r="A25" s="62"/>
      <c r="B25" t="s">
        <v>204</v>
      </c>
      <c r="C25">
        <v>16708</v>
      </c>
      <c r="D25" t="s">
        <v>177</v>
      </c>
      <c r="J25" s="62"/>
      <c r="K25" t="s">
        <v>204</v>
      </c>
      <c r="L25">
        <v>1740</v>
      </c>
      <c r="M25" t="s">
        <v>177</v>
      </c>
      <c r="R25" t="s">
        <v>16</v>
      </c>
      <c r="T25">
        <f>SUM(T23:T24)</f>
        <v>6140</v>
      </c>
      <c r="V25">
        <f>SUM(V23:V24)</f>
        <v>11404</v>
      </c>
    </row>
    <row r="26" spans="1:22" x14ac:dyDescent="0.25">
      <c r="A26" s="62"/>
      <c r="B26" t="s">
        <v>205</v>
      </c>
      <c r="C26">
        <v>20196</v>
      </c>
      <c r="D26" t="s">
        <v>177</v>
      </c>
      <c r="J26" s="62"/>
      <c r="K26" t="s">
        <v>205</v>
      </c>
      <c r="L26">
        <v>2548</v>
      </c>
      <c r="M26" t="s">
        <v>177</v>
      </c>
      <c r="R26" s="63" t="s">
        <v>198</v>
      </c>
      <c r="S26" s="63"/>
      <c r="T26" s="63"/>
      <c r="U26" s="63"/>
      <c r="V26" s="63"/>
    </row>
    <row r="27" spans="1:22" x14ac:dyDescent="0.25">
      <c r="A27" s="62" t="s">
        <v>178</v>
      </c>
      <c r="B27" t="s">
        <v>202</v>
      </c>
      <c r="C27">
        <v>6359</v>
      </c>
      <c r="D27" t="s">
        <v>177</v>
      </c>
      <c r="J27" s="62" t="s">
        <v>178</v>
      </c>
      <c r="K27" t="s">
        <v>202</v>
      </c>
      <c r="L27">
        <v>0</v>
      </c>
      <c r="M27" t="s">
        <v>177</v>
      </c>
      <c r="R27" s="61" t="s">
        <v>169</v>
      </c>
      <c r="S27" s="61"/>
      <c r="T27" s="61"/>
      <c r="U27" s="61"/>
      <c r="V27" s="61"/>
    </row>
    <row r="28" spans="1:22" x14ac:dyDescent="0.25">
      <c r="A28" s="62"/>
      <c r="B28" t="s">
        <v>203</v>
      </c>
      <c r="C28">
        <v>5792</v>
      </c>
      <c r="D28" t="s">
        <v>177</v>
      </c>
      <c r="J28" s="62"/>
      <c r="K28" t="s">
        <v>203</v>
      </c>
      <c r="L28">
        <v>0</v>
      </c>
      <c r="M28" t="s">
        <v>177</v>
      </c>
      <c r="R28" s="23" t="s">
        <v>127</v>
      </c>
      <c r="S28" s="23" t="s">
        <v>128</v>
      </c>
      <c r="T28" s="23" t="s">
        <v>65</v>
      </c>
      <c r="U28" s="23" t="s">
        <v>200</v>
      </c>
      <c r="V28" s="23" t="s">
        <v>201</v>
      </c>
    </row>
    <row r="29" spans="1:22" x14ac:dyDescent="0.25">
      <c r="A29" s="62"/>
      <c r="B29" t="s">
        <v>204</v>
      </c>
      <c r="C29">
        <v>9760</v>
      </c>
      <c r="D29" t="s">
        <v>177</v>
      </c>
      <c r="J29" s="62"/>
      <c r="K29" t="s">
        <v>204</v>
      </c>
      <c r="L29">
        <v>7394</v>
      </c>
      <c r="M29" t="s">
        <v>177</v>
      </c>
      <c r="R29" s="35" t="s">
        <v>177</v>
      </c>
      <c r="S29" s="23"/>
      <c r="T29" s="36">
        <f>ROUND(GETPIVOTDATA("Catch (#)",$T$12,"Stock","Celt")*(1-$T$18),0)</f>
        <v>5694</v>
      </c>
      <c r="U29" s="23"/>
      <c r="V29" s="36">
        <f>ROUND(GETPIVOTDATA("Catch (#)",$T$12,"Stock","Celt")*$T$18,0)</f>
        <v>24275</v>
      </c>
    </row>
    <row r="30" spans="1:22" x14ac:dyDescent="0.25">
      <c r="A30" s="62"/>
      <c r="B30" t="s">
        <v>205</v>
      </c>
      <c r="C30">
        <v>7098</v>
      </c>
      <c r="D30" t="s">
        <v>177</v>
      </c>
      <c r="J30" s="62"/>
      <c r="K30" t="s">
        <v>205</v>
      </c>
      <c r="L30">
        <v>0</v>
      </c>
      <c r="M30" t="s">
        <v>177</v>
      </c>
      <c r="R30" s="35" t="s">
        <v>131</v>
      </c>
      <c r="S30" s="23"/>
      <c r="T30" s="36">
        <f>ROUND(GETPIVOTDATA("Catch (#)",$T$12,"Stock","North")*(1-$T$18),0)</f>
        <v>152</v>
      </c>
      <c r="U30" s="23"/>
      <c r="V30" s="36">
        <f>ROUND(GETPIVOTDATA("Catch (#)",$T$12,"Stock","North")*$T$18,0)</f>
        <v>649</v>
      </c>
    </row>
    <row r="31" spans="1:22" x14ac:dyDescent="0.25">
      <c r="A31" s="62" t="s">
        <v>179</v>
      </c>
      <c r="B31" t="s">
        <v>202</v>
      </c>
      <c r="C31">
        <v>11867</v>
      </c>
      <c r="D31" t="s">
        <v>177</v>
      </c>
      <c r="J31" s="62" t="s">
        <v>179</v>
      </c>
      <c r="K31" t="s">
        <v>202</v>
      </c>
      <c r="L31">
        <v>865</v>
      </c>
      <c r="M31" t="s">
        <v>177</v>
      </c>
      <c r="R31" s="23" t="s">
        <v>16</v>
      </c>
      <c r="S31" s="23"/>
      <c r="T31" s="23">
        <f>SUM(T29:T30)</f>
        <v>5846</v>
      </c>
      <c r="U31" s="23"/>
      <c r="V31" s="23">
        <f t="shared" ref="V31" si="2">SUM(V29:V30)</f>
        <v>24924</v>
      </c>
    </row>
    <row r="32" spans="1:22" x14ac:dyDescent="0.25">
      <c r="A32" s="62"/>
      <c r="B32" t="s">
        <v>203</v>
      </c>
      <c r="C32">
        <v>11496</v>
      </c>
      <c r="D32" t="s">
        <v>177</v>
      </c>
      <c r="J32" s="62"/>
      <c r="K32" t="s">
        <v>203</v>
      </c>
      <c r="L32">
        <v>0</v>
      </c>
      <c r="M32" t="s">
        <v>177</v>
      </c>
    </row>
    <row r="33" spans="1:22" x14ac:dyDescent="0.25">
      <c r="A33" s="62"/>
      <c r="B33" t="s">
        <v>204</v>
      </c>
      <c r="C33">
        <v>18412</v>
      </c>
      <c r="D33" t="s">
        <v>177</v>
      </c>
      <c r="J33" s="62"/>
      <c r="K33" t="s">
        <v>204</v>
      </c>
      <c r="L33">
        <v>28407</v>
      </c>
      <c r="M33" t="s">
        <v>177</v>
      </c>
    </row>
    <row r="34" spans="1:22" x14ac:dyDescent="0.25">
      <c r="A34" s="62"/>
      <c r="B34" t="s">
        <v>205</v>
      </c>
      <c r="C34">
        <v>3767</v>
      </c>
      <c r="D34" t="s">
        <v>177</v>
      </c>
      <c r="J34" s="62"/>
      <c r="K34" t="s">
        <v>205</v>
      </c>
      <c r="L34">
        <v>0</v>
      </c>
      <c r="M34" t="s">
        <v>177</v>
      </c>
    </row>
    <row r="35" spans="1:22" x14ac:dyDescent="0.25">
      <c r="A35" s="62" t="s">
        <v>182</v>
      </c>
      <c r="B35" t="s">
        <v>202</v>
      </c>
      <c r="C35">
        <v>3754</v>
      </c>
      <c r="D35" t="s">
        <v>177</v>
      </c>
      <c r="J35" s="62" t="s">
        <v>182</v>
      </c>
      <c r="K35" t="s">
        <v>202</v>
      </c>
      <c r="L35">
        <v>0</v>
      </c>
      <c r="M35" t="s">
        <v>177</v>
      </c>
      <c r="R35" s="23"/>
      <c r="S35" s="23"/>
      <c r="T35" s="23"/>
      <c r="U35" s="23"/>
      <c r="V35" s="23"/>
    </row>
    <row r="36" spans="1:22" x14ac:dyDescent="0.25">
      <c r="A36" s="62"/>
      <c r="B36" t="s">
        <v>203</v>
      </c>
      <c r="C36">
        <v>5422</v>
      </c>
      <c r="D36" t="s">
        <v>177</v>
      </c>
      <c r="J36" s="62"/>
      <c r="K36" t="s">
        <v>203</v>
      </c>
      <c r="L36">
        <v>0</v>
      </c>
      <c r="M36" t="s">
        <v>177</v>
      </c>
      <c r="R36" s="61" t="s">
        <v>206</v>
      </c>
      <c r="S36" s="61"/>
      <c r="T36" s="61"/>
      <c r="U36" s="61"/>
      <c r="V36" s="61"/>
    </row>
    <row r="37" spans="1:22" x14ac:dyDescent="0.25">
      <c r="A37" s="62"/>
      <c r="B37" t="s">
        <v>204</v>
      </c>
      <c r="C37">
        <v>3615</v>
      </c>
      <c r="D37" t="s">
        <v>177</v>
      </c>
      <c r="J37" s="62"/>
      <c r="K37" t="s">
        <v>204</v>
      </c>
      <c r="L37">
        <v>0</v>
      </c>
      <c r="M37" t="s">
        <v>177</v>
      </c>
      <c r="R37" s="61" t="s">
        <v>170</v>
      </c>
      <c r="S37" s="61"/>
      <c r="T37" s="61"/>
      <c r="U37" s="61"/>
      <c r="V37" s="61"/>
    </row>
    <row r="38" spans="1:22" x14ac:dyDescent="0.25">
      <c r="A38" s="62"/>
      <c r="B38" t="s">
        <v>205</v>
      </c>
      <c r="C38">
        <v>7014</v>
      </c>
      <c r="D38" t="s">
        <v>177</v>
      </c>
      <c r="J38" s="62"/>
      <c r="K38" t="s">
        <v>205</v>
      </c>
      <c r="L38">
        <v>0</v>
      </c>
      <c r="M38" t="s">
        <v>177</v>
      </c>
      <c r="R38" s="23" t="s">
        <v>127</v>
      </c>
      <c r="S38" s="23" t="s">
        <v>128</v>
      </c>
      <c r="T38" s="23" t="s">
        <v>65</v>
      </c>
      <c r="U38" s="23" t="s">
        <v>200</v>
      </c>
      <c r="V38" s="23" t="s">
        <v>201</v>
      </c>
    </row>
    <row r="39" spans="1:22" x14ac:dyDescent="0.25">
      <c r="A39" s="62" t="s">
        <v>183</v>
      </c>
      <c r="B39" t="s">
        <v>202</v>
      </c>
      <c r="C39">
        <v>11712</v>
      </c>
      <c r="D39" t="s">
        <v>177</v>
      </c>
      <c r="J39" s="62" t="s">
        <v>183</v>
      </c>
      <c r="K39" t="s">
        <v>202</v>
      </c>
      <c r="L39">
        <v>2032</v>
      </c>
      <c r="M39" t="s">
        <v>177</v>
      </c>
      <c r="R39" s="22" t="s">
        <v>177</v>
      </c>
      <c r="S39" s="23"/>
      <c r="T39" s="23">
        <f>T23/$T$25</f>
        <v>1</v>
      </c>
      <c r="U39" s="23"/>
      <c r="V39" s="23">
        <f>V23/$V$25</f>
        <v>1</v>
      </c>
    </row>
    <row r="40" spans="1:22" x14ac:dyDescent="0.25">
      <c r="A40" s="62"/>
      <c r="B40" t="s">
        <v>203</v>
      </c>
      <c r="C40">
        <v>17664</v>
      </c>
      <c r="D40" t="s">
        <v>177</v>
      </c>
      <c r="J40" s="62"/>
      <c r="K40" t="s">
        <v>203</v>
      </c>
      <c r="L40">
        <v>3422</v>
      </c>
      <c r="M40" t="s">
        <v>177</v>
      </c>
      <c r="R40" s="22" t="s">
        <v>131</v>
      </c>
      <c r="S40" s="23"/>
      <c r="T40" s="23">
        <f>T24/$T$25</f>
        <v>0</v>
      </c>
      <c r="U40" s="23"/>
      <c r="V40" s="23">
        <f>V24/$V$25</f>
        <v>0</v>
      </c>
    </row>
    <row r="41" spans="1:22" x14ac:dyDescent="0.25">
      <c r="A41" s="62"/>
      <c r="B41" t="s">
        <v>204</v>
      </c>
      <c r="C41">
        <v>17674</v>
      </c>
      <c r="D41" t="s">
        <v>177</v>
      </c>
      <c r="J41" s="62"/>
      <c r="K41" t="s">
        <v>204</v>
      </c>
      <c r="L41">
        <v>13832</v>
      </c>
      <c r="M41" t="s">
        <v>177</v>
      </c>
    </row>
    <row r="42" spans="1:22" x14ac:dyDescent="0.25">
      <c r="A42" s="62"/>
      <c r="B42" t="s">
        <v>205</v>
      </c>
      <c r="C42">
        <v>11135</v>
      </c>
      <c r="D42" t="s">
        <v>177</v>
      </c>
      <c r="J42" s="62"/>
      <c r="K42" t="s">
        <v>205</v>
      </c>
      <c r="L42">
        <v>5506</v>
      </c>
      <c r="M42" t="s">
        <v>177</v>
      </c>
      <c r="R42" s="60" t="s">
        <v>169</v>
      </c>
      <c r="S42" s="60"/>
      <c r="T42" s="60"/>
      <c r="U42" s="60"/>
      <c r="V42" s="60"/>
    </row>
    <row r="43" spans="1:22" x14ac:dyDescent="0.25">
      <c r="A43" s="62" t="s">
        <v>185</v>
      </c>
      <c r="B43" t="s">
        <v>202</v>
      </c>
      <c r="C43">
        <v>10501</v>
      </c>
      <c r="D43" t="s">
        <v>177</v>
      </c>
      <c r="J43" s="62" t="s">
        <v>185</v>
      </c>
      <c r="K43" t="s">
        <v>202</v>
      </c>
      <c r="L43">
        <v>1820</v>
      </c>
      <c r="M43" t="s">
        <v>177</v>
      </c>
      <c r="R43" s="23" t="s">
        <v>127</v>
      </c>
      <c r="S43" s="23" t="s">
        <v>128</v>
      </c>
      <c r="T43" s="23" t="s">
        <v>65</v>
      </c>
      <c r="U43" s="23" t="s">
        <v>200</v>
      </c>
      <c r="V43" s="23" t="s">
        <v>201</v>
      </c>
    </row>
    <row r="44" spans="1:22" x14ac:dyDescent="0.25">
      <c r="A44" s="62"/>
      <c r="B44" t="s">
        <v>203</v>
      </c>
      <c r="C44">
        <v>9707</v>
      </c>
      <c r="D44" t="s">
        <v>177</v>
      </c>
      <c r="J44" s="62"/>
      <c r="K44" t="s">
        <v>203</v>
      </c>
      <c r="L44">
        <v>248</v>
      </c>
      <c r="M44" t="s">
        <v>177</v>
      </c>
      <c r="R44" s="22" t="s">
        <v>177</v>
      </c>
      <c r="T44">
        <f>T29/T$31</f>
        <v>0.9739993157714677</v>
      </c>
      <c r="V44">
        <f t="shared" ref="V44" si="3">V29/V$31</f>
        <v>0.97396084095650781</v>
      </c>
    </row>
    <row r="45" spans="1:22" x14ac:dyDescent="0.25">
      <c r="A45" s="62"/>
      <c r="B45" t="s">
        <v>204</v>
      </c>
      <c r="C45">
        <v>32851</v>
      </c>
      <c r="D45" t="s">
        <v>177</v>
      </c>
      <c r="J45" s="62"/>
      <c r="K45" t="s">
        <v>204</v>
      </c>
      <c r="L45">
        <v>3080</v>
      </c>
      <c r="M45" t="s">
        <v>177</v>
      </c>
      <c r="R45" s="22" t="s">
        <v>131</v>
      </c>
      <c r="T45">
        <f>T30/T$31</f>
        <v>2.6000684228532328E-2</v>
      </c>
      <c r="V45">
        <f t="shared" ref="V45" si="4">V30/V$31</f>
        <v>2.6039159043492216E-2</v>
      </c>
    </row>
    <row r="46" spans="1:22" x14ac:dyDescent="0.25">
      <c r="A46" s="62"/>
      <c r="B46" t="s">
        <v>205</v>
      </c>
      <c r="C46">
        <v>1217</v>
      </c>
      <c r="D46" t="s">
        <v>177</v>
      </c>
      <c r="J46" s="62"/>
      <c r="K46" t="s">
        <v>205</v>
      </c>
      <c r="L46">
        <v>58</v>
      </c>
      <c r="M46" t="s">
        <v>177</v>
      </c>
    </row>
    <row r="47" spans="1:22" x14ac:dyDescent="0.25">
      <c r="A47" s="62" t="s">
        <v>207</v>
      </c>
      <c r="B47" t="s">
        <v>202</v>
      </c>
      <c r="C47">
        <v>17851</v>
      </c>
      <c r="D47" t="s">
        <v>131</v>
      </c>
      <c r="J47" s="62" t="s">
        <v>207</v>
      </c>
      <c r="K47" t="s">
        <v>202</v>
      </c>
      <c r="L47">
        <v>0</v>
      </c>
      <c r="M47" t="s">
        <v>131</v>
      </c>
    </row>
    <row r="48" spans="1:22" x14ac:dyDescent="0.25">
      <c r="A48" s="62"/>
      <c r="B48" t="s">
        <v>203</v>
      </c>
      <c r="C48">
        <v>15600</v>
      </c>
      <c r="D48" t="s">
        <v>131</v>
      </c>
      <c r="J48" s="62"/>
      <c r="K48" t="s">
        <v>203</v>
      </c>
      <c r="L48">
        <v>0</v>
      </c>
      <c r="M48" t="s">
        <v>131</v>
      </c>
      <c r="R48" s="60" t="s">
        <v>16</v>
      </c>
      <c r="S48" s="60"/>
      <c r="T48" s="60"/>
      <c r="U48" s="60"/>
      <c r="V48" s="60"/>
    </row>
    <row r="49" spans="1:22" x14ac:dyDescent="0.25">
      <c r="A49" s="62"/>
      <c r="B49" t="s">
        <v>204</v>
      </c>
      <c r="C49">
        <v>20430</v>
      </c>
      <c r="D49" t="s">
        <v>131</v>
      </c>
      <c r="J49" s="62"/>
      <c r="K49" t="s">
        <v>204</v>
      </c>
      <c r="L49">
        <v>30409</v>
      </c>
      <c r="M49" t="s">
        <v>131</v>
      </c>
      <c r="R49" s="61" t="s">
        <v>170</v>
      </c>
      <c r="S49" s="61"/>
      <c r="T49" s="61"/>
      <c r="U49" s="61"/>
      <c r="V49" s="61"/>
    </row>
    <row r="50" spans="1:22" x14ac:dyDescent="0.25">
      <c r="A50" s="62"/>
      <c r="B50" t="s">
        <v>205</v>
      </c>
      <c r="C50">
        <v>12058</v>
      </c>
      <c r="D50" t="s">
        <v>131</v>
      </c>
      <c r="J50" s="62"/>
      <c r="K50" t="s">
        <v>205</v>
      </c>
      <c r="L50">
        <v>2002</v>
      </c>
      <c r="M50" t="s">
        <v>131</v>
      </c>
      <c r="R50" s="23" t="s">
        <v>127</v>
      </c>
      <c r="S50" s="23" t="s">
        <v>128</v>
      </c>
      <c r="T50" s="23" t="s">
        <v>65</v>
      </c>
      <c r="U50" s="23" t="s">
        <v>200</v>
      </c>
      <c r="V50" s="23" t="s">
        <v>201</v>
      </c>
    </row>
    <row r="51" spans="1:22" x14ac:dyDescent="0.25">
      <c r="A51" s="62" t="s">
        <v>189</v>
      </c>
      <c r="B51" t="s">
        <v>202</v>
      </c>
      <c r="C51">
        <v>0</v>
      </c>
      <c r="D51" t="s">
        <v>131</v>
      </c>
      <c r="J51" s="62" t="s">
        <v>189</v>
      </c>
      <c r="K51" t="s">
        <v>202</v>
      </c>
      <c r="L51">
        <v>0</v>
      </c>
      <c r="M51" t="s">
        <v>131</v>
      </c>
      <c r="R51" s="22" t="s">
        <v>177</v>
      </c>
      <c r="S51" s="23">
        <f>ROUND(T51*$Q$10/1000,2)</f>
        <v>58.27</v>
      </c>
      <c r="T51" s="23">
        <f>T39*L$20</f>
        <v>51404</v>
      </c>
      <c r="U51" s="23">
        <f>ROUND(V51*$R$10/1000,2)</f>
        <v>100.23</v>
      </c>
      <c r="V51" s="23">
        <f>V39*M$20</f>
        <v>94950</v>
      </c>
    </row>
    <row r="52" spans="1:22" x14ac:dyDescent="0.25">
      <c r="A52" s="62"/>
      <c r="B52" t="s">
        <v>203</v>
      </c>
      <c r="C52">
        <v>1318</v>
      </c>
      <c r="D52" t="s">
        <v>131</v>
      </c>
      <c r="J52" s="62"/>
      <c r="K52" t="s">
        <v>203</v>
      </c>
      <c r="L52">
        <v>0</v>
      </c>
      <c r="M52" t="s">
        <v>131</v>
      </c>
      <c r="R52" s="22" t="s">
        <v>131</v>
      </c>
      <c r="S52" s="23">
        <f>ROUND(T52*$Q$10/1000,2)</f>
        <v>0</v>
      </c>
      <c r="T52" s="23">
        <f>T40*L$20</f>
        <v>0</v>
      </c>
      <c r="U52" s="23">
        <f>ROUND(V52*$P$10/1000,2)</f>
        <v>0</v>
      </c>
      <c r="V52" s="23">
        <f t="shared" ref="V52" si="5">V40*N$20</f>
        <v>0</v>
      </c>
    </row>
    <row r="53" spans="1:22" x14ac:dyDescent="0.25">
      <c r="A53" s="62"/>
      <c r="B53" t="s">
        <v>204</v>
      </c>
      <c r="C53">
        <v>1079</v>
      </c>
      <c r="D53" t="s">
        <v>131</v>
      </c>
      <c r="J53" s="62"/>
      <c r="K53" t="s">
        <v>204</v>
      </c>
      <c r="L53">
        <v>0</v>
      </c>
      <c r="M53" t="s">
        <v>131</v>
      </c>
    </row>
    <row r="54" spans="1:22" x14ac:dyDescent="0.25">
      <c r="A54" s="62"/>
      <c r="B54" t="s">
        <v>205</v>
      </c>
      <c r="C54">
        <v>940</v>
      </c>
      <c r="D54" t="s">
        <v>131</v>
      </c>
      <c r="J54" s="62"/>
      <c r="K54" t="s">
        <v>205</v>
      </c>
      <c r="L54">
        <v>0</v>
      </c>
      <c r="M54" t="s">
        <v>131</v>
      </c>
      <c r="R54" s="60" t="s">
        <v>169</v>
      </c>
      <c r="S54" s="60"/>
      <c r="T54" s="60"/>
      <c r="U54" s="60"/>
      <c r="V54" s="60"/>
    </row>
    <row r="55" spans="1:22" x14ac:dyDescent="0.25">
      <c r="A55" s="62" t="s">
        <v>190</v>
      </c>
      <c r="B55" t="s">
        <v>202</v>
      </c>
      <c r="C55">
        <v>910</v>
      </c>
      <c r="D55" t="s">
        <v>131</v>
      </c>
      <c r="J55" s="62" t="s">
        <v>190</v>
      </c>
      <c r="K55" t="s">
        <v>202</v>
      </c>
      <c r="L55">
        <v>0</v>
      </c>
      <c r="M55" t="s">
        <v>131</v>
      </c>
      <c r="R55" s="23" t="s">
        <v>127</v>
      </c>
      <c r="S55" s="23" t="s">
        <v>128</v>
      </c>
      <c r="T55" s="23" t="s">
        <v>65</v>
      </c>
      <c r="U55" s="23" t="s">
        <v>200</v>
      </c>
      <c r="V55" s="23" t="s">
        <v>201</v>
      </c>
    </row>
    <row r="56" spans="1:22" x14ac:dyDescent="0.25">
      <c r="A56" s="62"/>
      <c r="B56" t="s">
        <v>203</v>
      </c>
      <c r="C56">
        <v>3094</v>
      </c>
      <c r="D56" t="s">
        <v>131</v>
      </c>
      <c r="J56" s="62"/>
      <c r="K56" t="s">
        <v>203</v>
      </c>
      <c r="L56">
        <v>0</v>
      </c>
      <c r="M56" t="s">
        <v>131</v>
      </c>
      <c r="R56" s="22" t="s">
        <v>177</v>
      </c>
      <c r="S56">
        <f>ROUND(T56*$O$10/1000,2)</f>
        <v>12.87</v>
      </c>
      <c r="T56">
        <f>ROUND($N$20*T44,0)</f>
        <v>33231</v>
      </c>
      <c r="U56">
        <f>ROUND(V56*$P$10/1000,2)</f>
        <v>15.35</v>
      </c>
      <c r="V56">
        <f>ROUND($O$20*V44,0)</f>
        <v>140578</v>
      </c>
    </row>
    <row r="57" spans="1:22" x14ac:dyDescent="0.25">
      <c r="A57" s="62"/>
      <c r="B57" t="s">
        <v>204</v>
      </c>
      <c r="C57">
        <v>4385</v>
      </c>
      <c r="D57" t="s">
        <v>131</v>
      </c>
      <c r="J57" s="62"/>
      <c r="K57" t="s">
        <v>204</v>
      </c>
      <c r="L57">
        <v>57</v>
      </c>
      <c r="M57" t="s">
        <v>131</v>
      </c>
      <c r="R57" s="22" t="s">
        <v>131</v>
      </c>
      <c r="S57">
        <f>ROUND(T57*$O$10/1000,2)</f>
        <v>0.34</v>
      </c>
      <c r="T57">
        <f>ROUND($N$20*T45,0)</f>
        <v>887</v>
      </c>
      <c r="U57">
        <f>ROUND(V57*$P$10/1000,2)</f>
        <v>0.41</v>
      </c>
      <c r="V57">
        <f>ROUND($O$20*V45,0)</f>
        <v>3758</v>
      </c>
    </row>
    <row r="58" spans="1:22" x14ac:dyDescent="0.25">
      <c r="A58" s="62"/>
      <c r="B58" t="s">
        <v>205</v>
      </c>
      <c r="C58">
        <v>140</v>
      </c>
      <c r="D58" t="s">
        <v>131</v>
      </c>
      <c r="J58" s="62"/>
      <c r="K58" t="s">
        <v>205</v>
      </c>
      <c r="L58">
        <v>0</v>
      </c>
      <c r="M58" t="s">
        <v>131</v>
      </c>
    </row>
    <row r="59" spans="1:22" x14ac:dyDescent="0.25">
      <c r="A59" s="62" t="s">
        <v>191</v>
      </c>
      <c r="B59" t="s">
        <v>202</v>
      </c>
      <c r="C59">
        <v>3822</v>
      </c>
      <c r="D59" t="s">
        <v>131</v>
      </c>
      <c r="J59" s="62" t="s">
        <v>191</v>
      </c>
      <c r="K59" t="s">
        <v>202</v>
      </c>
      <c r="L59">
        <v>0</v>
      </c>
      <c r="M59" t="s">
        <v>131</v>
      </c>
    </row>
    <row r="60" spans="1:22" x14ac:dyDescent="0.25">
      <c r="A60" s="62"/>
      <c r="B60" t="s">
        <v>203</v>
      </c>
      <c r="C60">
        <v>1752</v>
      </c>
      <c r="D60" t="s">
        <v>131</v>
      </c>
      <c r="J60" s="62"/>
      <c r="K60" t="s">
        <v>203</v>
      </c>
      <c r="L60">
        <v>0</v>
      </c>
      <c r="M60" t="s">
        <v>131</v>
      </c>
      <c r="R60" s="64" t="s">
        <v>208</v>
      </c>
      <c r="S60" s="64"/>
      <c r="T60" s="64"/>
      <c r="U60" s="64"/>
      <c r="V60" s="64"/>
    </row>
    <row r="61" spans="1:22" x14ac:dyDescent="0.25">
      <c r="A61" s="62"/>
      <c r="B61" t="s">
        <v>204</v>
      </c>
      <c r="C61">
        <v>2214</v>
      </c>
      <c r="D61" t="s">
        <v>131</v>
      </c>
      <c r="J61" s="62"/>
      <c r="K61" t="s">
        <v>204</v>
      </c>
      <c r="L61">
        <v>0</v>
      </c>
      <c r="M61" t="s">
        <v>131</v>
      </c>
      <c r="R61" s="38" t="s">
        <v>127</v>
      </c>
      <c r="S61" s="38" t="s">
        <v>128</v>
      </c>
      <c r="T61" s="38" t="s">
        <v>65</v>
      </c>
      <c r="U61" s="38" t="s">
        <v>200</v>
      </c>
      <c r="V61" s="38" t="s">
        <v>201</v>
      </c>
    </row>
    <row r="62" spans="1:22" x14ac:dyDescent="0.25">
      <c r="A62" s="62"/>
      <c r="B62" t="s">
        <v>205</v>
      </c>
      <c r="C62">
        <v>4623</v>
      </c>
      <c r="D62" t="s">
        <v>131</v>
      </c>
      <c r="J62" s="62"/>
      <c r="K62" t="s">
        <v>205</v>
      </c>
      <c r="L62">
        <v>0</v>
      </c>
      <c r="M62" t="s">
        <v>131</v>
      </c>
      <c r="R62" s="39" t="s">
        <v>177</v>
      </c>
      <c r="S62" s="38">
        <f>S56+S51</f>
        <v>71.14</v>
      </c>
      <c r="T62" s="38">
        <f t="shared" ref="T62:V62" si="6">T56+T51</f>
        <v>84635</v>
      </c>
      <c r="U62" s="38">
        <f t="shared" si="6"/>
        <v>115.58</v>
      </c>
      <c r="V62" s="38">
        <f t="shared" si="6"/>
        <v>235528</v>
      </c>
    </row>
    <row r="63" spans="1:22" x14ac:dyDescent="0.25">
      <c r="A63" s="62" t="s">
        <v>192</v>
      </c>
      <c r="B63" t="s">
        <v>202</v>
      </c>
      <c r="C63">
        <v>0</v>
      </c>
      <c r="D63" t="s">
        <v>131</v>
      </c>
      <c r="J63" s="62" t="s">
        <v>192</v>
      </c>
      <c r="K63" t="s">
        <v>202</v>
      </c>
      <c r="L63">
        <v>0</v>
      </c>
      <c r="M63" t="s">
        <v>131</v>
      </c>
      <c r="R63" s="39" t="s">
        <v>131</v>
      </c>
      <c r="S63" s="38">
        <f>S57+S52</f>
        <v>0.34</v>
      </c>
      <c r="T63" s="38">
        <f t="shared" ref="T63:V63" si="7">T57+T52</f>
        <v>887</v>
      </c>
      <c r="U63" s="38">
        <f t="shared" si="7"/>
        <v>0.41</v>
      </c>
      <c r="V63" s="38">
        <f t="shared" si="7"/>
        <v>3758</v>
      </c>
    </row>
    <row r="64" spans="1:22" x14ac:dyDescent="0.25">
      <c r="A64" s="62"/>
      <c r="B64" t="s">
        <v>203</v>
      </c>
      <c r="C64">
        <v>341</v>
      </c>
      <c r="D64" t="s">
        <v>131</v>
      </c>
      <c r="J64" s="62"/>
      <c r="K64" t="s">
        <v>203</v>
      </c>
      <c r="L64">
        <v>0</v>
      </c>
      <c r="M64" t="s">
        <v>131</v>
      </c>
    </row>
    <row r="65" spans="1:13" x14ac:dyDescent="0.25">
      <c r="A65" s="62"/>
      <c r="B65" t="s">
        <v>204</v>
      </c>
      <c r="C65">
        <v>1881</v>
      </c>
      <c r="D65" t="s">
        <v>131</v>
      </c>
      <c r="J65" s="62"/>
      <c r="K65" t="s">
        <v>204</v>
      </c>
      <c r="L65">
        <v>0</v>
      </c>
      <c r="M65" t="s">
        <v>131</v>
      </c>
    </row>
    <row r="66" spans="1:13" x14ac:dyDescent="0.25">
      <c r="A66" s="62"/>
      <c r="B66" t="s">
        <v>205</v>
      </c>
      <c r="C66">
        <v>182</v>
      </c>
      <c r="D66" t="s">
        <v>131</v>
      </c>
      <c r="J66" s="62"/>
      <c r="K66" t="s">
        <v>205</v>
      </c>
      <c r="L66">
        <v>546</v>
      </c>
      <c r="M66" t="s">
        <v>131</v>
      </c>
    </row>
    <row r="67" spans="1:13" x14ac:dyDescent="0.25">
      <c r="A67" s="62" t="s">
        <v>193</v>
      </c>
      <c r="B67" t="s">
        <v>202</v>
      </c>
      <c r="C67">
        <v>13181</v>
      </c>
      <c r="D67" t="s">
        <v>131</v>
      </c>
      <c r="J67" s="62" t="s">
        <v>193</v>
      </c>
      <c r="K67" t="s">
        <v>202</v>
      </c>
      <c r="L67">
        <v>0</v>
      </c>
      <c r="M67" t="s">
        <v>131</v>
      </c>
    </row>
    <row r="68" spans="1:13" x14ac:dyDescent="0.25">
      <c r="A68" s="62"/>
      <c r="B68" t="s">
        <v>203</v>
      </c>
      <c r="C68">
        <v>16072</v>
      </c>
      <c r="D68" t="s">
        <v>131</v>
      </c>
      <c r="J68" s="62"/>
      <c r="K68" t="s">
        <v>203</v>
      </c>
      <c r="L68">
        <v>3397</v>
      </c>
      <c r="M68" t="s">
        <v>131</v>
      </c>
    </row>
    <row r="69" spans="1:13" x14ac:dyDescent="0.25">
      <c r="A69" s="62"/>
      <c r="B69" t="s">
        <v>204</v>
      </c>
      <c r="C69">
        <v>9562</v>
      </c>
      <c r="D69" t="s">
        <v>131</v>
      </c>
      <c r="J69" s="62"/>
      <c r="K69" t="s">
        <v>204</v>
      </c>
      <c r="L69">
        <v>3581</v>
      </c>
      <c r="M69" t="s">
        <v>131</v>
      </c>
    </row>
    <row r="70" spans="1:13" x14ac:dyDescent="0.25">
      <c r="A70" s="62"/>
      <c r="B70" t="s">
        <v>205</v>
      </c>
      <c r="C70">
        <v>18401</v>
      </c>
      <c r="D70" t="s">
        <v>131</v>
      </c>
      <c r="J70" s="62"/>
      <c r="K70" t="s">
        <v>205</v>
      </c>
      <c r="L70">
        <v>478</v>
      </c>
      <c r="M70" t="s">
        <v>131</v>
      </c>
    </row>
    <row r="71" spans="1:13" x14ac:dyDescent="0.25">
      <c r="A71" s="62" t="s">
        <v>194</v>
      </c>
      <c r="B71" t="s">
        <v>202</v>
      </c>
      <c r="C71">
        <v>20862</v>
      </c>
      <c r="D71" t="s">
        <v>131</v>
      </c>
      <c r="J71" s="62" t="s">
        <v>194</v>
      </c>
      <c r="K71" t="s">
        <v>202</v>
      </c>
      <c r="L71">
        <v>152</v>
      </c>
      <c r="M71" t="s">
        <v>131</v>
      </c>
    </row>
    <row r="72" spans="1:13" x14ac:dyDescent="0.25">
      <c r="A72" s="62"/>
      <c r="B72" t="s">
        <v>203</v>
      </c>
      <c r="C72">
        <v>13202</v>
      </c>
      <c r="D72" t="s">
        <v>131</v>
      </c>
      <c r="J72" s="62"/>
      <c r="K72" t="s">
        <v>203</v>
      </c>
      <c r="L72">
        <v>0</v>
      </c>
      <c r="M72" t="s">
        <v>131</v>
      </c>
    </row>
    <row r="73" spans="1:13" x14ac:dyDescent="0.25">
      <c r="A73" s="62"/>
      <c r="B73" t="s">
        <v>204</v>
      </c>
      <c r="C73">
        <v>10888</v>
      </c>
      <c r="D73" t="s">
        <v>131</v>
      </c>
      <c r="J73" s="62"/>
      <c r="K73" t="s">
        <v>204</v>
      </c>
      <c r="L73">
        <v>2427</v>
      </c>
      <c r="M73" t="s">
        <v>131</v>
      </c>
    </row>
    <row r="74" spans="1:13" x14ac:dyDescent="0.25">
      <c r="A74" s="62"/>
      <c r="B74" t="s">
        <v>205</v>
      </c>
      <c r="C74">
        <v>3445</v>
      </c>
      <c r="D74" t="s">
        <v>131</v>
      </c>
      <c r="J74" s="62"/>
      <c r="K74" t="s">
        <v>205</v>
      </c>
      <c r="L74">
        <v>91</v>
      </c>
      <c r="M74" t="s">
        <v>131</v>
      </c>
    </row>
  </sheetData>
  <mergeCells count="47">
    <mergeCell ref="O7:R7"/>
    <mergeCell ref="R26:V26"/>
    <mergeCell ref="R21:V21"/>
    <mergeCell ref="J71:J74"/>
    <mergeCell ref="J21:L21"/>
    <mergeCell ref="J59:J62"/>
    <mergeCell ref="J63:J66"/>
    <mergeCell ref="R54:V54"/>
    <mergeCell ref="R60:V60"/>
    <mergeCell ref="R27:V27"/>
    <mergeCell ref="L18:M18"/>
    <mergeCell ref="N18:O18"/>
    <mergeCell ref="R20:V20"/>
    <mergeCell ref="O8:P8"/>
    <mergeCell ref="Q8:R8"/>
    <mergeCell ref="A21:C21"/>
    <mergeCell ref="J43:J46"/>
    <mergeCell ref="J47:J50"/>
    <mergeCell ref="J51:J54"/>
    <mergeCell ref="J55:J58"/>
    <mergeCell ref="A63:A66"/>
    <mergeCell ref="A67:A70"/>
    <mergeCell ref="A71:A74"/>
    <mergeCell ref="J23:J26"/>
    <mergeCell ref="J27:J30"/>
    <mergeCell ref="J31:J34"/>
    <mergeCell ref="J39:J42"/>
    <mergeCell ref="J67:J70"/>
    <mergeCell ref="A51:A54"/>
    <mergeCell ref="A55:A58"/>
    <mergeCell ref="A59:A62"/>
    <mergeCell ref="A1:E1"/>
    <mergeCell ref="R36:V36"/>
    <mergeCell ref="R37:V37"/>
    <mergeCell ref="R42:V42"/>
    <mergeCell ref="R48:V48"/>
    <mergeCell ref="A47:A50"/>
    <mergeCell ref="A23:A26"/>
    <mergeCell ref="A27:A30"/>
    <mergeCell ref="A31:A34"/>
    <mergeCell ref="A35:A38"/>
    <mergeCell ref="J35:J38"/>
    <mergeCell ref="A39:A42"/>
    <mergeCell ref="A43:A46"/>
    <mergeCell ref="R49:V49"/>
    <mergeCell ref="J1:N1"/>
    <mergeCell ref="T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E17"/>
  <sheetViews>
    <sheetView workbookViewId="0">
      <selection activeCell="E34" sqref="E34"/>
    </sheetView>
  </sheetViews>
  <sheetFormatPr defaultColWidth="9.140625" defaultRowHeight="15" x14ac:dyDescent="0.25"/>
  <sheetData>
    <row r="1" spans="1:5" x14ac:dyDescent="0.25">
      <c r="A1" s="60" t="s">
        <v>209</v>
      </c>
      <c r="B1" s="60"/>
      <c r="C1" s="60"/>
      <c r="D1" s="60"/>
      <c r="E1" s="60"/>
    </row>
    <row r="2" spans="1:5" x14ac:dyDescent="0.25">
      <c r="A2" t="str">
        <f>'England charter'!J19</f>
        <v>Stock</v>
      </c>
      <c r="B2" t="str">
        <f>'England charter'!K19</f>
        <v>Kept wt</v>
      </c>
      <c r="C2" t="str">
        <f>'England charter'!L19</f>
        <v>kept #</v>
      </c>
      <c r="D2" t="str">
        <f>'England charter'!M19</f>
        <v>Released wt</v>
      </c>
      <c r="E2" t="str">
        <f>'England charter'!N19</f>
        <v>Released #</v>
      </c>
    </row>
    <row r="3" spans="1:5" x14ac:dyDescent="0.25">
      <c r="A3" t="str">
        <f>'England charter'!J21</f>
        <v>North</v>
      </c>
      <c r="B3">
        <f>'England charter'!K21</f>
        <v>23.7</v>
      </c>
      <c r="C3">
        <f>'England charter'!L21</f>
        <v>7144</v>
      </c>
      <c r="D3">
        <f>'England charter'!M21</f>
        <v>0.94</v>
      </c>
      <c r="E3">
        <f>'England charter'!N21</f>
        <v>931</v>
      </c>
    </row>
    <row r="4" spans="1:5" x14ac:dyDescent="0.25">
      <c r="A4" t="str">
        <f>'England charter'!J22</f>
        <v>Celtic</v>
      </c>
      <c r="B4">
        <f>'England charter'!K22</f>
        <v>99.56</v>
      </c>
      <c r="C4">
        <f>'England charter'!L22</f>
        <v>30012</v>
      </c>
      <c r="D4">
        <f>'England charter'!M22</f>
        <v>9.4700000000000006</v>
      </c>
      <c r="E4">
        <f>'England charter'!N22</f>
        <v>9376</v>
      </c>
    </row>
    <row r="7" spans="1:5" x14ac:dyDescent="0.25">
      <c r="A7" s="60" t="s">
        <v>208</v>
      </c>
      <c r="B7" s="60"/>
      <c r="C7" s="60"/>
      <c r="D7" s="60"/>
      <c r="E7" s="60"/>
    </row>
    <row r="8" spans="1:5" x14ac:dyDescent="0.25">
      <c r="A8" t="str">
        <f>'England boat + shore'!R61</f>
        <v>Stock</v>
      </c>
      <c r="B8" t="str">
        <f>'England boat + shore'!S61</f>
        <v>Kept wt</v>
      </c>
      <c r="C8" t="str">
        <f>'England boat + shore'!T61</f>
        <v>Kept #</v>
      </c>
      <c r="D8" t="str">
        <f>'England boat + shore'!U61</f>
        <v>Rel wt</v>
      </c>
      <c r="E8" t="str">
        <f>'England boat + shore'!V61</f>
        <v>Rel #</v>
      </c>
    </row>
    <row r="9" spans="1:5" x14ac:dyDescent="0.25">
      <c r="A9" t="str">
        <f>'England boat + shore'!R63</f>
        <v>North</v>
      </c>
      <c r="B9">
        <f>'England boat + shore'!S63</f>
        <v>0.34</v>
      </c>
      <c r="C9">
        <f>'England boat + shore'!T63</f>
        <v>887</v>
      </c>
      <c r="D9">
        <f>'England boat + shore'!U63</f>
        <v>0.41</v>
      </c>
      <c r="E9">
        <f>'England boat + shore'!V63</f>
        <v>3758</v>
      </c>
    </row>
    <row r="10" spans="1:5" x14ac:dyDescent="0.25">
      <c r="A10" t="str">
        <f>'England boat + shore'!R62</f>
        <v>Celt</v>
      </c>
      <c r="B10">
        <f>'England boat + shore'!S62</f>
        <v>71.14</v>
      </c>
      <c r="C10">
        <f>'England boat + shore'!T62</f>
        <v>84635</v>
      </c>
      <c r="D10">
        <f>'England boat + shore'!U62</f>
        <v>115.58</v>
      </c>
      <c r="E10">
        <f>'England boat + shore'!V62</f>
        <v>235528</v>
      </c>
    </row>
    <row r="14" spans="1:5" x14ac:dyDescent="0.25">
      <c r="A14" s="60" t="s">
        <v>210</v>
      </c>
      <c r="B14" s="60"/>
      <c r="C14" s="60"/>
      <c r="D14" s="60"/>
      <c r="E14" s="60"/>
    </row>
    <row r="15" spans="1:5" x14ac:dyDescent="0.25">
      <c r="A15" t="str">
        <f>A8</f>
        <v>Stock</v>
      </c>
      <c r="B15" t="str">
        <f t="shared" ref="B15:E15" si="0">B8</f>
        <v>Kept wt</v>
      </c>
      <c r="C15" t="str">
        <f t="shared" si="0"/>
        <v>Kept #</v>
      </c>
      <c r="D15" t="str">
        <f t="shared" si="0"/>
        <v>Rel wt</v>
      </c>
      <c r="E15" t="str">
        <f t="shared" si="0"/>
        <v>Rel #</v>
      </c>
    </row>
    <row r="16" spans="1:5" x14ac:dyDescent="0.25">
      <c r="A16" t="str">
        <f t="shared" ref="A16" si="1">A10</f>
        <v>Celt</v>
      </c>
      <c r="B16">
        <f>B3+B9</f>
        <v>24.04</v>
      </c>
      <c r="C16">
        <f t="shared" ref="C16:E16" si="2">C3+C9</f>
        <v>8031</v>
      </c>
      <c r="D16">
        <f t="shared" si="2"/>
        <v>1.3499999999999999</v>
      </c>
      <c r="E16">
        <f t="shared" si="2"/>
        <v>4689</v>
      </c>
    </row>
    <row r="17" spans="1:5" x14ac:dyDescent="0.25">
      <c r="A17" t="str">
        <f>A9</f>
        <v>North</v>
      </c>
      <c r="B17">
        <f>B4+B10</f>
        <v>170.7</v>
      </c>
      <c r="C17">
        <f t="shared" ref="C17:E17" si="3">C4+C10</f>
        <v>114647</v>
      </c>
      <c r="D17">
        <f t="shared" si="3"/>
        <v>125.05</v>
      </c>
      <c r="E17">
        <f t="shared" si="3"/>
        <v>244904</v>
      </c>
    </row>
  </sheetData>
  <mergeCells count="3">
    <mergeCell ref="A1:E1"/>
    <mergeCell ref="A7:E7"/>
    <mergeCell ref="A14:E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K33"/>
  <sheetViews>
    <sheetView workbookViewId="0">
      <selection activeCell="F2" sqref="F2"/>
    </sheetView>
  </sheetViews>
  <sheetFormatPr defaultColWidth="9.140625" defaultRowHeight="15" x14ac:dyDescent="0.25"/>
  <cols>
    <col min="1" max="1" width="22.42578125" bestFit="1" customWidth="1"/>
    <col min="2" max="2" width="19.5703125" customWidth="1"/>
    <col min="3" max="3" width="16.28515625" bestFit="1" customWidth="1"/>
    <col min="4" max="4" width="11.28515625" bestFit="1" customWidth="1"/>
    <col min="5" max="5" width="10.7109375" bestFit="1" customWidth="1"/>
  </cols>
  <sheetData>
    <row r="1" spans="1:11" x14ac:dyDescent="0.25">
      <c r="A1" t="s">
        <v>211</v>
      </c>
      <c r="B1">
        <v>2.06E-2</v>
      </c>
      <c r="C1" t="s">
        <v>212</v>
      </c>
      <c r="E1" t="s">
        <v>213</v>
      </c>
      <c r="F1" t="s">
        <v>256</v>
      </c>
    </row>
    <row r="3" spans="1:11" x14ac:dyDescent="0.25">
      <c r="A3" t="s">
        <v>214</v>
      </c>
      <c r="B3" t="s">
        <v>215</v>
      </c>
      <c r="C3" t="s">
        <v>216</v>
      </c>
      <c r="D3" t="s">
        <v>102</v>
      </c>
    </row>
    <row r="4" spans="1:11" x14ac:dyDescent="0.25">
      <c r="A4" s="23" t="s">
        <v>217</v>
      </c>
      <c r="B4">
        <v>12073914</v>
      </c>
      <c r="C4">
        <f>ROUND(B4*$B$1,0)</f>
        <v>248723</v>
      </c>
      <c r="D4" t="s">
        <v>218</v>
      </c>
    </row>
    <row r="5" spans="1:11" x14ac:dyDescent="0.25">
      <c r="A5" s="23" t="s">
        <v>219</v>
      </c>
      <c r="B5">
        <v>7874586</v>
      </c>
      <c r="C5">
        <f t="shared" ref="C5:C22" si="0">ROUND(B5*$B$1,0)</f>
        <v>162216</v>
      </c>
      <c r="D5" t="s">
        <v>218</v>
      </c>
    </row>
    <row r="6" spans="1:11" x14ac:dyDescent="0.25">
      <c r="A6" s="23" t="s">
        <v>220</v>
      </c>
      <c r="B6">
        <v>6006853</v>
      </c>
      <c r="C6">
        <f t="shared" si="0"/>
        <v>123741</v>
      </c>
      <c r="D6" t="s">
        <v>221</v>
      </c>
    </row>
    <row r="7" spans="1:11" x14ac:dyDescent="0.25">
      <c r="A7" s="23" t="s">
        <v>222</v>
      </c>
      <c r="B7">
        <v>5904843</v>
      </c>
      <c r="C7">
        <f t="shared" si="0"/>
        <v>121640</v>
      </c>
      <c r="D7" t="s">
        <v>93</v>
      </c>
    </row>
    <row r="8" spans="1:11" x14ac:dyDescent="0.25">
      <c r="A8" s="23" t="s">
        <v>223</v>
      </c>
      <c r="B8">
        <v>5791865</v>
      </c>
      <c r="C8">
        <f t="shared" si="0"/>
        <v>119312</v>
      </c>
      <c r="D8" t="s">
        <v>224</v>
      </c>
    </row>
    <row r="9" spans="1:11" x14ac:dyDescent="0.25">
      <c r="A9" s="23" t="s">
        <v>225</v>
      </c>
      <c r="B9">
        <v>5560405</v>
      </c>
      <c r="C9">
        <f t="shared" si="0"/>
        <v>114544</v>
      </c>
      <c r="D9" t="s">
        <v>218</v>
      </c>
      <c r="G9" s="54"/>
      <c r="H9" s="54"/>
      <c r="I9" s="54"/>
      <c r="J9" s="54"/>
      <c r="K9" s="54"/>
    </row>
    <row r="10" spans="1:11" x14ac:dyDescent="0.25">
      <c r="A10" s="23" t="s">
        <v>226</v>
      </c>
      <c r="B10">
        <v>4989435</v>
      </c>
      <c r="C10">
        <f t="shared" si="0"/>
        <v>102782</v>
      </c>
      <c r="D10" t="s">
        <v>224</v>
      </c>
      <c r="G10" s="54"/>
      <c r="H10" s="54"/>
      <c r="I10" s="54"/>
      <c r="J10" s="54"/>
      <c r="K10" s="54"/>
    </row>
    <row r="11" spans="1:11" x14ac:dyDescent="0.25">
      <c r="A11" s="23" t="s">
        <v>227</v>
      </c>
      <c r="B11">
        <v>3716068</v>
      </c>
      <c r="C11">
        <f t="shared" si="0"/>
        <v>76551</v>
      </c>
      <c r="D11" t="s">
        <v>93</v>
      </c>
    </row>
    <row r="12" spans="1:11" x14ac:dyDescent="0.25">
      <c r="A12" s="23" t="s">
        <v>228</v>
      </c>
      <c r="B12">
        <v>3334657</v>
      </c>
      <c r="C12">
        <f t="shared" si="0"/>
        <v>68694</v>
      </c>
      <c r="D12" t="s">
        <v>221</v>
      </c>
    </row>
    <row r="13" spans="1:11" x14ac:dyDescent="0.25">
      <c r="A13" s="23" t="s">
        <v>229</v>
      </c>
      <c r="B13">
        <f>3294302/2</f>
        <v>1647151</v>
      </c>
      <c r="C13">
        <f t="shared" si="0"/>
        <v>33931</v>
      </c>
      <c r="D13" t="s">
        <v>221</v>
      </c>
    </row>
    <row r="14" spans="1:11" x14ac:dyDescent="0.25">
      <c r="A14" s="23" t="s">
        <v>230</v>
      </c>
      <c r="B14">
        <f>3294302/2</f>
        <v>1647151</v>
      </c>
      <c r="C14">
        <f t="shared" si="0"/>
        <v>33931</v>
      </c>
      <c r="D14" t="s">
        <v>93</v>
      </c>
    </row>
    <row r="15" spans="1:11" x14ac:dyDescent="0.25">
      <c r="A15" s="23" t="s">
        <v>231</v>
      </c>
      <c r="B15">
        <v>2821042</v>
      </c>
      <c r="C15">
        <f t="shared" si="0"/>
        <v>58113</v>
      </c>
      <c r="D15" t="s">
        <v>218</v>
      </c>
    </row>
    <row r="16" spans="1:11" x14ac:dyDescent="0.25">
      <c r="A16" s="23" t="s">
        <v>232</v>
      </c>
      <c r="B16">
        <v>2582374</v>
      </c>
      <c r="C16">
        <f t="shared" si="0"/>
        <v>53197</v>
      </c>
      <c r="D16" t="s">
        <v>218</v>
      </c>
    </row>
    <row r="17" spans="1:4" x14ac:dyDescent="0.25">
      <c r="A17" s="23" t="s">
        <v>233</v>
      </c>
      <c r="B17">
        <v>843529</v>
      </c>
      <c r="C17">
        <f t="shared" si="0"/>
        <v>17377</v>
      </c>
      <c r="D17" s="33" t="s">
        <v>234</v>
      </c>
    </row>
    <row r="18" spans="1:4" x14ac:dyDescent="0.25">
      <c r="A18" s="23" t="s">
        <v>235</v>
      </c>
      <c r="B18">
        <v>400132</v>
      </c>
      <c r="C18">
        <f t="shared" si="0"/>
        <v>8243</v>
      </c>
      <c r="D18" t="s">
        <v>234</v>
      </c>
    </row>
    <row r="19" spans="1:4" x14ac:dyDescent="0.25">
      <c r="A19" s="23" t="s">
        <v>236</v>
      </c>
      <c r="B19">
        <v>378243</v>
      </c>
      <c r="C19">
        <f t="shared" si="0"/>
        <v>7792</v>
      </c>
      <c r="D19" t="s">
        <v>234</v>
      </c>
    </row>
    <row r="20" spans="1:4" x14ac:dyDescent="0.25">
      <c r="A20" s="23" t="s">
        <v>237</v>
      </c>
      <c r="B20">
        <v>326898</v>
      </c>
      <c r="C20">
        <f t="shared" si="0"/>
        <v>6734</v>
      </c>
      <c r="D20" t="s">
        <v>224</v>
      </c>
    </row>
    <row r="21" spans="1:4" x14ac:dyDescent="0.25">
      <c r="A21" s="23" t="s">
        <v>238</v>
      </c>
      <c r="B21">
        <v>254541</v>
      </c>
      <c r="C21">
        <f t="shared" si="0"/>
        <v>5244</v>
      </c>
      <c r="D21" t="s">
        <v>239</v>
      </c>
    </row>
    <row r="22" spans="1:4" x14ac:dyDescent="0.25">
      <c r="A22" s="23" t="s">
        <v>240</v>
      </c>
      <c r="B22">
        <v>226915</v>
      </c>
      <c r="C22">
        <f t="shared" si="0"/>
        <v>4674</v>
      </c>
      <c r="D22" s="33" t="s">
        <v>234</v>
      </c>
    </row>
    <row r="26" spans="1:4" x14ac:dyDescent="0.25">
      <c r="A26" s="24" t="s">
        <v>241</v>
      </c>
      <c r="B26" t="s">
        <v>242</v>
      </c>
    </row>
    <row r="27" spans="1:4" x14ac:dyDescent="0.25">
      <c r="A27" s="22" t="s">
        <v>93</v>
      </c>
      <c r="B27" s="25">
        <v>232122</v>
      </c>
    </row>
    <row r="28" spans="1:4" x14ac:dyDescent="0.25">
      <c r="A28" s="22" t="s">
        <v>221</v>
      </c>
      <c r="B28" s="25">
        <v>226366</v>
      </c>
    </row>
    <row r="29" spans="1:4" x14ac:dyDescent="0.25">
      <c r="A29" s="22" t="s">
        <v>218</v>
      </c>
      <c r="B29" s="25">
        <v>636793</v>
      </c>
    </row>
    <row r="30" spans="1:4" x14ac:dyDescent="0.25">
      <c r="A30" s="22" t="s">
        <v>224</v>
      </c>
      <c r="B30" s="25">
        <v>228828</v>
      </c>
    </row>
    <row r="31" spans="1:4" x14ac:dyDescent="0.25">
      <c r="A31" s="22" t="s">
        <v>234</v>
      </c>
      <c r="B31" s="25">
        <v>38086</v>
      </c>
    </row>
    <row r="32" spans="1:4" x14ac:dyDescent="0.25">
      <c r="A32" s="22" t="s">
        <v>239</v>
      </c>
      <c r="B32" s="25">
        <v>5244</v>
      </c>
    </row>
    <row r="33" spans="1:2" x14ac:dyDescent="0.25">
      <c r="A33" s="22" t="s">
        <v>243</v>
      </c>
      <c r="B33" s="25">
        <v>1367439</v>
      </c>
    </row>
  </sheetData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C4"/>
  <sheetViews>
    <sheetView workbookViewId="0">
      <selection activeCell="C34" sqref="C34"/>
    </sheetView>
  </sheetViews>
  <sheetFormatPr defaultColWidth="9.140625" defaultRowHeight="15" x14ac:dyDescent="0.25"/>
  <cols>
    <col min="1" max="1" width="16.140625" bestFit="1" customWidth="1"/>
  </cols>
  <sheetData>
    <row r="1" spans="1:3" x14ac:dyDescent="0.25">
      <c r="A1" t="s">
        <v>23</v>
      </c>
      <c r="B1" t="s">
        <v>63</v>
      </c>
      <c r="C1" t="s">
        <v>47</v>
      </c>
    </row>
    <row r="2" spans="1:3" x14ac:dyDescent="0.25">
      <c r="A2" t="s">
        <v>79</v>
      </c>
      <c r="B2">
        <v>791000</v>
      </c>
      <c r="C2" s="26">
        <v>3529</v>
      </c>
    </row>
    <row r="3" spans="1:3" x14ac:dyDescent="0.25">
      <c r="A3" t="s">
        <v>244</v>
      </c>
      <c r="B3">
        <f>GETPIVOTDATA("No. of fishers",'France angler population'!$A$26,"Region","Biscay")</f>
        <v>232122</v>
      </c>
      <c r="C3">
        <f>ROUND(B3/$B$2*$C$2,2)</f>
        <v>1035.5999999999999</v>
      </c>
    </row>
    <row r="4" spans="1:3" x14ac:dyDescent="0.25">
      <c r="A4" t="s">
        <v>245</v>
      </c>
      <c r="B4">
        <f>GETPIVOTDATA("No. of fishers",'France angler population'!$A$26,"Region","Channel")</f>
        <v>226366</v>
      </c>
      <c r="C4" s="1">
        <f>C2-C3</f>
        <v>2493.4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34"/>
  <sheetViews>
    <sheetView topLeftCell="A5" zoomScale="85" zoomScaleNormal="85" workbookViewId="0">
      <selection activeCell="C27" sqref="C27"/>
    </sheetView>
  </sheetViews>
  <sheetFormatPr defaultColWidth="9.140625" defaultRowHeight="15" x14ac:dyDescent="0.25"/>
  <cols>
    <col min="1" max="1" width="29.28515625" bestFit="1" customWidth="1"/>
    <col min="2" max="2" width="15.28515625" bestFit="1" customWidth="1"/>
    <col min="3" max="3" width="29.140625" bestFit="1" customWidth="1"/>
    <col min="4" max="5" width="16.85546875" bestFit="1" customWidth="1"/>
    <col min="6" max="7" width="17" bestFit="1" customWidth="1"/>
    <col min="8" max="8" width="23.140625" bestFit="1" customWidth="1"/>
    <col min="9" max="9" width="23.28515625" bestFit="1" customWidth="1"/>
    <col min="10" max="10" width="35.7109375" bestFit="1" customWidth="1"/>
    <col min="11" max="11" width="20.7109375" bestFit="1" customWidth="1"/>
    <col min="12" max="12" width="20.85546875" bestFit="1" customWidth="1"/>
  </cols>
  <sheetData>
    <row r="1" spans="1:8" x14ac:dyDescent="0.25">
      <c r="A1" t="s">
        <v>18</v>
      </c>
      <c r="B1" t="s">
        <v>19</v>
      </c>
      <c r="C1" t="s">
        <v>20</v>
      </c>
    </row>
    <row r="2" spans="1:8" x14ac:dyDescent="0.25">
      <c r="A2" t="s">
        <v>0</v>
      </c>
      <c r="B2" s="6" t="e">
        <f>(SUMIFS('Recreational pol-89a'!D2:D14,'Recreational pol-89a'!D2:D14,"&lt;&gt;NA",'Recreational pol-89a'!E2:E14,"&lt;&gt;NA")/SUMIFS('Recreational pol-89a'!E2:E14,'Recreational pol-89a'!E2:E14,"&lt;&gt;NA",'Recreational pol-89a'!D2:D14,"&lt;&gt;NA"))*1000</f>
        <v>#DIV/0!</v>
      </c>
    </row>
    <row r="3" spans="1:8" x14ac:dyDescent="0.25">
      <c r="A3" t="s">
        <v>1</v>
      </c>
      <c r="B3" s="6" t="e">
        <f>(SUMIFS('Recreational pol-89a'!F2:F14,'Recreational pol-89a'!F2:F14,"&lt;&gt;NA",'Recreational pol-89a'!G2:G14,"&lt;&gt;NA")/SUMIFS('Recreational pol-89a'!G2:G14,'Recreational pol-89a'!G2:G14,"&lt;&gt;NA",'Recreational pol-89a'!F2:F14,"&lt;&gt;NA"))*1000</f>
        <v>#DIV/0!</v>
      </c>
    </row>
    <row r="4" spans="1:8" x14ac:dyDescent="0.25">
      <c r="A4" t="s">
        <v>2</v>
      </c>
      <c r="B4" s="6" t="e">
        <f>SUMIFS('Recreational pol-89a'!F2:F14,'Recreational pol-89a'!F2:F14,"&lt;&gt;NA",'Recreational pol-89a'!D2:D14,"&lt;&gt;NA")/SUMIFS('Recreational pol-89a'!D2:D14,'Recreational pol-89a'!F2:F14,"&lt;&gt;NA",'Recreational pol-89a'!D2:D14,"&lt;&gt;NA")</f>
        <v>#DIV/0!</v>
      </c>
    </row>
    <row r="5" spans="1:8" x14ac:dyDescent="0.25">
      <c r="A5" t="s">
        <v>21</v>
      </c>
      <c r="B5" s="6" t="str">
        <f>'Discard rate'!C2</f>
        <v>NA</v>
      </c>
      <c r="C5" s="40" t="str">
        <f>'Discard rate'!D2</f>
        <v>WGBIE (2017)</v>
      </c>
    </row>
    <row r="6" spans="1:8" x14ac:dyDescent="0.25">
      <c r="A6" t="s">
        <v>3</v>
      </c>
      <c r="B6" s="6">
        <f>'Discard mortality'!A2</f>
        <v>1</v>
      </c>
      <c r="C6" s="41" t="str">
        <f>'Discard mortality'!B2</f>
        <v>Precautionary value due to lack of data</v>
      </c>
    </row>
    <row r="7" spans="1:8" x14ac:dyDescent="0.25">
      <c r="A7" t="s">
        <v>4</v>
      </c>
      <c r="B7" s="6">
        <f>'Discard mortality'!C2</f>
        <v>1</v>
      </c>
      <c r="C7" s="41" t="str">
        <f>'Discard mortality'!D2</f>
        <v>Precautionary value due to lack of data</v>
      </c>
    </row>
    <row r="9" spans="1:8" x14ac:dyDescent="0.25">
      <c r="A9" s="60" t="s">
        <v>22</v>
      </c>
      <c r="B9" s="60"/>
      <c r="C9" s="60"/>
      <c r="D9" s="60"/>
      <c r="E9" s="60"/>
      <c r="F9" s="60"/>
      <c r="G9" s="60"/>
      <c r="H9" s="60"/>
    </row>
    <row r="10" spans="1:8" x14ac:dyDescent="0.25">
      <c r="A10" t="s">
        <v>23</v>
      </c>
      <c r="B10" t="s">
        <v>24</v>
      </c>
      <c r="C10" t="s">
        <v>25</v>
      </c>
      <c r="D10" t="s">
        <v>9</v>
      </c>
      <c r="E10" t="s">
        <v>26</v>
      </c>
      <c r="F10" t="s">
        <v>10</v>
      </c>
      <c r="G10" t="s">
        <v>27</v>
      </c>
      <c r="H10" t="s">
        <v>28</v>
      </c>
    </row>
    <row r="11" spans="1:8" x14ac:dyDescent="0.25">
      <c r="A11" t="str">
        <f>'Recreational pol-89a'!A3</f>
        <v>France</v>
      </c>
      <c r="B11" t="str">
        <f>VLOOKUP($A11,'Recreational pol-89a'!$A$1:$I$11,2,FALSE)</f>
        <v>NA</v>
      </c>
      <c r="C11" s="2">
        <f>VLOOKUP($A11,'Recreational pol-89a'!$A$1:$I$11,3,FALSE)</f>
        <v>262933</v>
      </c>
      <c r="D11" t="str">
        <f>VLOOKUP($A11,'Recreational pol-89a'!$A$1:$I$11,4,FALSE)</f>
        <v>NA</v>
      </c>
      <c r="E11" t="str">
        <f>VLOOKUP($A11,'Recreational pol-89a'!$A$1:$I$11,5,FALSE)</f>
        <v>NA</v>
      </c>
      <c r="F11" t="str">
        <f>VLOOKUP($A11,'Recreational pol-89a'!$A$1:$I$11,6,FALSE)</f>
        <v>NA</v>
      </c>
      <c r="G11" t="str">
        <f>VLOOKUP($A11,'Recreational pol-89a'!$A$1:$I$11,7,FALSE)</f>
        <v>NA</v>
      </c>
      <c r="H11" t="str">
        <f>VLOOKUP($A11,'Recreational pol-89a'!$A$1:$I$11,8,FALSE)</f>
        <v>NA</v>
      </c>
    </row>
    <row r="12" spans="1:8" x14ac:dyDescent="0.25">
      <c r="A12" t="str">
        <f>'Recreational pol-89a'!A4</f>
        <v>Portugal</v>
      </c>
      <c r="B12" t="str">
        <f>VLOOKUP($A12,'Recreational pol-89a'!$A$1:$I$11,2,FALSE)</f>
        <v>NA</v>
      </c>
      <c r="C12" s="2">
        <f>VLOOKUP($A12,'Recreational pol-89a'!$A$1:$I$11,3,FALSE)</f>
        <v>175000</v>
      </c>
      <c r="D12" t="str">
        <f>VLOOKUP($A12,'Recreational pol-89a'!$A$1:$I$11,4,FALSE)</f>
        <v>NA</v>
      </c>
      <c r="E12" t="str">
        <f>VLOOKUP($A12,'Recreational pol-89a'!$A$1:$I$11,5,FALSE)</f>
        <v>NA</v>
      </c>
      <c r="F12" t="str">
        <f>VLOOKUP($A12,'Recreational pol-89a'!$A$1:$I$11,6,FALSE)</f>
        <v>NA</v>
      </c>
      <c r="G12" t="str">
        <f>VLOOKUP($A12,'Recreational pol-89a'!$A$1:$I$11,7,FALSE)</f>
        <v>NA</v>
      </c>
      <c r="H12" t="str">
        <f>VLOOKUP($A12,'Recreational pol-89a'!$A$1:$I$11,8,FALSE)</f>
        <v>NA</v>
      </c>
    </row>
    <row r="13" spans="1:8" x14ac:dyDescent="0.25">
      <c r="A13" t="str">
        <f>'Recreational pol-89a'!A5</f>
        <v>Spain</v>
      </c>
      <c r="B13" t="str">
        <f>VLOOKUP($A13,'Recreational pol-89a'!$A$1:$I$11,2,FALSE)</f>
        <v>NA</v>
      </c>
      <c r="C13" s="2">
        <f>VLOOKUP($A13,'Recreational pol-89a'!$A$1:$I$11,3,FALSE)</f>
        <v>181651</v>
      </c>
      <c r="D13" t="str">
        <f>VLOOKUP($A13,'Recreational pol-89a'!$A$1:$I$11,4,FALSE)</f>
        <v>NA</v>
      </c>
      <c r="E13" t="str">
        <f>VLOOKUP($A13,'Recreational pol-89a'!$A$1:$I$11,5,FALSE)</f>
        <v>NA</v>
      </c>
      <c r="F13" t="str">
        <f>VLOOKUP($A13,'Recreational pol-89a'!$A$1:$I$11,6,FALSE)</f>
        <v>NA</v>
      </c>
      <c r="G13" t="str">
        <f>VLOOKUP($A13,'Recreational pol-89a'!$A$1:$I$11,7,FALSE)</f>
        <v>NA</v>
      </c>
      <c r="H13" t="str">
        <f>VLOOKUP($A13,'Recreational pol-89a'!$A$1:$I$11,8,FALSE)</f>
        <v>NA</v>
      </c>
    </row>
    <row r="14" spans="1:8" x14ac:dyDescent="0.25">
      <c r="A14" t="str">
        <f>'Recreational pol-89a'!A2</f>
        <v>France (Whole)</v>
      </c>
      <c r="B14">
        <f>VLOOKUP($A14,'Recreational pol-89a'!$A$1:$I$11,2,FALSE)</f>
        <v>2006</v>
      </c>
      <c r="C14" s="2">
        <f>VLOOKUP($A14,'Recreational pol-89a'!$A$1:$I$11,3,FALSE)</f>
        <v>791000</v>
      </c>
      <c r="D14">
        <f>VLOOKUP($A14,'Recreational pol-89a'!$A$1:$I$11,4,FALSE)</f>
        <v>3500</v>
      </c>
      <c r="E14" t="str">
        <f>VLOOKUP($A14,'Recreational pol-89a'!$A$1:$I$11,5,FALSE)</f>
        <v>NA</v>
      </c>
      <c r="F14" t="str">
        <f>VLOOKUP($A14,'Recreational pol-89a'!$A$1:$I$11,6,FALSE)</f>
        <v>NA</v>
      </c>
      <c r="G14" t="str">
        <f>VLOOKUP($A14,'Recreational pol-89a'!$A$1:$I$11,7,FALSE)</f>
        <v>NA</v>
      </c>
      <c r="H14" t="str">
        <f>VLOOKUP($A14,'Recreational pol-89a'!$A$1:$I$11,8,FALSE)</f>
        <v>Herfault et al. (2013)</v>
      </c>
    </row>
    <row r="17" spans="1:12" x14ac:dyDescent="0.25">
      <c r="A17" s="60" t="s">
        <v>29</v>
      </c>
      <c r="B17" s="60"/>
      <c r="C17" s="60"/>
      <c r="D17" s="60"/>
      <c r="E17" s="60"/>
      <c r="F17" s="60"/>
      <c r="G17" s="60"/>
      <c r="H17" s="60"/>
      <c r="I17" s="60"/>
      <c r="J17" s="60" t="s">
        <v>30</v>
      </c>
      <c r="K17" s="60"/>
      <c r="L17" s="60"/>
    </row>
    <row r="18" spans="1:12" x14ac:dyDescent="0.25">
      <c r="A18" t="s">
        <v>23</v>
      </c>
      <c r="B18" t="s">
        <v>31</v>
      </c>
      <c r="C18" t="s">
        <v>9</v>
      </c>
      <c r="D18" t="s">
        <v>26</v>
      </c>
      <c r="E18" t="s">
        <v>10</v>
      </c>
      <c r="F18" t="s">
        <v>27</v>
      </c>
      <c r="G18" t="s">
        <v>32</v>
      </c>
      <c r="H18" t="s">
        <v>33</v>
      </c>
      <c r="I18" t="s">
        <v>34</v>
      </c>
      <c r="J18" t="s">
        <v>35</v>
      </c>
      <c r="K18" t="s">
        <v>36</v>
      </c>
      <c r="L18" t="s">
        <v>37</v>
      </c>
    </row>
    <row r="19" spans="1:12" x14ac:dyDescent="0.25">
      <c r="A19" t="str">
        <f>A11</f>
        <v>France</v>
      </c>
      <c r="B19" s="2">
        <f>C11</f>
        <v>262933</v>
      </c>
      <c r="C19">
        <f>ROUND(IF(J19 = "FR", B19/$C$14*$D$14, "Help"),2)</f>
        <v>1163.42</v>
      </c>
      <c r="D19" t="str">
        <f>IF(K19 = "NA", "NA", "Ooohhhh, data!!!")</f>
        <v>NA</v>
      </c>
      <c r="E19" t="str">
        <f>IF(F11 = "NA", "NA", "Ooohhhh, data!!!")</f>
        <v>NA</v>
      </c>
      <c r="F19" t="str">
        <f>IF(L19 = "NA", "NA", "Ooohhhh, data!!!")</f>
        <v>NA</v>
      </c>
      <c r="H19" t="s">
        <v>56</v>
      </c>
      <c r="I19" t="s">
        <v>57</v>
      </c>
      <c r="J19" t="s">
        <v>58</v>
      </c>
      <c r="K19" t="s">
        <v>57</v>
      </c>
      <c r="L19" t="s">
        <v>57</v>
      </c>
    </row>
    <row r="20" spans="1:12" x14ac:dyDescent="0.25">
      <c r="A20" t="str">
        <f>A12</f>
        <v>Portugal</v>
      </c>
      <c r="B20" s="2">
        <f>C12</f>
        <v>175000</v>
      </c>
      <c r="C20">
        <f>ROUND(IF(J20 = "FR", B20/$C$14*$D$14, "Help"),2)</f>
        <v>774.34</v>
      </c>
      <c r="D20" t="str">
        <f>IF(K20 = "NA", "NA", "Ooohhhh, data!!!")</f>
        <v>NA</v>
      </c>
      <c r="E20" t="str">
        <f>IF(F12 = "NA", "NA", "Ooohhhh, data!!!")</f>
        <v>NA</v>
      </c>
      <c r="F20" t="str">
        <f>IF(L20 = "NA", "NA", "Ooohhhh, data!!!")</f>
        <v>NA</v>
      </c>
      <c r="H20" t="s">
        <v>56</v>
      </c>
      <c r="I20" t="s">
        <v>57</v>
      </c>
      <c r="J20" t="s">
        <v>58</v>
      </c>
      <c r="K20" t="s">
        <v>57</v>
      </c>
      <c r="L20" t="s">
        <v>57</v>
      </c>
    </row>
    <row r="21" spans="1:12" x14ac:dyDescent="0.25">
      <c r="A21" t="str">
        <f>A13</f>
        <v>Spain</v>
      </c>
      <c r="B21" s="2">
        <f>C13</f>
        <v>181651</v>
      </c>
      <c r="C21">
        <f>ROUND(IF(J21 = "FR", B21/$C$14*$D$14, "Help"),2)</f>
        <v>803.77</v>
      </c>
      <c r="D21" t="str">
        <f>IF(K21 = "NA", "NA", "Ooohhhh, data!!!")</f>
        <v>NA</v>
      </c>
      <c r="E21" t="str">
        <f>IF(F13 = "NA", "NA", "Ooohhhh, data!!!")</f>
        <v>NA</v>
      </c>
      <c r="F21" t="str">
        <f>IF(L21 = "NA", "NA", "Ooohhhh, data!!!")</f>
        <v>NA</v>
      </c>
      <c r="H21" t="s">
        <v>56</v>
      </c>
      <c r="I21" t="s">
        <v>57</v>
      </c>
      <c r="J21" t="s">
        <v>58</v>
      </c>
      <c r="K21" t="s">
        <v>57</v>
      </c>
      <c r="L21" t="s">
        <v>57</v>
      </c>
    </row>
    <row r="24" spans="1:12" x14ac:dyDescent="0.25">
      <c r="A24" s="60" t="s">
        <v>8</v>
      </c>
      <c r="B24" s="60"/>
      <c r="C24" s="60"/>
    </row>
    <row r="25" spans="1:12" x14ac:dyDescent="0.25">
      <c r="A25" t="s">
        <v>9</v>
      </c>
      <c r="B25" t="s">
        <v>39</v>
      </c>
      <c r="C25" t="s">
        <v>11</v>
      </c>
    </row>
    <row r="26" spans="1:12" x14ac:dyDescent="0.25">
      <c r="A26" s="10">
        <f>(SUMIF(H20:H21,"&lt;&gt;N",C20:C21) + (D14-C19))/(SUM(C20:C21)+D14)</f>
        <v>0.77089507710545846</v>
      </c>
      <c r="B26" s="10" t="e">
        <f>SUMIF(I19:I21,"&lt;&gt;N",E19:E21)/SUM(E19:E21)</f>
        <v>#DIV/0!</v>
      </c>
      <c r="C26" s="10">
        <f>A26</f>
        <v>0.77089507710545846</v>
      </c>
    </row>
    <row r="28" spans="1:12" x14ac:dyDescent="0.25">
      <c r="A28" s="60" t="s">
        <v>15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2" x14ac:dyDescent="0.25">
      <c r="B29" s="60" t="s">
        <v>41</v>
      </c>
      <c r="C29" s="60"/>
      <c r="D29" s="60"/>
      <c r="E29" s="60" t="s">
        <v>42</v>
      </c>
      <c r="F29" s="60"/>
      <c r="G29" s="60"/>
      <c r="H29" s="60" t="s">
        <v>43</v>
      </c>
      <c r="I29" s="60"/>
    </row>
    <row r="30" spans="1:12" x14ac:dyDescent="0.25">
      <c r="A30" t="s">
        <v>23</v>
      </c>
      <c r="B30" t="s">
        <v>44</v>
      </c>
      <c r="C30" t="s">
        <v>45</v>
      </c>
      <c r="D30" t="s">
        <v>46</v>
      </c>
      <c r="E30" t="s">
        <v>47</v>
      </c>
      <c r="F30" t="s">
        <v>14</v>
      </c>
      <c r="G30" t="s">
        <v>46</v>
      </c>
      <c r="H30" t="s">
        <v>41</v>
      </c>
      <c r="I30" t="s">
        <v>42</v>
      </c>
      <c r="J30" t="s">
        <v>20</v>
      </c>
      <c r="K30" t="s">
        <v>48</v>
      </c>
    </row>
    <row r="31" spans="1:12" x14ac:dyDescent="0.25">
      <c r="A31" t="str">
        <f>A19</f>
        <v>France</v>
      </c>
      <c r="B31">
        <f>C19</f>
        <v>1163.42</v>
      </c>
      <c r="C31" t="str">
        <f>IF(E19 = "NA", "NA", E19*B6)</f>
        <v>NA</v>
      </c>
      <c r="D31">
        <f>B31</f>
        <v>1163.42</v>
      </c>
      <c r="E31">
        <f>ROUND(VLOOKUP($A31,'Commercial pol-89a'!$A$1:$F$14,2, FALSE) + VLOOKUP($A31,'Commercial pol-89a'!$A$1:$F$14,3, FALSE),2)</f>
        <v>1094</v>
      </c>
      <c r="F31" t="s">
        <v>57</v>
      </c>
      <c r="G31">
        <f>E31</f>
        <v>1094</v>
      </c>
      <c r="H31" s="10">
        <f>D31/K31</f>
        <v>0.51537596016691622</v>
      </c>
      <c r="I31" s="10">
        <f>G31/K31</f>
        <v>0.48462403983308378</v>
      </c>
      <c r="J31" t="str">
        <f>VLOOKUP($A31,'Commercial pol-89a'!$A$1:$F$14,4, FALSE)</f>
        <v>WGBIE (2017)</v>
      </c>
      <c r="K31">
        <f>G31+D31</f>
        <v>2257.42</v>
      </c>
    </row>
    <row r="32" spans="1:12" x14ac:dyDescent="0.25">
      <c r="A32" t="str">
        <f>A20</f>
        <v>Portugal</v>
      </c>
      <c r="B32">
        <f>C20</f>
        <v>774.34</v>
      </c>
      <c r="C32" t="str">
        <f t="shared" ref="C32:C33" si="0">IF(E20 = "NA", "NA", E20*B7)</f>
        <v>NA</v>
      </c>
      <c r="D32">
        <f t="shared" ref="D32:D33" si="1">B32</f>
        <v>774.34</v>
      </c>
      <c r="E32">
        <f>ROUND(VLOOKUP($A32,'Commercial pol-89a'!$A$1:$F$14,2, FALSE) + VLOOKUP($A32,'Commercial pol-89a'!$A$1:$F$14,3, FALSE),2)</f>
        <v>2</v>
      </c>
      <c r="F32" t="s">
        <v>57</v>
      </c>
      <c r="G32">
        <f t="shared" ref="G32:G33" si="2">E32</f>
        <v>2</v>
      </c>
      <c r="H32" s="10">
        <f>D32/K32</f>
        <v>0.99742380915578222</v>
      </c>
      <c r="I32" s="10">
        <f>G32/K32</f>
        <v>2.5761908442177395E-3</v>
      </c>
      <c r="J32" t="str">
        <f>VLOOKUP($A32,'Commercial pol-89a'!$A$1:$F$14,4, FALSE)</f>
        <v>WGBIE (2017)</v>
      </c>
      <c r="K32">
        <f>G32+D32</f>
        <v>776.34</v>
      </c>
    </row>
    <row r="33" spans="1:11" x14ac:dyDescent="0.25">
      <c r="A33" t="str">
        <f>A21</f>
        <v>Spain</v>
      </c>
      <c r="B33">
        <f>C21</f>
        <v>803.77</v>
      </c>
      <c r="C33" t="str">
        <f t="shared" si="0"/>
        <v>NA</v>
      </c>
      <c r="D33">
        <f t="shared" si="1"/>
        <v>803.77</v>
      </c>
      <c r="E33">
        <f>ROUND(VLOOKUP($A33,'Commercial pol-89a'!$A$1:$F$14,2, FALSE) + VLOOKUP($A33,'Commercial pol-89a'!$A$1:$F$14,3, FALSE),2)</f>
        <v>298</v>
      </c>
      <c r="F33" t="s">
        <v>57</v>
      </c>
      <c r="G33">
        <f t="shared" si="2"/>
        <v>298</v>
      </c>
      <c r="H33" s="10">
        <f>D33/K33</f>
        <v>0.7295261261424798</v>
      </c>
      <c r="I33" s="10">
        <f>G33/K33</f>
        <v>0.2704738738575202</v>
      </c>
      <c r="J33" t="str">
        <f>VLOOKUP($A33,'Commercial pol-89a'!$A$1:$F$14,4, FALSE)</f>
        <v>WGBIE (2017)</v>
      </c>
      <c r="K33">
        <f>G33+D33</f>
        <v>1101.77</v>
      </c>
    </row>
    <row r="34" spans="1:11" x14ac:dyDescent="0.25">
      <c r="A34" s="16" t="s">
        <v>17</v>
      </c>
      <c r="B34" s="16">
        <f>SUM(B31:B33)</f>
        <v>2741.53</v>
      </c>
      <c r="C34" s="16" t="s">
        <v>57</v>
      </c>
      <c r="D34" s="16">
        <f t="shared" ref="D34" si="3">SUM(D31:D33)</f>
        <v>2741.53</v>
      </c>
      <c r="E34" s="16">
        <f>ROUND(VLOOKUP($A34,'Commercial pol-89a'!$A$1:$F$14,2, FALSE) + VLOOKUP($A31,'Commercial pol-89a'!$A$1:$F$14,3, FALSE),2)</f>
        <v>1483</v>
      </c>
      <c r="F34" s="16">
        <v>0</v>
      </c>
      <c r="G34" s="16">
        <f>E34+F34</f>
        <v>1483</v>
      </c>
      <c r="H34" s="18">
        <f>D34/K34</f>
        <v>0.64895503168399793</v>
      </c>
      <c r="I34" s="18">
        <f>G34/K34</f>
        <v>0.35104496831600196</v>
      </c>
      <c r="J34" s="16" t="str">
        <f>VLOOKUP($A34,'Commercial pol-89a'!$A$1:$F$14,4, FALSE)</f>
        <v>WGBIE (2017)</v>
      </c>
      <c r="K34" s="16">
        <f>G34+D34</f>
        <v>4224.5300000000007</v>
      </c>
    </row>
  </sheetData>
  <mergeCells count="8">
    <mergeCell ref="A9:H9"/>
    <mergeCell ref="A17:I17"/>
    <mergeCell ref="J17:L17"/>
    <mergeCell ref="A24:C24"/>
    <mergeCell ref="A28:K28"/>
    <mergeCell ref="B29:D29"/>
    <mergeCell ref="E29:G29"/>
    <mergeCell ref="H29:I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51"/>
  <sheetViews>
    <sheetView zoomScale="70" zoomScaleNormal="70" workbookViewId="0">
      <selection activeCell="C5" sqref="C5"/>
    </sheetView>
  </sheetViews>
  <sheetFormatPr defaultColWidth="9.140625" defaultRowHeight="15" x14ac:dyDescent="0.25"/>
  <cols>
    <col min="1" max="1" width="29.28515625" bestFit="1" customWidth="1"/>
    <col min="2" max="2" width="17.42578125" style="3" bestFit="1" customWidth="1"/>
    <col min="3" max="3" width="29.140625" bestFit="1" customWidth="1"/>
    <col min="4" max="4" width="17.85546875" style="2" bestFit="1" customWidth="1"/>
    <col min="5" max="5" width="17.85546875" bestFit="1" customWidth="1"/>
    <col min="6" max="6" width="18.28515625" style="2" bestFit="1" customWidth="1"/>
    <col min="7" max="7" width="33.42578125" bestFit="1" customWidth="1"/>
    <col min="8" max="8" width="35" bestFit="1" customWidth="1"/>
    <col min="9" max="9" width="25.7109375" bestFit="1" customWidth="1"/>
    <col min="10" max="10" width="38.7109375" bestFit="1" customWidth="1"/>
    <col min="11" max="11" width="22.85546875" bestFit="1" customWidth="1"/>
    <col min="12" max="12" width="23.140625" bestFit="1" customWidth="1"/>
  </cols>
  <sheetData>
    <row r="1" spans="1:9" x14ac:dyDescent="0.25">
      <c r="A1" t="s">
        <v>18</v>
      </c>
      <c r="B1" t="s">
        <v>19</v>
      </c>
      <c r="C1" t="s">
        <v>20</v>
      </c>
    </row>
    <row r="2" spans="1:9" x14ac:dyDescent="0.25">
      <c r="A2" t="s">
        <v>0</v>
      </c>
      <c r="B2" s="6">
        <f>(SUMIFS('Recreational pol-nsea'!D2:D13,'Recreational pol-nsea'!D2:D13,"&lt;&gt;NA",'Recreational pol-nsea'!E2:E13,"&lt;&gt;NA")/SUMIFS('Recreational pol-nsea'!E2:E13,'Recreational pol-nsea'!E2:E13,"&lt;&gt;NA",'Recreational pol-nsea'!D2:D13,"&lt;&gt;NA"))*1000</f>
        <v>1.2465777363546338</v>
      </c>
    </row>
    <row r="3" spans="1:9" x14ac:dyDescent="0.25">
      <c r="A3" t="s">
        <v>1</v>
      </c>
      <c r="B3" s="6" t="e">
        <f>(SUMIFS('Recreational pol-nsea'!F2:F13,'Recreational pol-nsea'!F2:F13,"&lt;&gt;NA",'Recreational pol-nsea'!G2:G13,"&lt;&gt;NA")/SUMIFS('Recreational pol-nsea'!G2:G13,'Recreational pol-nsea'!G2:G13,"&lt;&gt;NA",'Recreational pol-nsea'!F2:F13,"&lt;&gt;NA"))*1000</f>
        <v>#DIV/0!</v>
      </c>
    </row>
    <row r="4" spans="1:9" x14ac:dyDescent="0.25">
      <c r="A4" t="s">
        <v>2</v>
      </c>
      <c r="B4" s="6" t="e">
        <f>SUMIFS('Recreational pol-nsea'!F2:F13,'Recreational pol-nsea'!F2:F13,"&lt;&gt;NA",'Recreational pol-nsea'!D2:D13,"&lt;&gt;NA")/SUMIFS('Recreational pol-nsea'!D2:D13,'Recreational pol-nsea'!F2:F13,"&lt;&gt;NA",'Recreational pol-nsea'!D2:D13,"&lt;&gt;NA")</f>
        <v>#DIV/0!</v>
      </c>
    </row>
    <row r="5" spans="1:9" x14ac:dyDescent="0.25">
      <c r="A5" t="s">
        <v>21</v>
      </c>
      <c r="B5" s="6" t="str">
        <f>'Discard rate'!E2</f>
        <v>NA</v>
      </c>
      <c r="C5" s="7" t="str">
        <f>'Discard rate'!F2</f>
        <v>WGBIE (2017)</v>
      </c>
    </row>
    <row r="6" spans="1:9" x14ac:dyDescent="0.25">
      <c r="A6" t="s">
        <v>3</v>
      </c>
      <c r="B6" s="6">
        <f>'Discard mortality'!A2</f>
        <v>1</v>
      </c>
      <c r="C6" s="6" t="str">
        <f>'Discard mortality'!B2</f>
        <v>Precautionary value due to lack of data</v>
      </c>
    </row>
    <row r="7" spans="1:9" x14ac:dyDescent="0.25">
      <c r="A7" t="s">
        <v>4</v>
      </c>
      <c r="B7" s="6">
        <f>'Discard mortality'!C2</f>
        <v>1</v>
      </c>
      <c r="C7" s="6" t="str">
        <f>'Discard mortality'!D2</f>
        <v>Precautionary value due to lack of data</v>
      </c>
    </row>
    <row r="9" spans="1:9" x14ac:dyDescent="0.25">
      <c r="A9" s="60" t="s">
        <v>22</v>
      </c>
      <c r="B9" s="60"/>
      <c r="C9" s="60"/>
      <c r="D9" s="60"/>
      <c r="E9" s="60"/>
      <c r="F9" s="60"/>
      <c r="G9" s="60"/>
      <c r="H9" s="60"/>
      <c r="I9" s="8"/>
    </row>
    <row r="10" spans="1:9" x14ac:dyDescent="0.25">
      <c r="A10" t="s">
        <v>23</v>
      </c>
      <c r="B10" t="s">
        <v>24</v>
      </c>
      <c r="C10" t="s">
        <v>25</v>
      </c>
      <c r="D10" t="s">
        <v>9</v>
      </c>
      <c r="E10" t="s">
        <v>26</v>
      </c>
      <c r="F10" t="s">
        <v>10</v>
      </c>
      <c r="G10" t="s">
        <v>27</v>
      </c>
      <c r="H10" t="s">
        <v>28</v>
      </c>
    </row>
    <row r="11" spans="1:9" x14ac:dyDescent="0.25">
      <c r="A11" t="str">
        <f>'Recreational pol-nsea'!A2</f>
        <v>Belgium</v>
      </c>
      <c r="B11" s="9" t="str">
        <f>VLOOKUP($A11,'Recreational pol-nsea'!$A$1:$I$10,2,FALSE)</f>
        <v>NA</v>
      </c>
      <c r="C11" s="5">
        <f>VLOOKUP($A11,'Recreational pol-nsea'!$A$1:$I$10,3,FALSE)</f>
        <v>24409</v>
      </c>
      <c r="D11" s="4" t="str">
        <f>VLOOKUP($A11,'Recreational pol-nsea'!$A$1:$I$10,4,FALSE)</f>
        <v>NA</v>
      </c>
      <c r="E11" s="9" t="str">
        <f>VLOOKUP($A11,'Recreational pol-nsea'!$A$1:$I$10,5,FALSE)</f>
        <v>NA</v>
      </c>
      <c r="F11" s="9" t="str">
        <f>VLOOKUP($A11,'Recreational pol-nsea'!$A$1:$I$10,6,FALSE)</f>
        <v>NA</v>
      </c>
      <c r="G11" s="9" t="str">
        <f>VLOOKUP($A11,'Recreational pol-nsea'!$A$1:$I$10,7,FALSE)</f>
        <v>NA</v>
      </c>
      <c r="H11" s="9" t="str">
        <f>VLOOKUP($A11,'Recreational pol-nsea'!$A$1:$I$10,8,FALSE)</f>
        <v>NA</v>
      </c>
    </row>
    <row r="12" spans="1:9" x14ac:dyDescent="0.25">
      <c r="A12" t="str">
        <f>'Recreational pol-nsea'!A3</f>
        <v>Denmark</v>
      </c>
      <c r="B12" s="9" t="str">
        <f>VLOOKUP($A12,'Recreational pol-nsea'!$A$1:$I$10,2,FALSE)</f>
        <v>NA</v>
      </c>
      <c r="C12" s="5">
        <f>VLOOKUP($A12,'Recreational pol-nsea'!$A$1:$I$10,3,FALSE)</f>
        <v>386000</v>
      </c>
      <c r="D12" s="4" t="str">
        <f>VLOOKUP($A12,'Recreational pol-nsea'!$A$1:$I$10,4,FALSE)</f>
        <v>NA</v>
      </c>
      <c r="E12" s="9" t="str">
        <f>VLOOKUP($A12,'Recreational pol-nsea'!$A$1:$I$10,5,FALSE)</f>
        <v>NA</v>
      </c>
      <c r="F12" s="9" t="str">
        <f>VLOOKUP($A12,'Recreational pol-nsea'!$A$1:$I$10,6,FALSE)</f>
        <v>NA</v>
      </c>
      <c r="G12" s="9" t="str">
        <f>VLOOKUP($A12,'Recreational pol-nsea'!$A$1:$I$10,7,FALSE)</f>
        <v>NA</v>
      </c>
      <c r="H12" s="9" t="str">
        <f>VLOOKUP($A12,'Recreational pol-nsea'!$A$1:$I$10,8,FALSE)</f>
        <v>NA</v>
      </c>
    </row>
    <row r="13" spans="1:9" x14ac:dyDescent="0.25">
      <c r="A13" t="str">
        <f>'Recreational pol-nsea'!A4</f>
        <v>England</v>
      </c>
      <c r="B13" s="9">
        <f>VLOOKUP($A13,'Recreational pol-nsea'!$A$1:$I$10,2,FALSE)</f>
        <v>2012</v>
      </c>
      <c r="C13" s="5">
        <f>VLOOKUP($A13,'Recreational pol-nsea'!$A$1:$I$10,3,FALSE)</f>
        <v>884000</v>
      </c>
      <c r="D13" s="4">
        <f>VLOOKUP($A13,'Recreational pol-nsea'!$A$1:$I$10,4,FALSE)</f>
        <v>0</v>
      </c>
      <c r="E13" s="9">
        <f>VLOOKUP($A13,'Recreational pol-nsea'!$A$1:$I$10,5,FALSE)</f>
        <v>0</v>
      </c>
      <c r="F13" s="9">
        <f>VLOOKUP($A13,'Recreational pol-nsea'!$A$1:$I$10,6,FALSE)</f>
        <v>0</v>
      </c>
      <c r="G13" s="9">
        <f>VLOOKUP($A13,'Recreational pol-nsea'!$A$1:$I$10,7,FALSE)</f>
        <v>0</v>
      </c>
      <c r="H13" s="9" t="str">
        <f>VLOOKUP($A13,'Recreational pol-nsea'!$A$1:$I$10,8,FALSE)</f>
        <v>Armstrong et al. (2013)</v>
      </c>
    </row>
    <row r="14" spans="1:9" x14ac:dyDescent="0.25">
      <c r="A14" t="str">
        <f>'Recreational pol-nsea'!A5</f>
        <v>Germany</v>
      </c>
      <c r="B14" s="9" t="str">
        <f>VLOOKUP($A14,'Recreational pol-nsea'!$A$1:$I$10,2,FALSE)</f>
        <v>NA</v>
      </c>
      <c r="C14" s="5">
        <f>VLOOKUP($A14,'Recreational pol-nsea'!$A$1:$I$10,3,FALSE)</f>
        <v>32000</v>
      </c>
      <c r="D14" s="4" t="str">
        <f>VLOOKUP($A14,'Recreational pol-nsea'!$A$1:$I$10,4,FALSE)</f>
        <v>NA</v>
      </c>
      <c r="E14" s="9" t="str">
        <f>VLOOKUP($A14,'Recreational pol-nsea'!$A$1:$I$10,5,FALSE)</f>
        <v>NA</v>
      </c>
      <c r="F14" s="9" t="str">
        <f>VLOOKUP($A14,'Recreational pol-nsea'!$A$1:$I$10,6,FALSE)</f>
        <v>NA</v>
      </c>
      <c r="G14" s="9" t="str">
        <f>VLOOKUP($A14,'Recreational pol-nsea'!$A$1:$I$10,7,FALSE)</f>
        <v>NA</v>
      </c>
      <c r="H14" s="9" t="str">
        <f>VLOOKUP($A14,'Recreational pol-nsea'!$A$1:$I$10,8,FALSE)</f>
        <v>NA</v>
      </c>
    </row>
    <row r="15" spans="1:9" x14ac:dyDescent="0.25">
      <c r="A15" t="str">
        <f>'Recreational pol-nsea'!A6</f>
        <v>Netherlands</v>
      </c>
      <c r="B15" s="9" t="str">
        <f>VLOOKUP($A15,'Recreational pol-nsea'!$A$1:$I$10,2,FALSE)</f>
        <v>NA</v>
      </c>
      <c r="C15" s="5">
        <f>VLOOKUP($A15,'Recreational pol-nsea'!$A$1:$I$10,3,FALSE)</f>
        <v>504108</v>
      </c>
      <c r="D15" s="4" t="str">
        <f>VLOOKUP($A15,'Recreational pol-nsea'!$A$1:$I$10,4,FALSE)</f>
        <v>NA</v>
      </c>
      <c r="E15" s="9" t="str">
        <f>VLOOKUP($A15,'Recreational pol-nsea'!$A$1:$I$10,5,FALSE)</f>
        <v>NA</v>
      </c>
      <c r="F15" s="9" t="str">
        <f>VLOOKUP($A15,'Recreational pol-nsea'!$A$1:$I$10,6,FALSE)</f>
        <v>NA</v>
      </c>
      <c r="G15" s="9" t="str">
        <f>VLOOKUP($A15,'Recreational pol-nsea'!$A$1:$I$10,7,FALSE)</f>
        <v>NA</v>
      </c>
      <c r="H15" s="9" t="str">
        <f>VLOOKUP($A15,'Recreational pol-nsea'!$A$1:$I$10,8,FALSE)</f>
        <v>NA</v>
      </c>
    </row>
    <row r="16" spans="1:9" x14ac:dyDescent="0.25">
      <c r="A16" t="str">
        <f>'Recreational pol-nsea'!A7</f>
        <v>Norway</v>
      </c>
      <c r="B16" s="9" t="str">
        <f>VLOOKUP($A16,'Recreational pol-nsea'!$A$1:$I$10,2,FALSE)</f>
        <v>NA</v>
      </c>
      <c r="C16" s="5">
        <f>VLOOKUP($A16,'Recreational pol-nsea'!$A$1:$I$10,3,FALSE)</f>
        <v>1285163</v>
      </c>
      <c r="D16" s="4" t="str">
        <f>VLOOKUP($A16,'Recreational pol-nsea'!$A$1:$I$10,4,FALSE)</f>
        <v>NA</v>
      </c>
      <c r="E16" s="9" t="str">
        <f>VLOOKUP($A16,'Recreational pol-nsea'!$A$1:$I$10,5,FALSE)</f>
        <v>NA</v>
      </c>
      <c r="F16" s="9" t="str">
        <f>VLOOKUP($A16,'Recreational pol-nsea'!$A$1:$I$10,6,FALSE)</f>
        <v>NA</v>
      </c>
      <c r="G16" s="9" t="str">
        <f>VLOOKUP($A16,'Recreational pol-nsea'!$A$1:$I$10,7,FALSE)</f>
        <v>NA</v>
      </c>
      <c r="H16" s="9" t="str">
        <f>VLOOKUP($A16,'Recreational pol-nsea'!$A$1:$I$10,8,FALSE)</f>
        <v>NA</v>
      </c>
    </row>
    <row r="17" spans="1:12" x14ac:dyDescent="0.25">
      <c r="A17" t="str">
        <f>'Recreational pol-nsea'!A9</f>
        <v>Scotland</v>
      </c>
      <c r="B17" s="9" t="str">
        <f>VLOOKUP($A17,'Recreational pol-nsea'!$A$1:$I$10,2,FALSE)</f>
        <v>NA</v>
      </c>
      <c r="C17" s="5">
        <f>VLOOKUP($A17,'Recreational pol-nsea'!$A$1:$I$10,3,FALSE)</f>
        <v>125188</v>
      </c>
      <c r="D17" s="4" t="str">
        <f>VLOOKUP($A17,'Recreational pol-nsea'!$A$1:$I$10,4,FALSE)</f>
        <v>NA</v>
      </c>
      <c r="E17" s="9" t="str">
        <f>VLOOKUP($A17,'Recreational pol-nsea'!$A$1:$I$10,5,FALSE)</f>
        <v>NA</v>
      </c>
      <c r="F17" s="9" t="str">
        <f>VLOOKUP($A17,'Recreational pol-nsea'!$A$1:$I$10,6,FALSE)</f>
        <v>NA</v>
      </c>
      <c r="G17" s="9" t="str">
        <f>VLOOKUP($A17,'Recreational pol-nsea'!$A$1:$I$10,7,FALSE)</f>
        <v>NA</v>
      </c>
      <c r="H17" s="9" t="str">
        <f>VLOOKUP($A17,'Recreational pol-nsea'!$A$1:$I$10,8,FALSE)</f>
        <v>NA</v>
      </c>
    </row>
    <row r="18" spans="1:12" x14ac:dyDescent="0.25">
      <c r="A18" t="str">
        <f>'Recreational pol-nsea'!A10</f>
        <v>Sweden</v>
      </c>
      <c r="B18" s="9" t="str">
        <f>VLOOKUP($A18,'Recreational pol-nsea'!$A$1:$I$10,2,FALSE)</f>
        <v>NA</v>
      </c>
      <c r="C18" s="5">
        <f>VLOOKUP($A18,'Recreational pol-nsea'!$A$1:$I$10,3,FALSE)</f>
        <v>565634</v>
      </c>
      <c r="D18" s="4" t="str">
        <f>VLOOKUP($A18,'Recreational pol-nsea'!$A$1:$I$10,4,FALSE)</f>
        <v>NA</v>
      </c>
      <c r="E18" s="9" t="str">
        <f>VLOOKUP($A18,'Recreational pol-nsea'!$A$1:$I$10,5,FALSE)</f>
        <v>NA</v>
      </c>
      <c r="F18" s="9" t="str">
        <f>VLOOKUP($A18,'Recreational pol-nsea'!$A$1:$I$10,6,FALSE)</f>
        <v>NA</v>
      </c>
      <c r="G18" s="9" t="str">
        <f>VLOOKUP($A18,'Recreational pol-nsea'!$A$1:$I$10,7,FALSE)</f>
        <v>NA</v>
      </c>
      <c r="H18" s="9" t="str">
        <f>VLOOKUP($A18,'Recreational pol-nsea'!$A$1:$I$10,8,FALSE)</f>
        <v>NA</v>
      </c>
    </row>
    <row r="19" spans="1:12" x14ac:dyDescent="0.25">
      <c r="A19" t="str">
        <f>'Recreational pol-nsea'!A8</f>
        <v>Norway Tourism</v>
      </c>
      <c r="B19" s="9" t="str">
        <f>VLOOKUP($A19,'Recreational pol-nsea'!$A$1:$I$10,2,FALSE)</f>
        <v>2009-2011</v>
      </c>
      <c r="C19" s="5" t="str">
        <f>VLOOKUP($A19,'Recreational pol-nsea'!$A$1:$I$10,3,FALSE)</f>
        <v>NA</v>
      </c>
      <c r="D19" s="4">
        <f>VLOOKUP($A19,'Recreational pol-nsea'!$A$1:$I$10,4,FALSE)</f>
        <v>21.4</v>
      </c>
      <c r="E19" s="9">
        <f>VLOOKUP($A19,'Recreational pol-nsea'!$A$1:$I$10,5,FALSE)</f>
        <v>17167</v>
      </c>
      <c r="F19" s="9" t="str">
        <f>VLOOKUP($A19,'Recreational pol-nsea'!$A$1:$I$10,6,FALSE)</f>
        <v>NA</v>
      </c>
      <c r="G19" s="9">
        <f>VLOOKUP($A19,'Recreational pol-nsea'!$A$1:$I$10,7,FALSE)</f>
        <v>21848.909090909096</v>
      </c>
      <c r="H19" s="9" t="str">
        <f>VLOOKUP($A19,'Recreational pol-nsea'!$A$1:$I$10,8,FALSE)</f>
        <v>Vølstad et al. (2011); Ferter et al. (2013)</v>
      </c>
    </row>
    <row r="22" spans="1:12" x14ac:dyDescent="0.25">
      <c r="A22" s="60" t="s">
        <v>29</v>
      </c>
      <c r="B22" s="60"/>
      <c r="C22" s="60"/>
      <c r="D22" s="60"/>
      <c r="E22" s="60"/>
      <c r="F22" s="60"/>
      <c r="G22" s="60"/>
      <c r="H22" s="60"/>
      <c r="I22" s="60"/>
      <c r="J22" s="60" t="s">
        <v>30</v>
      </c>
      <c r="K22" s="60"/>
      <c r="L22" s="60"/>
    </row>
    <row r="23" spans="1:12" x14ac:dyDescent="0.25">
      <c r="A23" t="s">
        <v>23</v>
      </c>
      <c r="B23" t="s">
        <v>31</v>
      </c>
      <c r="C23" t="s">
        <v>9</v>
      </c>
      <c r="D23" t="s">
        <v>26</v>
      </c>
      <c r="E23" t="s">
        <v>10</v>
      </c>
      <c r="F23" t="s">
        <v>27</v>
      </c>
      <c r="G23" t="s">
        <v>32</v>
      </c>
      <c r="H23" t="s">
        <v>33</v>
      </c>
      <c r="I23" t="s">
        <v>34</v>
      </c>
      <c r="J23" t="s">
        <v>35</v>
      </c>
      <c r="K23" t="s">
        <v>36</v>
      </c>
      <c r="L23" t="s">
        <v>37</v>
      </c>
    </row>
    <row r="24" spans="1:12" x14ac:dyDescent="0.25">
      <c r="A24" t="str">
        <f t="shared" ref="A24:A31" si="0">A11</f>
        <v>Belgium</v>
      </c>
      <c r="B24" s="5">
        <f t="shared" ref="B24:B31" si="1">C11</f>
        <v>24409</v>
      </c>
      <c r="C24">
        <f t="shared" ref="C24:C31" si="2">ROUND(IF(J24="Avg", D24*($B$2/1000), IF(J24 = "Avg + T", (D24*($B$2/1000))+$D$19, IF(J24="None", D11, "Help"))),2)</f>
        <v>0</v>
      </c>
      <c r="D24" s="2">
        <f>ROUND(IF(K24 = "EN", $B24/$C$13*$E$13,IF(K24 = "EN + T", ($B24/$C$13*$E$13) +E19, IF(K24 = "None", E11, "Help"))),0)</f>
        <v>0</v>
      </c>
      <c r="E24" t="e">
        <f t="shared" ref="E24:E31" si="3">ROUND(IF(F11&lt;&gt;"NA",F11,F24*($B$3/1000)),2)</f>
        <v>#DIV/0!</v>
      </c>
      <c r="F24" s="2" t="e">
        <f>IF(L24 = "Prop", D24*$B$4, IF(L24 = "Prop + T", (D24*$B$4)+$G$19,IF(L24="None", G11,"Help")))</f>
        <v>#DIV/0!</v>
      </c>
      <c r="H24" t="str">
        <f t="shared" ref="H24:H31" si="4">IF(D11 = "NA", "Y", "N")</f>
        <v>Y</v>
      </c>
      <c r="I24" t="str">
        <f t="shared" ref="I24:I31" si="5">IF(F11 = "NA", "Y", "N")</f>
        <v>Y</v>
      </c>
      <c r="J24" t="s">
        <v>5</v>
      </c>
      <c r="K24" t="s">
        <v>38</v>
      </c>
      <c r="L24" t="s">
        <v>7</v>
      </c>
    </row>
    <row r="25" spans="1:12" x14ac:dyDescent="0.25">
      <c r="A25" t="str">
        <f t="shared" si="0"/>
        <v>Denmark</v>
      </c>
      <c r="B25" s="5">
        <f t="shared" si="1"/>
        <v>386000</v>
      </c>
      <c r="C25">
        <f t="shared" si="2"/>
        <v>0</v>
      </c>
      <c r="D25" s="2">
        <f t="shared" ref="D25:D31" si="6">ROUND(IF(K25 = "EN", $B25/$C$13*$E$13,IF(K25 = "EN + T", ($B25/$C$13*$E$13) +E20, IF(K25 = "None", E12, "Help"))),0)</f>
        <v>0</v>
      </c>
      <c r="E25" t="e">
        <f t="shared" si="3"/>
        <v>#DIV/0!</v>
      </c>
      <c r="F25" s="2" t="e">
        <f t="shared" ref="F25:F31" si="7">IF(L25 = "Prop", D25*$B$4, IF(L25 = "Prop + T", (D25*$B$4)+$G$19,IF(L25="None", G12,"Help")))</f>
        <v>#DIV/0!</v>
      </c>
      <c r="H25" t="str">
        <f t="shared" si="4"/>
        <v>Y</v>
      </c>
      <c r="I25" t="str">
        <f t="shared" si="5"/>
        <v>Y</v>
      </c>
      <c r="J25" t="s">
        <v>5</v>
      </c>
      <c r="K25" t="s">
        <v>38</v>
      </c>
      <c r="L25" t="s">
        <v>7</v>
      </c>
    </row>
    <row r="26" spans="1:12" x14ac:dyDescent="0.25">
      <c r="A26" t="str">
        <f t="shared" si="0"/>
        <v>England</v>
      </c>
      <c r="B26" s="5">
        <f t="shared" si="1"/>
        <v>884000</v>
      </c>
      <c r="C26">
        <f t="shared" si="2"/>
        <v>0</v>
      </c>
      <c r="D26" s="2">
        <f t="shared" si="6"/>
        <v>0</v>
      </c>
      <c r="E26">
        <f t="shared" si="3"/>
        <v>0</v>
      </c>
      <c r="F26" s="2">
        <f t="shared" si="7"/>
        <v>0</v>
      </c>
      <c r="H26" t="str">
        <f t="shared" si="4"/>
        <v>N</v>
      </c>
      <c r="I26" t="str">
        <f t="shared" si="5"/>
        <v>N</v>
      </c>
      <c r="J26" t="s">
        <v>6</v>
      </c>
      <c r="K26" t="s">
        <v>6</v>
      </c>
      <c r="L26" t="s">
        <v>6</v>
      </c>
    </row>
    <row r="27" spans="1:12" x14ac:dyDescent="0.25">
      <c r="A27" t="str">
        <f t="shared" si="0"/>
        <v>Germany</v>
      </c>
      <c r="B27" s="5">
        <f t="shared" si="1"/>
        <v>32000</v>
      </c>
      <c r="C27">
        <f t="shared" si="2"/>
        <v>0</v>
      </c>
      <c r="D27" s="2">
        <f t="shared" si="6"/>
        <v>0</v>
      </c>
      <c r="E27" t="e">
        <f t="shared" si="3"/>
        <v>#DIV/0!</v>
      </c>
      <c r="F27" s="2" t="e">
        <f t="shared" si="7"/>
        <v>#DIV/0!</v>
      </c>
      <c r="H27" t="str">
        <f t="shared" si="4"/>
        <v>Y</v>
      </c>
      <c r="I27" t="str">
        <f t="shared" si="5"/>
        <v>Y</v>
      </c>
      <c r="J27" t="s">
        <v>5</v>
      </c>
      <c r="K27" t="s">
        <v>38</v>
      </c>
      <c r="L27" t="s">
        <v>7</v>
      </c>
    </row>
    <row r="28" spans="1:12" x14ac:dyDescent="0.25">
      <c r="A28" t="str">
        <f t="shared" si="0"/>
        <v>Netherlands</v>
      </c>
      <c r="B28" s="5">
        <f t="shared" si="1"/>
        <v>504108</v>
      </c>
      <c r="C28">
        <f t="shared" si="2"/>
        <v>0</v>
      </c>
      <c r="D28" s="2">
        <f t="shared" si="6"/>
        <v>0</v>
      </c>
      <c r="E28" t="e">
        <f t="shared" si="3"/>
        <v>#DIV/0!</v>
      </c>
      <c r="F28" s="2" t="e">
        <f t="shared" si="7"/>
        <v>#DIV/0!</v>
      </c>
      <c r="H28" t="str">
        <f t="shared" si="4"/>
        <v>Y</v>
      </c>
      <c r="I28" t="str">
        <f t="shared" si="5"/>
        <v>Y</v>
      </c>
      <c r="J28" t="s">
        <v>5</v>
      </c>
      <c r="K28" t="s">
        <v>38</v>
      </c>
      <c r="L28" t="s">
        <v>7</v>
      </c>
    </row>
    <row r="29" spans="1:12" x14ac:dyDescent="0.25">
      <c r="A29" t="str">
        <f t="shared" si="0"/>
        <v>Norway</v>
      </c>
      <c r="B29" s="5">
        <f t="shared" si="1"/>
        <v>1285163</v>
      </c>
      <c r="C29" t="e">
        <f t="shared" si="2"/>
        <v>#DIV/0!</v>
      </c>
      <c r="D29" s="2" t="e">
        <f t="shared" si="6"/>
        <v>#DIV/0!</v>
      </c>
      <c r="E29" t="e">
        <f t="shared" si="3"/>
        <v>#DIV/0!</v>
      </c>
      <c r="F29" s="2" t="e">
        <f t="shared" si="7"/>
        <v>#DIV/0!</v>
      </c>
      <c r="H29" t="str">
        <f t="shared" si="4"/>
        <v>Y</v>
      </c>
      <c r="I29" t="str">
        <f t="shared" si="5"/>
        <v>Y</v>
      </c>
      <c r="J29" t="s">
        <v>5</v>
      </c>
      <c r="K29" t="s">
        <v>59</v>
      </c>
      <c r="L29" t="s">
        <v>60</v>
      </c>
    </row>
    <row r="30" spans="1:12" x14ac:dyDescent="0.25">
      <c r="A30" t="str">
        <f t="shared" si="0"/>
        <v>Scotland</v>
      </c>
      <c r="B30" s="5">
        <f t="shared" si="1"/>
        <v>125188</v>
      </c>
      <c r="C30">
        <f t="shared" si="2"/>
        <v>0</v>
      </c>
      <c r="D30" s="2">
        <f t="shared" si="6"/>
        <v>0</v>
      </c>
      <c r="E30" t="e">
        <f t="shared" si="3"/>
        <v>#DIV/0!</v>
      </c>
      <c r="F30" s="2" t="e">
        <f t="shared" si="7"/>
        <v>#DIV/0!</v>
      </c>
      <c r="H30" t="str">
        <f t="shared" si="4"/>
        <v>Y</v>
      </c>
      <c r="I30" t="str">
        <f t="shared" si="5"/>
        <v>Y</v>
      </c>
      <c r="J30" t="s">
        <v>5</v>
      </c>
      <c r="K30" t="s">
        <v>38</v>
      </c>
      <c r="L30" t="s">
        <v>7</v>
      </c>
    </row>
    <row r="31" spans="1:12" x14ac:dyDescent="0.25">
      <c r="A31" t="str">
        <f t="shared" si="0"/>
        <v>Sweden</v>
      </c>
      <c r="B31" s="5">
        <f t="shared" si="1"/>
        <v>565634</v>
      </c>
      <c r="C31">
        <f t="shared" si="2"/>
        <v>0</v>
      </c>
      <c r="D31" s="2">
        <f t="shared" si="6"/>
        <v>0</v>
      </c>
      <c r="E31" t="e">
        <f t="shared" si="3"/>
        <v>#DIV/0!</v>
      </c>
      <c r="F31" s="2" t="e">
        <f t="shared" si="7"/>
        <v>#DIV/0!</v>
      </c>
      <c r="H31" t="str">
        <f t="shared" si="4"/>
        <v>Y</v>
      </c>
      <c r="I31" t="str">
        <f t="shared" si="5"/>
        <v>Y</v>
      </c>
      <c r="J31" t="s">
        <v>5</v>
      </c>
      <c r="K31" t="s">
        <v>38</v>
      </c>
      <c r="L31" t="s">
        <v>7</v>
      </c>
    </row>
    <row r="34" spans="1:11" x14ac:dyDescent="0.25">
      <c r="A34" s="60" t="s">
        <v>8</v>
      </c>
      <c r="B34" s="60"/>
      <c r="C34" s="60"/>
    </row>
    <row r="35" spans="1:11" x14ac:dyDescent="0.25">
      <c r="A35" t="s">
        <v>9</v>
      </c>
      <c r="B35" t="s">
        <v>39</v>
      </c>
      <c r="C35" t="s">
        <v>11</v>
      </c>
    </row>
    <row r="36" spans="1:11" x14ac:dyDescent="0.25">
      <c r="A36" s="10" t="e">
        <f>SUMIF(H24:H31,"&lt;&gt;N",C24:C31)/SUM(C24:C31)</f>
        <v>#DIV/0!</v>
      </c>
      <c r="B36" s="10" t="e">
        <f>SUMIF(I24:I31,"&lt;&gt;N",E24:E31)/SUM(E24:E31)</f>
        <v>#DIV/0!</v>
      </c>
      <c r="C36" s="10" t="e">
        <f>(SUMIF(H24:H31,"&lt;&gt;N",C24:C31)+SUMIF(I24:I31,"&lt;&gt;N",E24:E31))/SUM(C24:C31,E24:E31)</f>
        <v>#DIV/0!</v>
      </c>
      <c r="D36" s="58"/>
      <c r="E36" s="58"/>
      <c r="F36" s="58"/>
      <c r="G36" s="58"/>
      <c r="H36" s="58"/>
    </row>
    <row r="39" spans="1:11" x14ac:dyDescent="0.25">
      <c r="A39" s="60" t="s">
        <v>15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x14ac:dyDescent="0.25">
      <c r="B40" s="60" t="s">
        <v>41</v>
      </c>
      <c r="C40" s="60"/>
      <c r="D40" s="60"/>
      <c r="E40" s="60" t="s">
        <v>42</v>
      </c>
      <c r="F40" s="60"/>
      <c r="G40" s="60"/>
      <c r="H40" s="60" t="s">
        <v>43</v>
      </c>
      <c r="I40" s="60"/>
    </row>
    <row r="41" spans="1:11" x14ac:dyDescent="0.25">
      <c r="A41" t="s">
        <v>23</v>
      </c>
      <c r="B41" t="s">
        <v>44</v>
      </c>
      <c r="C41" t="s">
        <v>45</v>
      </c>
      <c r="D41" t="s">
        <v>46</v>
      </c>
      <c r="E41" t="s">
        <v>47</v>
      </c>
      <c r="F41" t="s">
        <v>14</v>
      </c>
      <c r="G41" t="s">
        <v>46</v>
      </c>
      <c r="H41" t="s">
        <v>41</v>
      </c>
      <c r="I41" t="s">
        <v>42</v>
      </c>
      <c r="J41" t="s">
        <v>20</v>
      </c>
      <c r="K41" t="s">
        <v>48</v>
      </c>
    </row>
    <row r="42" spans="1:11" x14ac:dyDescent="0.25">
      <c r="A42" t="str">
        <f>A24</f>
        <v>Belgium</v>
      </c>
      <c r="B42" s="3">
        <f>C24</f>
        <v>0</v>
      </c>
      <c r="C42" t="e">
        <f>E24*$B$6</f>
        <v>#DIV/0!</v>
      </c>
      <c r="D42" s="11" t="e">
        <f>B42+C42</f>
        <v>#DIV/0!</v>
      </c>
      <c r="E42">
        <f>ROUND(VLOOKUP($A42,'Commercial pol-nsea'!$A$1:$F$14,2, FALSE) + VLOOKUP($A42,'Commercial pol-nsea'!$A$1:$F$14,3, FALSE),2)</f>
        <v>17</v>
      </c>
      <c r="F42" s="2">
        <f>IF($B$5 = "NA", 0, E42*$B$5)</f>
        <v>0</v>
      </c>
      <c r="G42" s="2">
        <f>E42+F42</f>
        <v>17</v>
      </c>
      <c r="H42" s="10" t="e">
        <f>D42/K42</f>
        <v>#DIV/0!</v>
      </c>
      <c r="I42" s="10" t="e">
        <f>G42/K42</f>
        <v>#DIV/0!</v>
      </c>
      <c r="J42" t="str">
        <f>VLOOKUP($A42,'Commercial pol-nsea'!$A$1:$F$14,4, FALSE)</f>
        <v>WGNSSK (2017)</v>
      </c>
      <c r="K42" s="11" t="e">
        <f>G42+D42</f>
        <v>#DIV/0!</v>
      </c>
    </row>
    <row r="43" spans="1:11" x14ac:dyDescent="0.25">
      <c r="A43" t="str">
        <f t="shared" ref="A43:A49" si="8">A25</f>
        <v>Denmark</v>
      </c>
      <c r="B43" s="3">
        <f t="shared" ref="B43:B49" si="9">C25</f>
        <v>0</v>
      </c>
      <c r="C43" t="e">
        <f t="shared" ref="C43:C49" si="10">E25*$B$6</f>
        <v>#DIV/0!</v>
      </c>
      <c r="D43" s="11" t="e">
        <f t="shared" ref="D43:D49" si="11">B43+C43</f>
        <v>#DIV/0!</v>
      </c>
      <c r="E43">
        <f>ROUND(VLOOKUP($A43,'Commercial pol-nsea'!$A$1:$F$14,2, FALSE) + VLOOKUP($A43,'Commercial pol-nsea'!$A$1:$F$14,3, FALSE),2)</f>
        <v>323</v>
      </c>
      <c r="F43" s="2">
        <f t="shared" ref="F43:F48" si="12">IF($B$5 = "NA", 0, E43*$B$5)</f>
        <v>0</v>
      </c>
      <c r="G43" s="2">
        <f t="shared" ref="G43:G49" si="13">E43+F43</f>
        <v>323</v>
      </c>
      <c r="H43" s="10" t="e">
        <f t="shared" ref="H43:H49" si="14">D43/K43</f>
        <v>#DIV/0!</v>
      </c>
      <c r="I43" s="10" t="e">
        <f t="shared" ref="I43:I49" si="15">G43/K43</f>
        <v>#DIV/0!</v>
      </c>
      <c r="J43" t="str">
        <f>VLOOKUP($A43,'Commercial pol-nsea'!$A$1:$F$14,4, FALSE)</f>
        <v>WGNSSK (2017)</v>
      </c>
      <c r="K43" s="11" t="e">
        <f t="shared" ref="K43:K50" si="16">G43+D43</f>
        <v>#DIV/0!</v>
      </c>
    </row>
    <row r="44" spans="1:11" x14ac:dyDescent="0.25">
      <c r="A44" t="str">
        <f t="shared" si="8"/>
        <v>England</v>
      </c>
      <c r="B44" s="3">
        <f t="shared" si="9"/>
        <v>0</v>
      </c>
      <c r="C44">
        <f t="shared" si="10"/>
        <v>0</v>
      </c>
      <c r="D44" s="11">
        <f t="shared" si="11"/>
        <v>0</v>
      </c>
      <c r="E44">
        <f>ROUND(VLOOKUP($A44,'Commercial pol-nsea'!$A$1:$F$14,2, FALSE) + VLOOKUP($A44,'Commercial pol-nsea'!$A$1:$F$14,3, FALSE),2)</f>
        <v>36.72</v>
      </c>
      <c r="F44" s="2">
        <f t="shared" si="12"/>
        <v>0</v>
      </c>
      <c r="G44" s="2">
        <f t="shared" si="13"/>
        <v>36.72</v>
      </c>
      <c r="H44" s="10">
        <f t="shared" si="14"/>
        <v>0</v>
      </c>
      <c r="I44" s="10">
        <f t="shared" si="15"/>
        <v>1</v>
      </c>
      <c r="J44" t="str">
        <f>VLOOKUP($A44,'Commercial pol-nsea'!$A$1:$F$14,4, FALSE)</f>
        <v>MMO (2012)</v>
      </c>
      <c r="K44" s="11">
        <f t="shared" si="16"/>
        <v>36.72</v>
      </c>
    </row>
    <row r="45" spans="1:11" x14ac:dyDescent="0.25">
      <c r="A45" t="str">
        <f t="shared" si="8"/>
        <v>Germany</v>
      </c>
      <c r="B45" s="3">
        <f t="shared" si="9"/>
        <v>0</v>
      </c>
      <c r="C45" t="e">
        <f t="shared" si="10"/>
        <v>#DIV/0!</v>
      </c>
      <c r="D45" s="11" t="e">
        <f t="shared" si="11"/>
        <v>#DIV/0!</v>
      </c>
      <c r="E45">
        <f>ROUND(VLOOKUP($A45,'Commercial pol-nsea'!$A$1:$F$14,2, FALSE) + VLOOKUP($A45,'Commercial pol-nsea'!$A$1:$F$14,3, FALSE),2)</f>
        <v>109</v>
      </c>
      <c r="F45" s="2">
        <f t="shared" si="12"/>
        <v>0</v>
      </c>
      <c r="G45" s="2">
        <f t="shared" si="13"/>
        <v>109</v>
      </c>
      <c r="H45" s="10" t="e">
        <f t="shared" si="14"/>
        <v>#DIV/0!</v>
      </c>
      <c r="I45" s="10" t="e">
        <f t="shared" si="15"/>
        <v>#DIV/0!</v>
      </c>
      <c r="J45" t="str">
        <f>VLOOKUP($A45,'Commercial pol-nsea'!$A$1:$F$14,4, FALSE)</f>
        <v>WGNSSK (2017)</v>
      </c>
      <c r="K45" s="11" t="e">
        <f t="shared" si="16"/>
        <v>#DIV/0!</v>
      </c>
    </row>
    <row r="46" spans="1:11" x14ac:dyDescent="0.25">
      <c r="A46" t="str">
        <f t="shared" si="8"/>
        <v>Netherlands</v>
      </c>
      <c r="B46" s="3">
        <f t="shared" si="9"/>
        <v>0</v>
      </c>
      <c r="C46" t="e">
        <f t="shared" si="10"/>
        <v>#DIV/0!</v>
      </c>
      <c r="D46" s="11" t="e">
        <f t="shared" si="11"/>
        <v>#DIV/0!</v>
      </c>
      <c r="E46">
        <f>ROUND(VLOOKUP($A46,'Commercial pol-nsea'!$A$1:$F$14,2, FALSE) + VLOOKUP($A46,'Commercial pol-nsea'!$A$1:$F$14,3, FALSE),2)</f>
        <v>1</v>
      </c>
      <c r="F46" s="2">
        <f t="shared" si="12"/>
        <v>0</v>
      </c>
      <c r="G46" s="2">
        <f t="shared" si="13"/>
        <v>1</v>
      </c>
      <c r="H46" s="10" t="e">
        <f t="shared" si="14"/>
        <v>#DIV/0!</v>
      </c>
      <c r="I46" s="10" t="e">
        <f t="shared" si="15"/>
        <v>#DIV/0!</v>
      </c>
      <c r="J46" t="str">
        <f>VLOOKUP($A46,'Commercial pol-nsea'!$A$1:$F$14,4, FALSE)</f>
        <v>WGNSSK (2017)</v>
      </c>
      <c r="K46" s="11" t="e">
        <f t="shared" si="16"/>
        <v>#DIV/0!</v>
      </c>
    </row>
    <row r="47" spans="1:11" x14ac:dyDescent="0.25">
      <c r="A47" t="str">
        <f t="shared" si="8"/>
        <v>Norway</v>
      </c>
      <c r="B47" s="3" t="e">
        <f t="shared" si="9"/>
        <v>#DIV/0!</v>
      </c>
      <c r="C47" t="e">
        <f t="shared" si="10"/>
        <v>#DIV/0!</v>
      </c>
      <c r="D47" s="11" t="e">
        <f t="shared" si="11"/>
        <v>#DIV/0!</v>
      </c>
      <c r="E47">
        <f>ROUND(VLOOKUP($A47,'Commercial pol-nsea'!$A$1:$F$14,2, FALSE) + VLOOKUP($A47,'Commercial pol-nsea'!$A$1:$F$14,3, FALSE),2)</f>
        <v>604</v>
      </c>
      <c r="F47" s="2">
        <f t="shared" si="12"/>
        <v>0</v>
      </c>
      <c r="G47" s="2">
        <f t="shared" si="13"/>
        <v>604</v>
      </c>
      <c r="H47" s="10" t="e">
        <f t="shared" si="14"/>
        <v>#DIV/0!</v>
      </c>
      <c r="I47" s="10" t="e">
        <f t="shared" si="15"/>
        <v>#DIV/0!</v>
      </c>
      <c r="J47" t="str">
        <f>VLOOKUP($A47,'Commercial pol-nsea'!$A$1:$F$14,4, FALSE)</f>
        <v>WGNSSK (2017)</v>
      </c>
      <c r="K47" s="11" t="e">
        <f t="shared" si="16"/>
        <v>#DIV/0!</v>
      </c>
    </row>
    <row r="48" spans="1:11" x14ac:dyDescent="0.25">
      <c r="A48" t="str">
        <f t="shared" si="8"/>
        <v>Scotland</v>
      </c>
      <c r="B48" s="3">
        <f t="shared" si="9"/>
        <v>0</v>
      </c>
      <c r="C48" t="e">
        <f t="shared" si="10"/>
        <v>#DIV/0!</v>
      </c>
      <c r="D48" s="11" t="e">
        <f t="shared" si="11"/>
        <v>#DIV/0!</v>
      </c>
      <c r="E48">
        <f>ROUND(VLOOKUP($A48,'Commercial pol-nsea'!$A$1:$F$14,2, FALSE) + VLOOKUP($A48,'Commercial pol-nsea'!$A$1:$F$14,3, FALSE),2)</f>
        <v>340.12</v>
      </c>
      <c r="F48" s="2">
        <f t="shared" si="12"/>
        <v>0</v>
      </c>
      <c r="G48" s="2">
        <f t="shared" si="13"/>
        <v>340.12</v>
      </c>
      <c r="H48" s="10" t="e">
        <f t="shared" si="14"/>
        <v>#DIV/0!</v>
      </c>
      <c r="I48" s="10" t="e">
        <f t="shared" si="15"/>
        <v>#DIV/0!</v>
      </c>
      <c r="J48" t="str">
        <f>VLOOKUP($A48,'Commercial pol-nsea'!$A$1:$F$14,4, FALSE)</f>
        <v>MMO (2012)</v>
      </c>
      <c r="K48" s="11" t="e">
        <f t="shared" si="16"/>
        <v>#DIV/0!</v>
      </c>
    </row>
    <row r="49" spans="1:11" x14ac:dyDescent="0.25">
      <c r="A49" t="str">
        <f t="shared" si="8"/>
        <v>Sweden</v>
      </c>
      <c r="B49" s="3">
        <f t="shared" si="9"/>
        <v>0</v>
      </c>
      <c r="C49" t="e">
        <f t="shared" si="10"/>
        <v>#DIV/0!</v>
      </c>
      <c r="D49" s="11" t="e">
        <f t="shared" si="11"/>
        <v>#DIV/0!</v>
      </c>
      <c r="E49">
        <f>ROUND(VLOOKUP($A49,'Commercial pol-nsea'!$A$1:$F$14,2, FALSE) + VLOOKUP($A49,'Commercial pol-nsea'!$A$1:$F$14,3, FALSE),2)</f>
        <v>79</v>
      </c>
      <c r="F49" s="2">
        <f>IF($B$5 = "NA", 0, E49*$B$5)</f>
        <v>0</v>
      </c>
      <c r="G49" s="2">
        <f t="shared" si="13"/>
        <v>79</v>
      </c>
      <c r="H49" s="10" t="e">
        <f t="shared" si="14"/>
        <v>#DIV/0!</v>
      </c>
      <c r="I49" s="10" t="e">
        <f t="shared" si="15"/>
        <v>#DIV/0!</v>
      </c>
      <c r="J49" t="str">
        <f>VLOOKUP($A49,'Commercial pol-nsea'!$A$1:$F$14,4, FALSE)</f>
        <v>WGNSSK (2017)</v>
      </c>
      <c r="K49" s="11" t="e">
        <f t="shared" si="16"/>
        <v>#DIV/0!</v>
      </c>
    </row>
    <row r="50" spans="1:11" x14ac:dyDescent="0.25">
      <c r="A50" s="12" t="s">
        <v>16</v>
      </c>
      <c r="B50" s="13" t="e">
        <f t="shared" ref="B50:G50" si="17">SUM(B42:B49)</f>
        <v>#DIV/0!</v>
      </c>
      <c r="C50" s="13" t="e">
        <f t="shared" si="17"/>
        <v>#DIV/0!</v>
      </c>
      <c r="D50" s="13" t="e">
        <f t="shared" si="17"/>
        <v>#DIV/0!</v>
      </c>
      <c r="E50" s="13">
        <f t="shared" si="17"/>
        <v>1509.8400000000001</v>
      </c>
      <c r="F50" s="13">
        <f t="shared" si="17"/>
        <v>0</v>
      </c>
      <c r="G50" s="13">
        <f t="shared" si="17"/>
        <v>1509.8400000000001</v>
      </c>
      <c r="H50" s="14" t="e">
        <f>D50/K50</f>
        <v>#DIV/0!</v>
      </c>
      <c r="I50" s="14" t="e">
        <f>G50/K50</f>
        <v>#DIV/0!</v>
      </c>
      <c r="J50" s="12" t="s">
        <v>61</v>
      </c>
      <c r="K50" s="15" t="e">
        <f t="shared" si="16"/>
        <v>#DIV/0!</v>
      </c>
    </row>
    <row r="51" spans="1:11" x14ac:dyDescent="0.25">
      <c r="A51" s="16" t="s">
        <v>17</v>
      </c>
      <c r="B51" s="17" t="e">
        <f>B50</f>
        <v>#DIV/0!</v>
      </c>
      <c r="C51" s="17" t="e">
        <f>C50</f>
        <v>#DIV/0!</v>
      </c>
      <c r="D51" s="17" t="e">
        <f>D50</f>
        <v>#DIV/0!</v>
      </c>
      <c r="E51" s="16">
        <f>ROUND(VLOOKUP($A51,'Commercial pol-nsea'!$A$1:$F$14,2, FALSE) + VLOOKUP($A51,'Commercial pol-nsea'!$A$1:$F$14,3, FALSE),2)</f>
        <v>1578</v>
      </c>
      <c r="F51" s="17">
        <f>IF($B$5 = "NA", 0, E51*$B$5)</f>
        <v>0</v>
      </c>
      <c r="G51" s="17">
        <f>E51+F51</f>
        <v>1578</v>
      </c>
      <c r="H51" s="18" t="e">
        <f>D51/K51</f>
        <v>#DIV/0!</v>
      </c>
      <c r="I51" s="18" t="e">
        <f>G51/K51</f>
        <v>#DIV/0!</v>
      </c>
      <c r="J51" s="16" t="str">
        <f>VLOOKUP($A51,'Commercial pol-nsea'!$A$1:$F$14,4, FALSE)</f>
        <v>WGNSSK (2017)</v>
      </c>
      <c r="K51" s="19" t="e">
        <f>G51+D51</f>
        <v>#DIV/0!</v>
      </c>
    </row>
  </sheetData>
  <sortState ref="A2:G11">
    <sortCondition ref="A2"/>
  </sortState>
  <mergeCells count="8">
    <mergeCell ref="A39:K39"/>
    <mergeCell ref="B40:D40"/>
    <mergeCell ref="E40:G40"/>
    <mergeCell ref="H40:I40"/>
    <mergeCell ref="A9:H9"/>
    <mergeCell ref="A22:I22"/>
    <mergeCell ref="J22:L22"/>
    <mergeCell ref="A34:C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12"/>
  <sheetViews>
    <sheetView workbookViewId="0">
      <selection activeCell="I15" sqref="I15"/>
    </sheetView>
  </sheetViews>
  <sheetFormatPr defaultColWidth="9.140625" defaultRowHeight="15" x14ac:dyDescent="0.25"/>
  <cols>
    <col min="1" max="1" width="16" bestFit="1" customWidth="1"/>
    <col min="2" max="2" width="9.7109375" bestFit="1" customWidth="1"/>
    <col min="3" max="3" width="9.5703125" bestFit="1" customWidth="1"/>
    <col min="5" max="5" width="9.5703125" bestFit="1" customWidth="1"/>
    <col min="6" max="6" width="12.7109375" bestFit="1" customWidth="1"/>
    <col min="7" max="7" width="10.5703125" bestFit="1" customWidth="1"/>
  </cols>
  <sheetData>
    <row r="1" spans="1:8" x14ac:dyDescent="0.25">
      <c r="A1" t="s">
        <v>23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20</v>
      </c>
    </row>
    <row r="2" spans="1:8" x14ac:dyDescent="0.25">
      <c r="A2" t="s">
        <v>68</v>
      </c>
      <c r="B2" t="s">
        <v>57</v>
      </c>
      <c r="C2">
        <v>4092</v>
      </c>
      <c r="D2" t="s">
        <v>57</v>
      </c>
      <c r="E2" t="s">
        <v>57</v>
      </c>
      <c r="F2" t="s">
        <v>57</v>
      </c>
      <c r="G2" t="s">
        <v>57</v>
      </c>
      <c r="H2" t="s">
        <v>57</v>
      </c>
    </row>
    <row r="3" spans="1:8" x14ac:dyDescent="0.25">
      <c r="A3" t="s">
        <v>69</v>
      </c>
      <c r="B3">
        <v>2012</v>
      </c>
      <c r="C3">
        <v>884000</v>
      </c>
      <c r="D3" s="55">
        <v>194.73999999999998</v>
      </c>
      <c r="E3" s="55">
        <v>122678</v>
      </c>
      <c r="F3" s="55">
        <v>126.39999999999999</v>
      </c>
      <c r="G3" s="55">
        <v>249593</v>
      </c>
      <c r="H3" s="23" t="s">
        <v>255</v>
      </c>
    </row>
    <row r="4" spans="1:8" x14ac:dyDescent="0.25">
      <c r="A4" t="s">
        <v>70</v>
      </c>
      <c r="B4" t="s">
        <v>71</v>
      </c>
      <c r="C4">
        <f>'France landing calculation'!B4</f>
        <v>226366</v>
      </c>
      <c r="D4" s="55">
        <f>'France landing calculation'!C4</f>
        <v>2493.4</v>
      </c>
      <c r="E4" s="23" t="s">
        <v>57</v>
      </c>
      <c r="F4" s="23" t="s">
        <v>57</v>
      </c>
      <c r="G4" s="23" t="s">
        <v>57</v>
      </c>
      <c r="H4" s="23" t="s">
        <v>72</v>
      </c>
    </row>
    <row r="5" spans="1:8" x14ac:dyDescent="0.25">
      <c r="A5" t="s">
        <v>73</v>
      </c>
      <c r="B5" t="s">
        <v>57</v>
      </c>
      <c r="C5">
        <v>76600</v>
      </c>
      <c r="D5" t="s">
        <v>57</v>
      </c>
      <c r="E5" t="s">
        <v>57</v>
      </c>
      <c r="F5" t="s">
        <v>57</v>
      </c>
      <c r="G5" t="s">
        <v>57</v>
      </c>
      <c r="H5" t="s">
        <v>57</v>
      </c>
    </row>
    <row r="6" spans="1:8" x14ac:dyDescent="0.25">
      <c r="A6" t="s">
        <v>74</v>
      </c>
      <c r="B6" t="s">
        <v>57</v>
      </c>
      <c r="C6">
        <f>ROUNDUP(87127*0.0179,0)</f>
        <v>1560</v>
      </c>
      <c r="D6" t="s">
        <v>57</v>
      </c>
      <c r="E6" t="s">
        <v>57</v>
      </c>
      <c r="F6" t="s">
        <v>57</v>
      </c>
      <c r="G6" t="s">
        <v>57</v>
      </c>
      <c r="H6" s="22" t="s">
        <v>247</v>
      </c>
    </row>
    <row r="7" spans="1:8" x14ac:dyDescent="0.25">
      <c r="A7" t="s">
        <v>75</v>
      </c>
      <c r="B7" t="s">
        <v>57</v>
      </c>
      <c r="C7">
        <f>ROUNDUP((1.811*1000000) * 0.0179, 0)</f>
        <v>32417</v>
      </c>
      <c r="D7" t="s">
        <v>57</v>
      </c>
      <c r="E7" t="s">
        <v>57</v>
      </c>
      <c r="F7" t="s">
        <v>57</v>
      </c>
      <c r="G7" t="s">
        <v>57</v>
      </c>
      <c r="H7" s="22" t="s">
        <v>76</v>
      </c>
    </row>
    <row r="8" spans="1:8" x14ac:dyDescent="0.25">
      <c r="A8" t="s">
        <v>77</v>
      </c>
      <c r="B8" t="s">
        <v>57</v>
      </c>
      <c r="C8">
        <v>125188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</row>
    <row r="9" spans="1:8" x14ac:dyDescent="0.25">
      <c r="A9" t="s">
        <v>78</v>
      </c>
      <c r="B9" t="s">
        <v>57</v>
      </c>
      <c r="C9">
        <v>76000</v>
      </c>
      <c r="D9" t="s">
        <v>57</v>
      </c>
      <c r="E9" t="s">
        <v>57</v>
      </c>
      <c r="F9" t="s">
        <v>57</v>
      </c>
      <c r="G9" t="s">
        <v>57</v>
      </c>
      <c r="H9" t="s">
        <v>57</v>
      </c>
    </row>
    <row r="12" spans="1:8" x14ac:dyDescent="0.25">
      <c r="B12" s="1"/>
      <c r="C12" s="1"/>
      <c r="D12" s="1"/>
      <c r="E12" s="1"/>
    </row>
  </sheetData>
  <sortState ref="A2:H9">
    <sortCondition ref="A2:A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5"/>
  <sheetViews>
    <sheetView workbookViewId="0">
      <selection activeCell="H3" sqref="H3"/>
    </sheetView>
  </sheetViews>
  <sheetFormatPr defaultColWidth="9.140625" defaultRowHeight="15" x14ac:dyDescent="0.25"/>
  <cols>
    <col min="1" max="1" width="14.7109375" bestFit="1" customWidth="1"/>
    <col min="6" max="6" width="12.7109375" bestFit="1" customWidth="1"/>
    <col min="7" max="7" width="10.5703125" bestFit="1" customWidth="1"/>
    <col min="8" max="8" width="17.85546875" bestFit="1" customWidth="1"/>
  </cols>
  <sheetData>
    <row r="1" spans="1:9" x14ac:dyDescent="0.25">
      <c r="A1" t="s">
        <v>23</v>
      </c>
      <c r="B1" t="s">
        <v>62</v>
      </c>
      <c r="C1" s="5" t="s">
        <v>63</v>
      </c>
      <c r="D1" t="s">
        <v>64</v>
      </c>
      <c r="E1" s="2" t="s">
        <v>65</v>
      </c>
      <c r="F1" t="s">
        <v>66</v>
      </c>
      <c r="G1" s="2" t="s">
        <v>67</v>
      </c>
      <c r="H1" t="s">
        <v>20</v>
      </c>
      <c r="I1" s="2" t="s">
        <v>32</v>
      </c>
    </row>
    <row r="2" spans="1:9" x14ac:dyDescent="0.25">
      <c r="A2" t="s">
        <v>79</v>
      </c>
      <c r="B2">
        <v>2006</v>
      </c>
      <c r="C2">
        <v>791000</v>
      </c>
      <c r="D2">
        <v>3500</v>
      </c>
      <c r="E2" t="s">
        <v>57</v>
      </c>
      <c r="F2" t="s">
        <v>57</v>
      </c>
      <c r="G2" t="s">
        <v>57</v>
      </c>
      <c r="H2" t="s">
        <v>248</v>
      </c>
    </row>
    <row r="3" spans="1:9" x14ac:dyDescent="0.25">
      <c r="A3" t="s">
        <v>70</v>
      </c>
      <c r="B3" t="s">
        <v>57</v>
      </c>
      <c r="C3">
        <v>262933</v>
      </c>
      <c r="D3" t="s">
        <v>57</v>
      </c>
      <c r="E3" t="s">
        <v>57</v>
      </c>
      <c r="F3" t="s">
        <v>57</v>
      </c>
      <c r="G3" t="s">
        <v>57</v>
      </c>
      <c r="H3" t="s">
        <v>57</v>
      </c>
    </row>
    <row r="4" spans="1:9" x14ac:dyDescent="0.25">
      <c r="A4" t="s">
        <v>80</v>
      </c>
      <c r="B4" t="s">
        <v>57</v>
      </c>
      <c r="C4">
        <v>175000</v>
      </c>
      <c r="D4" t="s">
        <v>57</v>
      </c>
      <c r="E4" t="s">
        <v>57</v>
      </c>
      <c r="F4" t="s">
        <v>57</v>
      </c>
      <c r="G4" t="s">
        <v>57</v>
      </c>
      <c r="H4" t="s">
        <v>57</v>
      </c>
    </row>
    <row r="5" spans="1:9" x14ac:dyDescent="0.25">
      <c r="A5" t="s">
        <v>81</v>
      </c>
      <c r="B5" t="s">
        <v>57</v>
      </c>
      <c r="C5">
        <v>181651</v>
      </c>
      <c r="D5" t="s">
        <v>57</v>
      </c>
      <c r="E5" t="s">
        <v>57</v>
      </c>
      <c r="F5" t="s">
        <v>57</v>
      </c>
      <c r="G5" t="s">
        <v>57</v>
      </c>
      <c r="H5" t="s">
        <v>57</v>
      </c>
    </row>
  </sheetData>
  <sortState ref="A2:A5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10"/>
  <sheetViews>
    <sheetView workbookViewId="0">
      <selection activeCell="H16" sqref="H16"/>
    </sheetView>
  </sheetViews>
  <sheetFormatPr defaultColWidth="9.140625" defaultRowHeight="15" x14ac:dyDescent="0.25"/>
  <cols>
    <col min="1" max="1" width="15.85546875" style="42" bestFit="1" customWidth="1"/>
    <col min="2" max="2" width="9.140625" style="42"/>
    <col min="3" max="3" width="10.7109375" style="44" bestFit="1" customWidth="1"/>
    <col min="4" max="7" width="9.140625" style="42"/>
    <col min="8" max="8" width="33.42578125" style="42" bestFit="1" customWidth="1"/>
    <col min="9" max="16384" width="9.140625" style="42"/>
  </cols>
  <sheetData>
    <row r="1" spans="1:9" x14ac:dyDescent="0.25">
      <c r="A1" s="42" t="s">
        <v>23</v>
      </c>
      <c r="B1" s="42" t="s">
        <v>62</v>
      </c>
      <c r="C1" s="43" t="s">
        <v>63</v>
      </c>
      <c r="D1" s="42" t="s">
        <v>64</v>
      </c>
      <c r="E1" s="44" t="s">
        <v>65</v>
      </c>
      <c r="F1" s="42" t="s">
        <v>66</v>
      </c>
      <c r="G1" s="44" t="s">
        <v>67</v>
      </c>
      <c r="H1" s="42" t="s">
        <v>20</v>
      </c>
      <c r="I1" s="44" t="s">
        <v>32</v>
      </c>
    </row>
    <row r="2" spans="1:9" x14ac:dyDescent="0.25">
      <c r="A2" s="42" t="s">
        <v>82</v>
      </c>
      <c r="B2" s="42" t="s">
        <v>57</v>
      </c>
      <c r="C2" s="45">
        <v>24409</v>
      </c>
      <c r="D2" s="42" t="s">
        <v>57</v>
      </c>
      <c r="E2" s="44" t="s">
        <v>57</v>
      </c>
      <c r="F2" s="42" t="s">
        <v>57</v>
      </c>
      <c r="G2" s="44" t="s">
        <v>57</v>
      </c>
      <c r="H2" s="42" t="s">
        <v>57</v>
      </c>
      <c r="I2" s="42" t="s">
        <v>57</v>
      </c>
    </row>
    <row r="3" spans="1:9" x14ac:dyDescent="0.25">
      <c r="A3" s="42" t="s">
        <v>83</v>
      </c>
      <c r="B3" s="42" t="s">
        <v>57</v>
      </c>
      <c r="C3" s="45">
        <v>386000</v>
      </c>
      <c r="D3" s="42" t="s">
        <v>57</v>
      </c>
      <c r="E3" s="44" t="s">
        <v>57</v>
      </c>
      <c r="F3" s="42" t="s">
        <v>57</v>
      </c>
      <c r="G3" s="44" t="s">
        <v>57</v>
      </c>
      <c r="H3" s="42" t="s">
        <v>57</v>
      </c>
      <c r="I3" s="42" t="s">
        <v>57</v>
      </c>
    </row>
    <row r="4" spans="1:9" x14ac:dyDescent="0.25">
      <c r="A4" s="42" t="s">
        <v>69</v>
      </c>
      <c r="B4" s="42">
        <v>2012</v>
      </c>
      <c r="C4" s="45">
        <v>884000</v>
      </c>
      <c r="D4" s="42">
        <v>0</v>
      </c>
      <c r="E4" s="42">
        <v>0</v>
      </c>
      <c r="F4" s="42">
        <v>0</v>
      </c>
      <c r="G4" s="42">
        <v>0</v>
      </c>
      <c r="H4" s="20" t="s">
        <v>249</v>
      </c>
      <c r="I4" s="42" t="s">
        <v>57</v>
      </c>
    </row>
    <row r="5" spans="1:9" x14ac:dyDescent="0.25">
      <c r="A5" s="42" t="s">
        <v>84</v>
      </c>
      <c r="B5" s="42" t="s">
        <v>57</v>
      </c>
      <c r="C5" s="45">
        <v>32000</v>
      </c>
      <c r="D5" s="42" t="s">
        <v>57</v>
      </c>
      <c r="E5" s="44" t="s">
        <v>57</v>
      </c>
      <c r="F5" s="42" t="s">
        <v>57</v>
      </c>
      <c r="G5" s="44" t="s">
        <v>57</v>
      </c>
      <c r="H5" s="42" t="s">
        <v>57</v>
      </c>
      <c r="I5" s="42" t="s">
        <v>57</v>
      </c>
    </row>
    <row r="6" spans="1:9" x14ac:dyDescent="0.25">
      <c r="A6" s="42" t="s">
        <v>85</v>
      </c>
      <c r="B6" s="42" t="s">
        <v>57</v>
      </c>
      <c r="C6" s="46">
        <v>504108</v>
      </c>
      <c r="D6" s="42" t="s">
        <v>57</v>
      </c>
      <c r="E6" s="44" t="s">
        <v>57</v>
      </c>
      <c r="F6" s="42" t="s">
        <v>57</v>
      </c>
      <c r="G6" s="44" t="s">
        <v>57</v>
      </c>
      <c r="H6" s="42" t="s">
        <v>57</v>
      </c>
      <c r="I6" s="42" t="s">
        <v>57</v>
      </c>
    </row>
    <row r="7" spans="1:9" x14ac:dyDescent="0.25">
      <c r="A7" s="42" t="s">
        <v>86</v>
      </c>
      <c r="B7" s="42" t="s">
        <v>57</v>
      </c>
      <c r="C7" s="45">
        <v>1285163</v>
      </c>
      <c r="D7" s="42" t="s">
        <v>57</v>
      </c>
      <c r="E7" s="44" t="s">
        <v>57</v>
      </c>
      <c r="F7" s="42" t="s">
        <v>57</v>
      </c>
      <c r="G7" s="44" t="s">
        <v>57</v>
      </c>
      <c r="H7" s="42" t="s">
        <v>57</v>
      </c>
      <c r="I7" s="42" t="s">
        <v>57</v>
      </c>
    </row>
    <row r="8" spans="1:9" x14ac:dyDescent="0.25">
      <c r="A8" s="42" t="s">
        <v>87</v>
      </c>
      <c r="B8" s="42" t="s">
        <v>71</v>
      </c>
      <c r="C8" s="43" t="s">
        <v>57</v>
      </c>
      <c r="D8" s="47">
        <v>21.4</v>
      </c>
      <c r="E8" s="44">
        <v>17167</v>
      </c>
      <c r="F8" s="42" t="s">
        <v>57</v>
      </c>
      <c r="G8" s="44">
        <f>(E8/(1-0.56))-E8</f>
        <v>21848.909090909096</v>
      </c>
      <c r="H8" s="20" t="s">
        <v>250</v>
      </c>
      <c r="I8" s="20" t="s">
        <v>88</v>
      </c>
    </row>
    <row r="9" spans="1:9" x14ac:dyDescent="0.25">
      <c r="A9" s="42" t="s">
        <v>77</v>
      </c>
      <c r="B9" s="42" t="s">
        <v>57</v>
      </c>
      <c r="C9" s="43">
        <v>125188</v>
      </c>
      <c r="D9" s="42" t="s">
        <v>57</v>
      </c>
      <c r="E9" s="44" t="s">
        <v>57</v>
      </c>
      <c r="F9" s="42" t="s">
        <v>57</v>
      </c>
      <c r="G9" s="44" t="s">
        <v>57</v>
      </c>
      <c r="H9" s="42" t="s">
        <v>57</v>
      </c>
      <c r="I9" s="42" t="s">
        <v>57</v>
      </c>
    </row>
    <row r="10" spans="1:9" x14ac:dyDescent="0.25">
      <c r="A10" s="42" t="s">
        <v>89</v>
      </c>
      <c r="B10" s="42" t="s">
        <v>57</v>
      </c>
      <c r="C10" s="42">
        <v>565634</v>
      </c>
      <c r="D10" s="42" t="s">
        <v>57</v>
      </c>
      <c r="E10" s="44" t="s">
        <v>57</v>
      </c>
      <c r="F10" s="42" t="s">
        <v>57</v>
      </c>
      <c r="G10" s="44" t="s">
        <v>57</v>
      </c>
      <c r="H10" s="42" t="s">
        <v>57</v>
      </c>
      <c r="I10" s="42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B41"/>
  <sheetViews>
    <sheetView workbookViewId="0">
      <selection activeCell="C18" sqref="C18"/>
    </sheetView>
  </sheetViews>
  <sheetFormatPr defaultColWidth="9.140625" defaultRowHeight="15" x14ac:dyDescent="0.25"/>
  <cols>
    <col min="1" max="1" width="18.42578125" style="20" bestFit="1" customWidth="1"/>
    <col min="2" max="2" width="9.5703125" style="20" bestFit="1" customWidth="1"/>
    <col min="3" max="3" width="20.85546875" style="20" bestFit="1" customWidth="1"/>
    <col min="4" max="16384" width="9.140625" style="20"/>
  </cols>
  <sheetData>
    <row r="1" spans="1:28" ht="15" customHeight="1" x14ac:dyDescent="0.25">
      <c r="A1" s="20" t="s">
        <v>23</v>
      </c>
      <c r="B1" s="56" t="s">
        <v>47</v>
      </c>
      <c r="C1" s="20" t="s">
        <v>20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5" customHeight="1" x14ac:dyDescent="0.25">
      <c r="A2" s="21" t="s">
        <v>69</v>
      </c>
      <c r="B2" s="57">
        <v>1435.54</v>
      </c>
      <c r="C2" s="21" t="s">
        <v>253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15" customHeight="1" x14ac:dyDescent="0.25">
      <c r="A3" s="21" t="s">
        <v>78</v>
      </c>
      <c r="B3" s="57">
        <v>1.42</v>
      </c>
      <c r="C3" s="21" t="s">
        <v>253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" customHeight="1" x14ac:dyDescent="0.25">
      <c r="A4" s="21" t="s">
        <v>74</v>
      </c>
      <c r="B4" s="57">
        <v>8.18</v>
      </c>
      <c r="C4" s="21" t="s">
        <v>253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15" customHeight="1" x14ac:dyDescent="0.25">
      <c r="A5" s="21" t="s">
        <v>68</v>
      </c>
      <c r="B5" s="57">
        <v>0.82</v>
      </c>
      <c r="C5" s="21" t="s">
        <v>253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ht="15" customHeight="1" x14ac:dyDescent="0.25">
      <c r="A6" s="21" t="s">
        <v>82</v>
      </c>
      <c r="B6" s="57">
        <v>43</v>
      </c>
      <c r="C6" s="21" t="s">
        <v>251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5" customHeight="1" x14ac:dyDescent="0.25">
      <c r="A7" s="21" t="s">
        <v>84</v>
      </c>
      <c r="B7" s="57">
        <v>0</v>
      </c>
      <c r="C7" s="21" t="s">
        <v>251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15" customHeight="1" x14ac:dyDescent="0.25">
      <c r="A8" s="21" t="s">
        <v>83</v>
      </c>
      <c r="B8" s="57">
        <v>0</v>
      </c>
      <c r="C8" s="21" t="s">
        <v>251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15" customHeight="1" x14ac:dyDescent="0.25">
      <c r="A9" s="21" t="s">
        <v>90</v>
      </c>
      <c r="B9" s="57">
        <v>0</v>
      </c>
      <c r="C9" s="21" t="s">
        <v>251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15" customHeight="1" x14ac:dyDescent="0.25">
      <c r="A10" s="21" t="s">
        <v>81</v>
      </c>
      <c r="B10" s="57">
        <v>5</v>
      </c>
      <c r="C10" s="21" t="s">
        <v>251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15" customHeight="1" x14ac:dyDescent="0.25">
      <c r="A11" s="21" t="s">
        <v>70</v>
      </c>
      <c r="B11" s="57">
        <v>1423</v>
      </c>
      <c r="C11" s="21" t="s">
        <v>251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15" customHeight="1" x14ac:dyDescent="0.25">
      <c r="A12" s="21" t="s">
        <v>91</v>
      </c>
      <c r="B12" s="57">
        <v>90</v>
      </c>
      <c r="C12" s="21" t="s">
        <v>251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5" customHeight="1" x14ac:dyDescent="0.25">
      <c r="A13" s="21" t="s">
        <v>73</v>
      </c>
      <c r="B13" s="57">
        <v>1175</v>
      </c>
      <c r="C13" s="21" t="s">
        <v>251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15" customHeight="1" x14ac:dyDescent="0.25">
      <c r="A14" s="21" t="s">
        <v>85</v>
      </c>
      <c r="B14" s="57">
        <v>1</v>
      </c>
      <c r="C14" s="21" t="s">
        <v>251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15" customHeight="1" x14ac:dyDescent="0.25">
      <c r="A15" s="21" t="s">
        <v>75</v>
      </c>
      <c r="B15" s="57">
        <v>8.08</v>
      </c>
      <c r="C15" s="21" t="s">
        <v>253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15" customHeight="1" x14ac:dyDescent="0.25">
      <c r="A16" s="21" t="s">
        <v>77</v>
      </c>
      <c r="B16" s="57">
        <v>31.51</v>
      </c>
      <c r="C16" s="21" t="s">
        <v>253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15" customHeight="1" x14ac:dyDescent="0.25">
      <c r="A17" s="21" t="s">
        <v>92</v>
      </c>
      <c r="B17" s="57">
        <f>SUM(B2:B16)</f>
        <v>4222.55</v>
      </c>
      <c r="C17" s="21" t="s">
        <v>252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5" customHeight="1" x14ac:dyDescent="0.25">
      <c r="A18" s="21" t="s">
        <v>49</v>
      </c>
      <c r="B18" s="57">
        <v>4513</v>
      </c>
      <c r="C18" s="21" t="s">
        <v>251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</row>
    <row r="20" spans="1:28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1:28" ht="1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spans="1:28" ht="1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1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</row>
    <row r="24" spans="1:28" ht="1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 ht="1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 ht="1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 ht="1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 ht="1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ht="1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ht="1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ht="1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 ht="1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1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 ht="1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 ht="1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 ht="1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1:28" ht="1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1:28" ht="1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ht="1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ht="1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D7"/>
  <sheetViews>
    <sheetView workbookViewId="0">
      <selection activeCell="D13" sqref="D13"/>
    </sheetView>
  </sheetViews>
  <sheetFormatPr defaultColWidth="9.140625" defaultRowHeight="15" x14ac:dyDescent="0.25"/>
  <cols>
    <col min="4" max="4" width="33.42578125" bestFit="1" customWidth="1"/>
  </cols>
  <sheetData>
    <row r="1" spans="1:4" x14ac:dyDescent="0.25">
      <c r="A1" t="s">
        <v>23</v>
      </c>
      <c r="B1" t="s">
        <v>93</v>
      </c>
      <c r="C1" t="s">
        <v>94</v>
      </c>
      <c r="D1" t="s">
        <v>20</v>
      </c>
    </row>
    <row r="2" spans="1:4" x14ac:dyDescent="0.25">
      <c r="A2" t="s">
        <v>82</v>
      </c>
      <c r="B2">
        <v>0</v>
      </c>
      <c r="C2">
        <v>0</v>
      </c>
      <c r="D2" t="s">
        <v>254</v>
      </c>
    </row>
    <row r="3" spans="1:4" x14ac:dyDescent="0.25">
      <c r="A3" t="s">
        <v>70</v>
      </c>
      <c r="B3">
        <v>1094</v>
      </c>
      <c r="C3">
        <v>0</v>
      </c>
      <c r="D3" t="s">
        <v>254</v>
      </c>
    </row>
    <row r="4" spans="1:4" x14ac:dyDescent="0.25">
      <c r="A4" t="s">
        <v>80</v>
      </c>
      <c r="B4">
        <v>0</v>
      </c>
      <c r="C4">
        <v>2</v>
      </c>
      <c r="D4" t="s">
        <v>254</v>
      </c>
    </row>
    <row r="5" spans="1:4" x14ac:dyDescent="0.25">
      <c r="A5" t="s">
        <v>81</v>
      </c>
      <c r="B5">
        <v>159</v>
      </c>
      <c r="C5">
        <v>139</v>
      </c>
      <c r="D5" t="s">
        <v>254</v>
      </c>
    </row>
    <row r="6" spans="1:4" x14ac:dyDescent="0.25">
      <c r="A6" t="s">
        <v>95</v>
      </c>
      <c r="B6">
        <v>2</v>
      </c>
      <c r="C6">
        <v>0</v>
      </c>
      <c r="D6" t="s">
        <v>254</v>
      </c>
    </row>
    <row r="7" spans="1:4" x14ac:dyDescent="0.25">
      <c r="A7" t="s">
        <v>17</v>
      </c>
      <c r="B7">
        <v>1483</v>
      </c>
      <c r="D7" t="s">
        <v>254</v>
      </c>
    </row>
  </sheetData>
  <sortState ref="A2:A6">
    <sortCondition ref="A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13"/>
  <sheetViews>
    <sheetView workbookViewId="0">
      <selection activeCell="D12" sqref="D12"/>
    </sheetView>
  </sheetViews>
  <sheetFormatPr defaultColWidth="9.140625" defaultRowHeight="15" x14ac:dyDescent="0.25"/>
  <cols>
    <col min="1" max="1" width="12" bestFit="1" customWidth="1"/>
    <col min="2" max="2" width="10.5703125" bestFit="1" customWidth="1"/>
    <col min="3" max="3" width="9.5703125" bestFit="1" customWidth="1"/>
    <col min="4" max="4" width="28.5703125" bestFit="1" customWidth="1"/>
  </cols>
  <sheetData>
    <row r="1" spans="1:4" x14ac:dyDescent="0.25">
      <c r="A1" t="s">
        <v>23</v>
      </c>
      <c r="B1" t="s">
        <v>96</v>
      </c>
      <c r="C1" t="s">
        <v>97</v>
      </c>
      <c r="D1" t="s">
        <v>20</v>
      </c>
    </row>
    <row r="2" spans="1:4" x14ac:dyDescent="0.25">
      <c r="A2" t="s">
        <v>82</v>
      </c>
      <c r="B2">
        <v>0</v>
      </c>
      <c r="C2">
        <v>17</v>
      </c>
      <c r="D2" t="s">
        <v>246</v>
      </c>
    </row>
    <row r="3" spans="1:4" x14ac:dyDescent="0.25">
      <c r="A3" t="s">
        <v>83</v>
      </c>
      <c r="B3">
        <v>200</v>
      </c>
      <c r="C3">
        <v>123</v>
      </c>
      <c r="D3" t="s">
        <v>246</v>
      </c>
    </row>
    <row r="4" spans="1:4" x14ac:dyDescent="0.25">
      <c r="A4" t="s">
        <v>98</v>
      </c>
      <c r="B4">
        <v>0</v>
      </c>
      <c r="C4">
        <v>0</v>
      </c>
      <c r="D4" t="s">
        <v>246</v>
      </c>
    </row>
    <row r="5" spans="1:4" x14ac:dyDescent="0.25">
      <c r="A5" t="s">
        <v>70</v>
      </c>
      <c r="B5">
        <v>0</v>
      </c>
      <c r="C5">
        <v>3</v>
      </c>
      <c r="D5" t="s">
        <v>246</v>
      </c>
    </row>
    <row r="6" spans="1:4" x14ac:dyDescent="0.25">
      <c r="A6" t="s">
        <v>84</v>
      </c>
      <c r="B6">
        <v>7</v>
      </c>
      <c r="C6">
        <v>102</v>
      </c>
      <c r="D6" t="s">
        <v>246</v>
      </c>
    </row>
    <row r="7" spans="1:4" x14ac:dyDescent="0.25">
      <c r="A7" t="s">
        <v>85</v>
      </c>
      <c r="B7">
        <v>0</v>
      </c>
      <c r="C7">
        <v>1</v>
      </c>
      <c r="D7" t="s">
        <v>246</v>
      </c>
    </row>
    <row r="8" spans="1:4" x14ac:dyDescent="0.25">
      <c r="A8" t="s">
        <v>86</v>
      </c>
      <c r="B8">
        <v>171</v>
      </c>
      <c r="C8">
        <v>433</v>
      </c>
      <c r="D8" t="s">
        <v>246</v>
      </c>
    </row>
    <row r="9" spans="1:4" x14ac:dyDescent="0.25">
      <c r="A9" t="s">
        <v>99</v>
      </c>
      <c r="B9">
        <v>0</v>
      </c>
      <c r="C9">
        <v>0</v>
      </c>
      <c r="D9" t="s">
        <v>246</v>
      </c>
    </row>
    <row r="10" spans="1:4" x14ac:dyDescent="0.25">
      <c r="A10" t="s">
        <v>89</v>
      </c>
      <c r="B10">
        <v>37</v>
      </c>
      <c r="C10">
        <v>42</v>
      </c>
      <c r="D10" t="s">
        <v>246</v>
      </c>
    </row>
    <row r="11" spans="1:4" x14ac:dyDescent="0.25">
      <c r="A11" t="s">
        <v>69</v>
      </c>
      <c r="B11">
        <v>0</v>
      </c>
      <c r="C11">
        <v>36.72</v>
      </c>
      <c r="D11" t="s">
        <v>253</v>
      </c>
    </row>
    <row r="12" spans="1:4" x14ac:dyDescent="0.25">
      <c r="A12" t="s">
        <v>77</v>
      </c>
      <c r="B12">
        <v>0</v>
      </c>
      <c r="C12">
        <v>340.12</v>
      </c>
      <c r="D12" t="s">
        <v>253</v>
      </c>
    </row>
    <row r="13" spans="1:4" x14ac:dyDescent="0.25">
      <c r="A13" t="s">
        <v>17</v>
      </c>
      <c r="B13">
        <v>414</v>
      </c>
      <c r="C13">
        <v>1164</v>
      </c>
      <c r="D13" t="s">
        <v>246</v>
      </c>
    </row>
  </sheetData>
  <sortState ref="A2:A1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pol.27.67</vt:lpstr>
      <vt:lpstr>pol-89a</vt:lpstr>
      <vt:lpstr>pol-nsea</vt:lpstr>
      <vt:lpstr>Recreational pol.26.67</vt:lpstr>
      <vt:lpstr>Recreational pol-89a</vt:lpstr>
      <vt:lpstr>Recreational pol-nsea</vt:lpstr>
      <vt:lpstr>Commercial pol27.67</vt:lpstr>
      <vt:lpstr>Commercial pol-89a</vt:lpstr>
      <vt:lpstr>Commercial pol-nsea</vt:lpstr>
      <vt:lpstr>Discard mortality</vt:lpstr>
      <vt:lpstr>Discard rate</vt:lpstr>
      <vt:lpstr>England charter</vt:lpstr>
      <vt:lpstr>England boat + shore</vt:lpstr>
      <vt:lpstr>England combined</vt:lpstr>
      <vt:lpstr>France angler population</vt:lpstr>
      <vt:lpstr>France landing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Radford (Cefas)</dc:creator>
  <cp:keywords/>
  <dc:description/>
  <cp:lastModifiedBy>Zachary Radford (Cefas)</cp:lastModifiedBy>
  <cp:revision/>
  <dcterms:created xsi:type="dcterms:W3CDTF">2017-04-18T10:25:46Z</dcterms:created>
  <dcterms:modified xsi:type="dcterms:W3CDTF">2018-06-07T14:46:14Z</dcterms:modified>
  <cp:category/>
  <cp:contentStatus/>
</cp:coreProperties>
</file>