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R00\OneDrive - CEFAS\MRF impact submission docs\Resubmitted\Final manuscript\Supplementary\"/>
    </mc:Choice>
  </mc:AlternateContent>
  <xr:revisionPtr revIDLastSave="113" documentId="11_2AAC2BFDFF55AFB2027EA058D9CC99B7306AD68D" xr6:coauthVersionLast="34" xr6:coauthVersionMax="34" xr10:uidLastSave="{5E4F1BD0-71A4-4805-875F-3F47A236EBB8}"/>
  <bookViews>
    <workbookView xWindow="0" yWindow="0" windowWidth="14370" windowHeight="7350" firstSheet="2" activeTab="3" xr2:uid="{00000000-000D-0000-FFFF-FFFF00000000}"/>
  </bookViews>
  <sheets>
    <sheet name="mac-8c9a" sheetId="2" r:id="rId1"/>
    <sheet name="mac-6" sheetId="9" r:id="rId2"/>
    <sheet name="mac-7,8abde" sheetId="10" r:id="rId3"/>
    <sheet name="mac-3&amp;4" sheetId="11" r:id="rId4"/>
    <sheet name="mac-1,2,5,14" sheetId="12" r:id="rId5"/>
    <sheet name="Recreational mac-8c9a" sheetId="3" r:id="rId6"/>
    <sheet name="Recreational mac-6" sheetId="13" r:id="rId7"/>
    <sheet name="Recreational mac-7,8a-e" sheetId="14" r:id="rId8"/>
    <sheet name="Recreational mac-3&amp;4" sheetId="15" r:id="rId9"/>
    <sheet name="Recreational mac-1,2,5,14" sheetId="16" r:id="rId10"/>
    <sheet name="Commercial mac-8c9a" sheetId="4" r:id="rId11"/>
    <sheet name="Commercial mac-6" sheetId="17" r:id="rId12"/>
    <sheet name="Commercial mac-7,8a-e" sheetId="18" r:id="rId13"/>
    <sheet name="Commercial mac-1,2,5,14" sheetId="19" r:id="rId14"/>
    <sheet name="Commercial mac-3&amp;4" sheetId="26" r:id="rId15"/>
    <sheet name="Discard mortality" sheetId="6" r:id="rId16"/>
    <sheet name="Discard rate" sheetId="7" r:id="rId17"/>
    <sheet name="Portugal calculation" sheetId="5" r:id="rId18"/>
    <sheet name="England landings" sheetId="20" r:id="rId19"/>
    <sheet name="English charter boat" sheetId="22" r:id="rId20"/>
    <sheet name="English private + shore" sheetId="23" r:id="rId21"/>
    <sheet name="England combinded" sheetId="24" r:id="rId22"/>
    <sheet name="France angler population" sheetId="21" r:id="rId23"/>
    <sheet name="France landings" sheetId="25" r:id="rId24"/>
    <sheet name="Sweden landings" sheetId="27" r:id="rId25"/>
  </sheets>
  <calcPr calcId="179021"/>
  <pivotCaches>
    <pivotCache cacheId="0" r:id="rId26"/>
    <pivotCache cacheId="1" r:id="rId2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5" l="1"/>
  <c r="C7" i="5"/>
  <c r="E7" i="5" s="1"/>
  <c r="D7" i="5"/>
  <c r="C6" i="5"/>
  <c r="E6" i="5" s="1"/>
  <c r="D6" i="5"/>
  <c r="E1" i="5" l="1"/>
  <c r="B3" i="2"/>
  <c r="F6" i="5" l="1"/>
  <c r="F7" i="5"/>
  <c r="G6" i="5"/>
  <c r="G7" i="5"/>
  <c r="C7" i="10"/>
  <c r="F50" i="11" l="1"/>
  <c r="B7" i="2" l="1"/>
  <c r="F37" i="2" s="1"/>
  <c r="B7" i="10"/>
  <c r="F45" i="10" s="1"/>
  <c r="H7" i="11"/>
  <c r="E50" i="11" l="1"/>
  <c r="G50" i="11" s="1"/>
  <c r="J50" i="11"/>
  <c r="C20" i="11"/>
  <c r="D20" i="11"/>
  <c r="E20" i="11"/>
  <c r="F20" i="11"/>
  <c r="G20" i="11"/>
  <c r="H20" i="11"/>
  <c r="B20" i="11"/>
  <c r="A13" i="11"/>
  <c r="A25" i="11" s="1"/>
  <c r="A14" i="11"/>
  <c r="C14" i="11" s="1"/>
  <c r="B26" i="11" s="1"/>
  <c r="B58" i="11" s="1"/>
  <c r="A15" i="11"/>
  <c r="D15" i="11" s="1"/>
  <c r="H27" i="11" s="1"/>
  <c r="A16" i="11"/>
  <c r="B16" i="11" s="1"/>
  <c r="A17" i="11"/>
  <c r="A29" i="11" s="1"/>
  <c r="A18" i="11"/>
  <c r="D18" i="11" s="1"/>
  <c r="H30" i="11" s="1"/>
  <c r="A19" i="11"/>
  <c r="E19" i="11" s="1"/>
  <c r="A12" i="11"/>
  <c r="H12" i="11" s="1"/>
  <c r="C5" i="11"/>
  <c r="C7" i="11"/>
  <c r="C6" i="11"/>
  <c r="B6" i="11"/>
  <c r="B15" i="27"/>
  <c r="H9" i="27"/>
  <c r="H8" i="27"/>
  <c r="D3" i="25"/>
  <c r="H15" i="11" l="1"/>
  <c r="C3" i="25"/>
  <c r="A43" i="11"/>
  <c r="A57" i="11"/>
  <c r="E15" i="11"/>
  <c r="C15" i="11"/>
  <c r="B27" i="11" s="1"/>
  <c r="D19" i="11"/>
  <c r="C31" i="11" s="1"/>
  <c r="C63" i="11" s="1"/>
  <c r="A47" i="11"/>
  <c r="E47" i="11" s="1"/>
  <c r="A61" i="11"/>
  <c r="B18" i="11"/>
  <c r="G18" i="11"/>
  <c r="F17" i="11"/>
  <c r="I29" i="11" s="1"/>
  <c r="H13" i="11"/>
  <c r="F18" i="11"/>
  <c r="I30" i="11" s="1"/>
  <c r="E17" i="11"/>
  <c r="E13" i="11"/>
  <c r="H19" i="11"/>
  <c r="C18" i="11"/>
  <c r="B30" i="11" s="1"/>
  <c r="B62" i="11" s="1"/>
  <c r="B17" i="11"/>
  <c r="D13" i="11"/>
  <c r="H25" i="11" s="1"/>
  <c r="B14" i="11"/>
  <c r="J43" i="11"/>
  <c r="E43" i="11"/>
  <c r="J47" i="11"/>
  <c r="E12" i="11"/>
  <c r="E16" i="11"/>
  <c r="D28" i="11" s="1"/>
  <c r="A24" i="11"/>
  <c r="A28" i="11"/>
  <c r="A46" i="11" s="1"/>
  <c r="C12" i="11"/>
  <c r="B24" i="11" s="1"/>
  <c r="B56" i="11" s="1"/>
  <c r="G12" i="11"/>
  <c r="F19" i="11"/>
  <c r="I31" i="11" s="1"/>
  <c r="B19" i="11"/>
  <c r="E18" i="11"/>
  <c r="H17" i="11"/>
  <c r="D17" i="11"/>
  <c r="H29" i="11" s="1"/>
  <c r="G16" i="11"/>
  <c r="F28" i="11" s="1"/>
  <c r="C16" i="11"/>
  <c r="B28" i="11" s="1"/>
  <c r="B60" i="11" s="1"/>
  <c r="F15" i="11"/>
  <c r="I27" i="11" s="1"/>
  <c r="B15" i="11"/>
  <c r="G13" i="11"/>
  <c r="C13" i="11"/>
  <c r="B25" i="11" s="1"/>
  <c r="B57" i="11" s="1"/>
  <c r="A30" i="11"/>
  <c r="A26" i="11"/>
  <c r="A44" i="11" s="1"/>
  <c r="B12" i="11"/>
  <c r="F12" i="11"/>
  <c r="I24" i="11" s="1"/>
  <c r="G19" i="11"/>
  <c r="C19" i="11"/>
  <c r="B31" i="11" s="1"/>
  <c r="B63" i="11" s="1"/>
  <c r="H16" i="11"/>
  <c r="D16" i="11"/>
  <c r="H28" i="11" s="1"/>
  <c r="G15" i="11"/>
  <c r="A31" i="11"/>
  <c r="A27" i="11"/>
  <c r="D12" i="11"/>
  <c r="H24" i="11" s="1"/>
  <c r="H18" i="11"/>
  <c r="G17" i="11"/>
  <c r="C17" i="11"/>
  <c r="B29" i="11" s="1"/>
  <c r="B61" i="11" s="1"/>
  <c r="F16" i="11"/>
  <c r="H14" i="11"/>
  <c r="F13" i="11"/>
  <c r="I25" i="11" s="1"/>
  <c r="B13" i="11"/>
  <c r="B49" i="11"/>
  <c r="H31" i="11" l="1"/>
  <c r="B59" i="11"/>
  <c r="D27" i="11"/>
  <c r="A49" i="11"/>
  <c r="E49" i="11" s="1"/>
  <c r="A63" i="11"/>
  <c r="A48" i="11"/>
  <c r="E48" i="11" s="1"/>
  <c r="A62" i="11"/>
  <c r="A45" i="11"/>
  <c r="E45" i="11" s="1"/>
  <c r="A59" i="11"/>
  <c r="A42" i="11"/>
  <c r="J42" i="11" s="1"/>
  <c r="A56" i="11"/>
  <c r="D58" i="11"/>
  <c r="F58" i="11"/>
  <c r="F24" i="11"/>
  <c r="F56" i="11" s="1"/>
  <c r="C29" i="11"/>
  <c r="C28" i="11"/>
  <c r="B46" i="11" s="1"/>
  <c r="J48" i="11"/>
  <c r="E42" i="11"/>
  <c r="F27" i="11"/>
  <c r="F59" i="11" s="1"/>
  <c r="I28" i="11"/>
  <c r="E28" i="11"/>
  <c r="C46" i="11" s="1"/>
  <c r="C25" i="11"/>
  <c r="D24" i="11"/>
  <c r="J44" i="11"/>
  <c r="E44" i="11"/>
  <c r="E46" i="11"/>
  <c r="J46" i="11"/>
  <c r="J45" i="11" l="1"/>
  <c r="J49" i="11"/>
  <c r="C57" i="11"/>
  <c r="C61" i="11"/>
  <c r="D56" i="11"/>
  <c r="D59" i="11"/>
  <c r="B47" i="11"/>
  <c r="B43" i="11"/>
  <c r="D46" i="11"/>
  <c r="L46" i="11" l="1"/>
  <c r="E45" i="10"/>
  <c r="B19" i="18"/>
  <c r="E44" i="10" s="1"/>
  <c r="A16" i="10" l="1"/>
  <c r="E16" i="10" s="1"/>
  <c r="A17" i="10"/>
  <c r="H17" i="10" s="1"/>
  <c r="A26" i="10" l="1"/>
  <c r="A25" i="10"/>
  <c r="C17" i="10"/>
  <c r="B26" i="10" s="1"/>
  <c r="B56" i="10" s="1"/>
  <c r="E17" i="10"/>
  <c r="G16" i="10"/>
  <c r="B16" i="10"/>
  <c r="D16" i="10"/>
  <c r="H25" i="10" s="1"/>
  <c r="F16" i="10"/>
  <c r="I25" i="10" s="1"/>
  <c r="G17" i="10"/>
  <c r="H16" i="10"/>
  <c r="C16" i="10"/>
  <c r="B25" i="10" s="1"/>
  <c r="B55" i="10" s="1"/>
  <c r="B17" i="10"/>
  <c r="D17" i="10"/>
  <c r="H26" i="10" s="1"/>
  <c r="F17" i="10"/>
  <c r="I26" i="10" s="1"/>
  <c r="B14" i="23"/>
  <c r="D14" i="23" s="1"/>
  <c r="B6" i="23"/>
  <c r="D6" i="23" s="1"/>
  <c r="A56" i="10" l="1"/>
  <c r="A42" i="10"/>
  <c r="A55" i="10"/>
  <c r="A41" i="10"/>
  <c r="A3" i="20"/>
  <c r="J45" i="10"/>
  <c r="J44" i="10"/>
  <c r="J42" i="10" l="1"/>
  <c r="E42" i="10"/>
  <c r="E41" i="10"/>
  <c r="J41" i="10"/>
  <c r="G45" i="10"/>
  <c r="A13" i="10" l="1"/>
  <c r="A14" i="10"/>
  <c r="A15" i="10"/>
  <c r="A12" i="10"/>
  <c r="B12" i="10" s="1"/>
  <c r="C5" i="10"/>
  <c r="C6" i="10"/>
  <c r="B6" i="10"/>
  <c r="D4" i="14"/>
  <c r="H14" i="10" l="1"/>
  <c r="G14" i="10"/>
  <c r="F14" i="10"/>
  <c r="I23" i="10" s="1"/>
  <c r="D14" i="10"/>
  <c r="C23" i="10" s="1"/>
  <c r="C27" i="10" s="1"/>
  <c r="B14" i="10"/>
  <c r="E14" i="10"/>
  <c r="C14" i="10"/>
  <c r="B23" i="10" s="1"/>
  <c r="B53" i="10" s="1"/>
  <c r="E15" i="10"/>
  <c r="C15" i="10"/>
  <c r="B24" i="10" s="1"/>
  <c r="B54" i="10" s="1"/>
  <c r="H15" i="10"/>
  <c r="G15" i="10"/>
  <c r="F15" i="10"/>
  <c r="D15" i="10"/>
  <c r="H24" i="10" s="1"/>
  <c r="B15" i="10"/>
  <c r="H13" i="10"/>
  <c r="B13" i="10"/>
  <c r="C13" i="10"/>
  <c r="B22" i="10" s="1"/>
  <c r="B52" i="10" s="1"/>
  <c r="H12" i="10"/>
  <c r="F12" i="10"/>
  <c r="I21" i="10" s="1"/>
  <c r="D12" i="10"/>
  <c r="H21" i="10" s="1"/>
  <c r="G12" i="10"/>
  <c r="E12" i="10"/>
  <c r="C12" i="10"/>
  <c r="B21" i="10" s="1"/>
  <c r="B51" i="10" s="1"/>
  <c r="A22" i="10"/>
  <c r="A38" i="10" s="1"/>
  <c r="A24" i="10"/>
  <c r="A23" i="10"/>
  <c r="A39" i="10" s="1"/>
  <c r="A21" i="10"/>
  <c r="C52" i="10" l="1"/>
  <c r="J38" i="10"/>
  <c r="E38" i="10"/>
  <c r="A40" i="10"/>
  <c r="A54" i="10"/>
  <c r="A37" i="10"/>
  <c r="A51" i="10"/>
  <c r="E39" i="10"/>
  <c r="J39" i="10"/>
  <c r="I24" i="10"/>
  <c r="H23" i="10"/>
  <c r="J40" i="10" l="1"/>
  <c r="E40" i="10"/>
  <c r="E37" i="10"/>
  <c r="J37" i="10"/>
  <c r="B39" i="10"/>
  <c r="AG10" i="20"/>
  <c r="AF10" i="20"/>
  <c r="AC10" i="20"/>
  <c r="AB10" i="20"/>
  <c r="Y10" i="20"/>
  <c r="X10" i="20"/>
  <c r="K3" i="20"/>
  <c r="D4" i="23"/>
  <c r="B13" i="23"/>
  <c r="D13" i="23" s="1"/>
  <c r="B12" i="23"/>
  <c r="D12" i="23" s="1"/>
  <c r="B11" i="23"/>
  <c r="D11" i="23" s="1"/>
  <c r="D15" i="23" s="1"/>
  <c r="B5" i="23"/>
  <c r="D5" i="23" s="1"/>
  <c r="B3" i="23"/>
  <c r="D3" i="23" s="1"/>
  <c r="D7" i="23" s="1"/>
  <c r="B19" i="23" s="1"/>
  <c r="C13" i="22"/>
  <c r="E13" i="22"/>
  <c r="H19" i="23" l="1"/>
  <c r="G19" i="23" s="1"/>
  <c r="F19" i="23"/>
  <c r="E19" i="23" s="1"/>
  <c r="A19" i="23"/>
  <c r="D19" i="23"/>
  <c r="C19" i="23" s="1"/>
  <c r="E43" i="10"/>
  <c r="C14" i="22"/>
  <c r="I3" i="20"/>
  <c r="G3" i="20"/>
  <c r="E3" i="20"/>
  <c r="C3" i="20"/>
  <c r="B13" i="22"/>
  <c r="D8" i="22"/>
  <c r="E16" i="22" s="1"/>
  <c r="C8" i="22"/>
  <c r="E8" i="22" s="1"/>
  <c r="E7" i="22"/>
  <c r="E6" i="22"/>
  <c r="E5" i="22"/>
  <c r="E4" i="22"/>
  <c r="E3" i="22"/>
  <c r="E2" i="22"/>
  <c r="C17" i="22" l="1"/>
  <c r="C16" i="22"/>
  <c r="E14" i="22"/>
  <c r="E19" i="22"/>
  <c r="D25" i="23"/>
  <c r="E3" i="24" s="1"/>
  <c r="E4" i="24" s="1"/>
  <c r="A25" i="23"/>
  <c r="B3" i="24" s="1"/>
  <c r="B4" i="24" s="1"/>
  <c r="C19" i="22"/>
  <c r="C25" i="23"/>
  <c r="D3" i="24" s="1"/>
  <c r="D4" i="24" s="1"/>
  <c r="C15" i="22"/>
  <c r="D13" i="22"/>
  <c r="D17" i="22" s="1"/>
  <c r="B25" i="23"/>
  <c r="C3" i="24" s="1"/>
  <c r="C4" i="24" s="1"/>
  <c r="E17" i="22"/>
  <c r="E15" i="22"/>
  <c r="E18" i="22"/>
  <c r="E8" i="24" s="1"/>
  <c r="C18" i="22"/>
  <c r="B18" i="22"/>
  <c r="B15" i="22"/>
  <c r="D15" i="22"/>
  <c r="B19" i="22"/>
  <c r="M3" i="20"/>
  <c r="B17" i="22"/>
  <c r="B14" i="22"/>
  <c r="B16" i="22"/>
  <c r="O3" i="20"/>
  <c r="P3" i="20"/>
  <c r="S7" i="20" s="1"/>
  <c r="N3" i="20"/>
  <c r="R7" i="20" s="1"/>
  <c r="C22" i="21"/>
  <c r="C21" i="21"/>
  <c r="C20" i="21"/>
  <c r="C19" i="21"/>
  <c r="C18" i="21"/>
  <c r="C17" i="21"/>
  <c r="C16" i="21"/>
  <c r="C15" i="21"/>
  <c r="B14" i="21"/>
  <c r="C14" i="21" s="1"/>
  <c r="B13" i="21"/>
  <c r="C13" i="21" s="1"/>
  <c r="C12" i="21"/>
  <c r="C11" i="21"/>
  <c r="C10" i="21"/>
  <c r="C9" i="21"/>
  <c r="C8" i="21"/>
  <c r="C7" i="21"/>
  <c r="C6" i="21"/>
  <c r="C5" i="21"/>
  <c r="C4" i="21"/>
  <c r="C8" i="24" l="1"/>
  <c r="C9" i="24" s="1"/>
  <c r="C14" i="24" s="1"/>
  <c r="E4" i="15" s="1"/>
  <c r="E14" i="11" s="1"/>
  <c r="B8" i="24"/>
  <c r="B9" i="24" s="1"/>
  <c r="D19" i="22"/>
  <c r="D18" i="22"/>
  <c r="D8" i="24" s="1"/>
  <c r="B14" i="24"/>
  <c r="D4" i="15" s="1"/>
  <c r="B2" i="11" s="1"/>
  <c r="D14" i="22"/>
  <c r="D16" i="22"/>
  <c r="D26" i="11"/>
  <c r="D60" i="11" s="1"/>
  <c r="D30" i="11"/>
  <c r="E13" i="24"/>
  <c r="G3" i="14" s="1"/>
  <c r="E9" i="24"/>
  <c r="E14" i="24" s="1"/>
  <c r="G4" i="15" s="1"/>
  <c r="G14" i="11" s="1"/>
  <c r="D14" i="11"/>
  <c r="C13" i="24"/>
  <c r="E3" i="14" s="1"/>
  <c r="S9" i="20"/>
  <c r="S8" i="20"/>
  <c r="R9" i="20"/>
  <c r="R8" i="20"/>
  <c r="J37" i="2"/>
  <c r="E37" i="2"/>
  <c r="G37" i="2" s="1"/>
  <c r="E23" i="2"/>
  <c r="C36" i="2" s="1"/>
  <c r="E22" i="2"/>
  <c r="C35" i="2" s="1"/>
  <c r="B15" i="2"/>
  <c r="A13" i="2"/>
  <c r="A14" i="2"/>
  <c r="E14" i="2" s="1"/>
  <c r="A15" i="2"/>
  <c r="D15" i="2" s="1"/>
  <c r="A12" i="2"/>
  <c r="B12" i="2" s="1"/>
  <c r="C6" i="2"/>
  <c r="B6" i="2"/>
  <c r="C7" i="2"/>
  <c r="I2" i="7"/>
  <c r="G2" i="7"/>
  <c r="B5" i="10" s="1"/>
  <c r="E2" i="7"/>
  <c r="B5" i="11" s="1"/>
  <c r="C2" i="7"/>
  <c r="A2" i="7"/>
  <c r="B5" i="2" s="1"/>
  <c r="C5" i="2"/>
  <c r="E15" i="2" l="1"/>
  <c r="G15" i="2"/>
  <c r="F12" i="2"/>
  <c r="C15" i="2"/>
  <c r="B23" i="2" s="1"/>
  <c r="G12" i="2"/>
  <c r="A23" i="2"/>
  <c r="A36" i="2" s="1"/>
  <c r="J36" i="2" s="1"/>
  <c r="F44" i="10"/>
  <c r="G44" i="10" s="1"/>
  <c r="F42" i="10"/>
  <c r="G42" i="10" s="1"/>
  <c r="F41" i="10"/>
  <c r="G41" i="10" s="1"/>
  <c r="F38" i="10"/>
  <c r="G38" i="10" s="1"/>
  <c r="F39" i="10"/>
  <c r="G39" i="10" s="1"/>
  <c r="F37" i="10"/>
  <c r="F40" i="10"/>
  <c r="G40" i="10" s="1"/>
  <c r="E13" i="10"/>
  <c r="D22" i="10" s="1"/>
  <c r="D53" i="10" s="1"/>
  <c r="H14" i="2"/>
  <c r="C37" i="2"/>
  <c r="F43" i="11"/>
  <c r="G43" i="11" s="1"/>
  <c r="F47" i="11"/>
  <c r="G47" i="11" s="1"/>
  <c r="F44" i="11"/>
  <c r="G44" i="11" s="1"/>
  <c r="F49" i="11"/>
  <c r="G49" i="11" s="1"/>
  <c r="F48" i="11"/>
  <c r="G48" i="11" s="1"/>
  <c r="F42" i="11"/>
  <c r="G42" i="11" s="1"/>
  <c r="F46" i="11"/>
  <c r="G46" i="11" s="1"/>
  <c r="K46" i="11" s="1"/>
  <c r="F45" i="11"/>
  <c r="G45" i="11" s="1"/>
  <c r="F26" i="11"/>
  <c r="F60" i="11" s="1"/>
  <c r="F30" i="11"/>
  <c r="B4" i="11"/>
  <c r="C12" i="2"/>
  <c r="F15" i="2"/>
  <c r="D14" i="2"/>
  <c r="D13" i="24"/>
  <c r="D9" i="24"/>
  <c r="D14" i="24" s="1"/>
  <c r="F4" i="15" s="1"/>
  <c r="C26" i="11"/>
  <c r="H26" i="11"/>
  <c r="C30" i="11"/>
  <c r="D62" i="11"/>
  <c r="A22" i="2"/>
  <c r="A35" i="2" s="1"/>
  <c r="E35" i="2" s="1"/>
  <c r="F35" i="2" s="1"/>
  <c r="G35" i="2" s="1"/>
  <c r="G13" i="10"/>
  <c r="F21" i="10" s="1"/>
  <c r="F51" i="10" s="1"/>
  <c r="D31" i="11"/>
  <c r="D63" i="11" s="1"/>
  <c r="D25" i="11"/>
  <c r="D29" i="11"/>
  <c r="C27" i="11"/>
  <c r="C58" i="11"/>
  <c r="C24" i="11"/>
  <c r="C60" i="11"/>
  <c r="E36" i="2"/>
  <c r="F36" i="2" s="1"/>
  <c r="G36" i="2" s="1"/>
  <c r="D12" i="2"/>
  <c r="H12" i="2"/>
  <c r="G14" i="2"/>
  <c r="F13" i="2"/>
  <c r="C14" i="2"/>
  <c r="B22" i="2" s="1"/>
  <c r="B14" i="2"/>
  <c r="E12" i="2"/>
  <c r="H15" i="2"/>
  <c r="F14" i="2"/>
  <c r="H13" i="2"/>
  <c r="B13" i="2"/>
  <c r="G13" i="2"/>
  <c r="F3" i="14"/>
  <c r="B13" i="24"/>
  <c r="B4" i="2"/>
  <c r="C22" i="2" l="1"/>
  <c r="H22" i="2" s="1"/>
  <c r="B44" i="11"/>
  <c r="C32" i="11"/>
  <c r="F22" i="10"/>
  <c r="F53" i="10" s="1"/>
  <c r="A36" i="11"/>
  <c r="C56" i="11"/>
  <c r="B42" i="11"/>
  <c r="D57" i="11"/>
  <c r="F25" i="11"/>
  <c r="D25" i="10"/>
  <c r="D55" i="10" s="1"/>
  <c r="D26" i="10"/>
  <c r="D56" i="10" s="1"/>
  <c r="D24" i="10"/>
  <c r="D54" i="10" s="1"/>
  <c r="F43" i="10"/>
  <c r="G37" i="10"/>
  <c r="G43" i="10" s="1"/>
  <c r="F29" i="11"/>
  <c r="D61" i="11"/>
  <c r="I46" i="11"/>
  <c r="H46" i="11"/>
  <c r="J35" i="2"/>
  <c r="F14" i="11"/>
  <c r="B3" i="11"/>
  <c r="D21" i="10"/>
  <c r="D51" i="10" s="1"/>
  <c r="F62" i="11"/>
  <c r="F13" i="10"/>
  <c r="I22" i="10" s="1"/>
  <c r="B45" i="11"/>
  <c r="C59" i="11"/>
  <c r="B4" i="10"/>
  <c r="F24" i="10"/>
  <c r="F54" i="10" s="1"/>
  <c r="F26" i="10"/>
  <c r="F56" i="10" s="1"/>
  <c r="F25" i="10"/>
  <c r="F55" i="10" s="1"/>
  <c r="B48" i="11"/>
  <c r="C62" i="11"/>
  <c r="F31" i="11"/>
  <c r="B35" i="2"/>
  <c r="D3" i="14"/>
  <c r="D13" i="10" s="1"/>
  <c r="C22" i="10" s="1"/>
  <c r="B3" i="10"/>
  <c r="E53" i="10" s="1"/>
  <c r="G53" i="10" s="1"/>
  <c r="C3" i="3"/>
  <c r="C13" i="2" s="1"/>
  <c r="E22" i="10" l="1"/>
  <c r="C38" i="10" s="1"/>
  <c r="B50" i="11"/>
  <c r="F61" i="11"/>
  <c r="E29" i="11"/>
  <c r="F57" i="11"/>
  <c r="E25" i="11"/>
  <c r="E58" i="11"/>
  <c r="G58" i="11" s="1"/>
  <c r="H58" i="11" s="1"/>
  <c r="E27" i="11"/>
  <c r="E24" i="11"/>
  <c r="E30" i="11"/>
  <c r="B2" i="10"/>
  <c r="D52" i="10" s="1"/>
  <c r="F52" i="10" s="1"/>
  <c r="E52" i="10" s="1"/>
  <c r="G52" i="10" s="1"/>
  <c r="H52" i="10" s="1"/>
  <c r="F63" i="11"/>
  <c r="E31" i="11"/>
  <c r="E26" i="11"/>
  <c r="I26" i="11"/>
  <c r="E60" i="11"/>
  <c r="G60" i="11" s="1"/>
  <c r="H60" i="11" s="1"/>
  <c r="D35" i="2"/>
  <c r="E21" i="10"/>
  <c r="E25" i="10"/>
  <c r="E26" i="10"/>
  <c r="E24" i="10"/>
  <c r="B38" i="10"/>
  <c r="C44" i="11" l="1"/>
  <c r="D44" i="11" s="1"/>
  <c r="L44" i="11" s="1"/>
  <c r="E32" i="11"/>
  <c r="D38" i="10"/>
  <c r="L38" i="10" s="1"/>
  <c r="C21" i="10"/>
  <c r="C51" i="10" s="1"/>
  <c r="D23" i="10"/>
  <c r="F23" i="10" s="1"/>
  <c r="E23" i="10" s="1"/>
  <c r="C26" i="10"/>
  <c r="C56" i="10" s="1"/>
  <c r="K44" i="11"/>
  <c r="I44" i="11" s="1"/>
  <c r="E62" i="11"/>
  <c r="G62" i="11" s="1"/>
  <c r="H62" i="11" s="1"/>
  <c r="C48" i="11"/>
  <c r="D48" i="11" s="1"/>
  <c r="C43" i="11"/>
  <c r="D43" i="11" s="1"/>
  <c r="E57" i="11"/>
  <c r="G57" i="11" s="1"/>
  <c r="H57" i="11" s="1"/>
  <c r="C25" i="10"/>
  <c r="C55" i="10" s="1"/>
  <c r="C53" i="10"/>
  <c r="H53" i="10" s="1"/>
  <c r="C49" i="11"/>
  <c r="D49" i="11" s="1"/>
  <c r="E63" i="11"/>
  <c r="G63" i="11" s="1"/>
  <c r="H63" i="11" s="1"/>
  <c r="E56" i="11"/>
  <c r="G56" i="11" s="1"/>
  <c r="H56" i="11" s="1"/>
  <c r="C42" i="11"/>
  <c r="B36" i="11"/>
  <c r="C36" i="11"/>
  <c r="E3" i="3"/>
  <c r="E13" i="2" s="1"/>
  <c r="D23" i="2" s="1"/>
  <c r="C24" i="10"/>
  <c r="C45" i="11"/>
  <c r="D45" i="11" s="1"/>
  <c r="E59" i="11"/>
  <c r="G59" i="11" s="1"/>
  <c r="H59" i="11" s="1"/>
  <c r="C47" i="11"/>
  <c r="D47" i="11" s="1"/>
  <c r="E61" i="11"/>
  <c r="G61" i="11" s="1"/>
  <c r="H61" i="11" s="1"/>
  <c r="D3" i="3"/>
  <c r="E51" i="10"/>
  <c r="G51" i="10" s="1"/>
  <c r="B41" i="10"/>
  <c r="C40" i="10"/>
  <c r="E54" i="10"/>
  <c r="G54" i="10" s="1"/>
  <c r="B40" i="10"/>
  <c r="C54" i="10"/>
  <c r="C42" i="10"/>
  <c r="E56" i="10"/>
  <c r="G56" i="10" s="1"/>
  <c r="C41" i="10"/>
  <c r="E55" i="10"/>
  <c r="G55" i="10" s="1"/>
  <c r="B42" i="10"/>
  <c r="K35" i="2"/>
  <c r="C37" i="10"/>
  <c r="H22" i="10"/>
  <c r="K38" i="10" l="1"/>
  <c r="I38" i="10" s="1"/>
  <c r="B37" i="10"/>
  <c r="A31" i="10"/>
  <c r="H64" i="11"/>
  <c r="H44" i="11"/>
  <c r="C39" i="10"/>
  <c r="E27" i="10"/>
  <c r="D41" i="10"/>
  <c r="L41" i="10" s="1"/>
  <c r="H56" i="10"/>
  <c r="L48" i="11"/>
  <c r="K48" i="11"/>
  <c r="I48" i="11" s="1"/>
  <c r="D40" i="10"/>
  <c r="K40" i="10" s="1"/>
  <c r="I40" i="10" s="1"/>
  <c r="B2" i="2"/>
  <c r="D22" i="2" s="1"/>
  <c r="D13" i="2"/>
  <c r="L45" i="11"/>
  <c r="K45" i="11"/>
  <c r="I45" i="11" s="1"/>
  <c r="K49" i="11"/>
  <c r="I49" i="11" s="1"/>
  <c r="L49" i="11"/>
  <c r="K47" i="11"/>
  <c r="I47" i="11" s="1"/>
  <c r="L47" i="11"/>
  <c r="H51" i="10"/>
  <c r="H54" i="10"/>
  <c r="D42" i="11"/>
  <c r="C50" i="11"/>
  <c r="K43" i="11"/>
  <c r="I43" i="11" s="1"/>
  <c r="L43" i="11"/>
  <c r="B45" i="10"/>
  <c r="D42" i="10"/>
  <c r="L42" i="10" s="1"/>
  <c r="H55" i="10"/>
  <c r="H35" i="2"/>
  <c r="I35" i="2"/>
  <c r="L40" i="10"/>
  <c r="B31" i="10"/>
  <c r="C44" i="10"/>
  <c r="C43" i="10"/>
  <c r="C45" i="10"/>
  <c r="B43" i="10"/>
  <c r="B44" i="10"/>
  <c r="C31" i="10"/>
  <c r="H38" i="10"/>
  <c r="D39" i="10"/>
  <c r="L39" i="10" s="1"/>
  <c r="D37" i="10"/>
  <c r="L37" i="10" s="1"/>
  <c r="K41" i="10" l="1"/>
  <c r="I41" i="10" s="1"/>
  <c r="H48" i="11"/>
  <c r="H47" i="11"/>
  <c r="H43" i="11"/>
  <c r="H45" i="11"/>
  <c r="K42" i="10"/>
  <c r="I42" i="10" s="1"/>
  <c r="H57" i="10"/>
  <c r="D50" i="11"/>
  <c r="L42" i="11"/>
  <c r="K42" i="11"/>
  <c r="I42" i="11" s="1"/>
  <c r="H49" i="11"/>
  <c r="C23" i="2"/>
  <c r="H40" i="10"/>
  <c r="H42" i="10"/>
  <c r="D45" i="10"/>
  <c r="D44" i="10"/>
  <c r="D43" i="10"/>
  <c r="H41" i="10"/>
  <c r="K39" i="10"/>
  <c r="I39" i="10" s="1"/>
  <c r="K37" i="10"/>
  <c r="H42" i="11" l="1"/>
  <c r="H23" i="2"/>
  <c r="A29" i="2" s="1"/>
  <c r="B36" i="2"/>
  <c r="L50" i="11"/>
  <c r="K50" i="11"/>
  <c r="K43" i="10"/>
  <c r="I43" i="10" s="1"/>
  <c r="L43" i="10"/>
  <c r="K44" i="10"/>
  <c r="I44" i="10" s="1"/>
  <c r="I37" i="10"/>
  <c r="H37" i="10"/>
  <c r="K45" i="10"/>
  <c r="I45" i="10" s="1"/>
  <c r="H39" i="10"/>
  <c r="D36" i="2" l="1"/>
  <c r="B37" i="2"/>
  <c r="H50" i="11"/>
  <c r="I50" i="11"/>
  <c r="H43" i="10"/>
  <c r="H45" i="10"/>
  <c r="H44" i="10"/>
  <c r="K36" i="2" l="1"/>
  <c r="I36" i="2" s="1"/>
  <c r="D37" i="2"/>
  <c r="H36" i="2" l="1"/>
  <c r="K37" i="2"/>
  <c r="I37" i="2" s="1"/>
  <c r="K64" i="11"/>
  <c r="K57" i="10"/>
  <c r="H37" i="2" l="1"/>
</calcChain>
</file>

<file path=xl/sharedStrings.xml><?xml version="1.0" encoding="utf-8"?>
<sst xmlns="http://schemas.openxmlformats.org/spreadsheetml/2006/main" count="805" uniqueCount="240">
  <si>
    <t>Source</t>
  </si>
  <si>
    <t>Country</t>
  </si>
  <si>
    <t>Year</t>
  </si>
  <si>
    <t>Spain (Basque country)</t>
  </si>
  <si>
    <t>2012-2013</t>
  </si>
  <si>
    <t>Number of anglers</t>
  </si>
  <si>
    <t>Kept-wt</t>
  </si>
  <si>
    <t>Kept-No.</t>
  </si>
  <si>
    <t>Rel-Wt</t>
  </si>
  <si>
    <t>Rel-No.</t>
  </si>
  <si>
    <t>Effort (h)</t>
  </si>
  <si>
    <t>Catch (n)</t>
  </si>
  <si>
    <t>Catch (g)</t>
  </si>
  <si>
    <t>Raised catch (n)</t>
  </si>
  <si>
    <t>Raised catch (t)</t>
  </si>
  <si>
    <t>CPUE (n)</t>
  </si>
  <si>
    <t>CPUE (g)</t>
  </si>
  <si>
    <t>Portugal</t>
  </si>
  <si>
    <t>Portugal (North)</t>
  </si>
  <si>
    <t>Spain</t>
  </si>
  <si>
    <t>NA</t>
  </si>
  <si>
    <t>Total effort</t>
  </si>
  <si>
    <t>Species</t>
  </si>
  <si>
    <t>Mackerel</t>
  </si>
  <si>
    <t>Raised total bass catch (in paper) (g)</t>
  </si>
  <si>
    <t>Spotted + european bass (test)</t>
  </si>
  <si>
    <t>Parameters</t>
  </si>
  <si>
    <t>Average Retained weight</t>
  </si>
  <si>
    <t>Average released Weight</t>
  </si>
  <si>
    <t>Average Release Probability (#)</t>
  </si>
  <si>
    <t>Recreational Discard Mortality</t>
  </si>
  <si>
    <t>Commercial Discard Mortality</t>
  </si>
  <si>
    <t>Value</t>
  </si>
  <si>
    <t>Landings</t>
  </si>
  <si>
    <t>Total</t>
  </si>
  <si>
    <t>Discards</t>
  </si>
  <si>
    <t>Commercial discard / landing</t>
  </si>
  <si>
    <t>8c9a</t>
  </si>
  <si>
    <t>1, 2, 5 &amp; 14</t>
  </si>
  <si>
    <t>3 &amp; 4</t>
  </si>
  <si>
    <t>7, 8a-e</t>
  </si>
  <si>
    <t>Recreational</t>
  </si>
  <si>
    <t>Commercial</t>
  </si>
  <si>
    <t>Init data</t>
  </si>
  <si>
    <t>Angler Numbers</t>
  </si>
  <si>
    <t>Retained weight</t>
  </si>
  <si>
    <t>Retained Number</t>
  </si>
  <si>
    <t>Released weight</t>
  </si>
  <si>
    <t>Released Number</t>
  </si>
  <si>
    <t>Source/notes</t>
  </si>
  <si>
    <t>Reconstruction</t>
  </si>
  <si>
    <t>Calculations</t>
  </si>
  <si>
    <t>Angler numbers</t>
  </si>
  <si>
    <t>Notes</t>
  </si>
  <si>
    <t>Reconstructed retained?</t>
  </si>
  <si>
    <t>Reconstructed released?</t>
  </si>
  <si>
    <t>Retained Wt</t>
  </si>
  <si>
    <t>Retained # calculation</t>
  </si>
  <si>
    <t>Released # calculation</t>
  </si>
  <si>
    <t>BASQUE</t>
  </si>
  <si>
    <t>Port (N)</t>
  </si>
  <si>
    <t>Avg</t>
  </si>
  <si>
    <t>No release data</t>
  </si>
  <si>
    <t>% of total weight reconstructed</t>
  </si>
  <si>
    <t>Released Weight</t>
  </si>
  <si>
    <t>Total weight</t>
  </si>
  <si>
    <t>Summary with post release mortalities</t>
  </si>
  <si>
    <t>% of catch</t>
  </si>
  <si>
    <t>Kept</t>
  </si>
  <si>
    <t>Released mortality</t>
  </si>
  <si>
    <t>Removal</t>
  </si>
  <si>
    <t>Discard mortality</t>
  </si>
  <si>
    <t>Total removal</t>
  </si>
  <si>
    <t xml:space="preserve">Total </t>
  </si>
  <si>
    <t>2012 landings</t>
  </si>
  <si>
    <t>None</t>
  </si>
  <si>
    <t>Scotland</t>
  </si>
  <si>
    <t>Northern Ireland</t>
  </si>
  <si>
    <t>England</t>
  </si>
  <si>
    <t>Ireland</t>
  </si>
  <si>
    <t>Channel Islands</t>
  </si>
  <si>
    <t>France</t>
  </si>
  <si>
    <t>Norway</t>
  </si>
  <si>
    <t>Sweden</t>
  </si>
  <si>
    <t>Denmark</t>
  </si>
  <si>
    <t>Germany</t>
  </si>
  <si>
    <t>Netherlands</t>
  </si>
  <si>
    <t>Belgium</t>
  </si>
  <si>
    <t>Russia</t>
  </si>
  <si>
    <t>Greenland</t>
  </si>
  <si>
    <t>Iceland</t>
  </si>
  <si>
    <t>2009-2011</t>
  </si>
  <si>
    <t>Participation rate</t>
  </si>
  <si>
    <t>Pop source</t>
  </si>
  <si>
    <t>Area</t>
  </si>
  <si>
    <t>Population 2015</t>
  </si>
  <si>
    <t>No. of fishers</t>
  </si>
  <si>
    <t>Region</t>
  </si>
  <si>
    <t>Île-de-France</t>
  </si>
  <si>
    <t>Inland</t>
  </si>
  <si>
    <t>Auvergne-Rhône-Alpes</t>
  </si>
  <si>
    <t>Hauts-de-France</t>
  </si>
  <si>
    <t>Channel</t>
  </si>
  <si>
    <t>Nouvelle-Aquitaine</t>
  </si>
  <si>
    <t>Biscay</t>
  </si>
  <si>
    <t>Occitanie</t>
  </si>
  <si>
    <t>Med</t>
  </si>
  <si>
    <t>Grand Est</t>
  </si>
  <si>
    <t>Provence-Alpes-Côte d'Azur</t>
  </si>
  <si>
    <t>Pays de la Loire</t>
  </si>
  <si>
    <t>Normandy</t>
  </si>
  <si>
    <t>Brittany (Chan)</t>
  </si>
  <si>
    <t>Brittany (Bisc)</t>
  </si>
  <si>
    <t>Bourgogne-Franche-Comté</t>
  </si>
  <si>
    <t>Centre-Val de Loire</t>
  </si>
  <si>
    <t>Réunion</t>
  </si>
  <si>
    <t>Guadeloupe</t>
  </si>
  <si>
    <t>Martinique</t>
  </si>
  <si>
    <t>Corsica</t>
  </si>
  <si>
    <t>French Guiana</t>
  </si>
  <si>
    <t>Mayotte</t>
  </si>
  <si>
    <t>Row Labels</t>
  </si>
  <si>
    <t>Sum of No. of fishers</t>
  </si>
  <si>
    <t>Grand Total</t>
  </si>
  <si>
    <t>Retained</t>
  </si>
  <si>
    <t>Released</t>
  </si>
  <si>
    <t>Charter</t>
  </si>
  <si>
    <t>Shore</t>
  </si>
  <si>
    <t>Private</t>
  </si>
  <si>
    <t>Proportion</t>
  </si>
  <si>
    <t>ICES area</t>
  </si>
  <si>
    <t>Init No. of boats</t>
  </si>
  <si>
    <t>Proportion represented</t>
  </si>
  <si>
    <t>Central North Sea</t>
  </si>
  <si>
    <t>27.4.b</t>
  </si>
  <si>
    <t>Southern North Sea</t>
  </si>
  <si>
    <t>27.4.c</t>
  </si>
  <si>
    <t>Irish Sea</t>
  </si>
  <si>
    <t>27.7.a</t>
  </si>
  <si>
    <t>Eastern channel</t>
  </si>
  <si>
    <t>27.7.d</t>
  </si>
  <si>
    <t>Western Channel</t>
  </si>
  <si>
    <t>27.7.e</t>
  </si>
  <si>
    <t>Celtic Sea</t>
  </si>
  <si>
    <t>27.7.f</t>
  </si>
  <si>
    <t>Released (wt)</t>
  </si>
  <si>
    <t>Ret wt</t>
  </si>
  <si>
    <t>Ret #</t>
  </si>
  <si>
    <t>Rel Wt</t>
  </si>
  <si>
    <t>Rel #</t>
  </si>
  <si>
    <t>Average weights</t>
  </si>
  <si>
    <t>IFCA Region</t>
  </si>
  <si>
    <t>NW</t>
  </si>
  <si>
    <t>CO</t>
  </si>
  <si>
    <t>DS</t>
  </si>
  <si>
    <t>Effort</t>
  </si>
  <si>
    <t>CPUE</t>
  </si>
  <si>
    <t>Boat</t>
  </si>
  <si>
    <t>Catch (#)</t>
  </si>
  <si>
    <t>Rel wt</t>
  </si>
  <si>
    <t>Ret prop</t>
  </si>
  <si>
    <t>Rel prop</t>
  </si>
  <si>
    <t>Total 6 &amp; 7</t>
  </si>
  <si>
    <t>Private + shore</t>
  </si>
  <si>
    <t>Total anglers</t>
  </si>
  <si>
    <t>Anglers</t>
  </si>
  <si>
    <t>BoB + Channel</t>
  </si>
  <si>
    <t>Prop</t>
  </si>
  <si>
    <t>EN</t>
  </si>
  <si>
    <t>Faroe Islands</t>
  </si>
  <si>
    <t>Great Britain</t>
  </si>
  <si>
    <t>Isle of Man</t>
  </si>
  <si>
    <t>Jersey</t>
  </si>
  <si>
    <t>Total catch stats</t>
  </si>
  <si>
    <t>Total ICES</t>
  </si>
  <si>
    <t>7,8a,b,d,e</t>
  </si>
  <si>
    <t>Wales</t>
  </si>
  <si>
    <t>SU</t>
  </si>
  <si>
    <t>Subarea</t>
  </si>
  <si>
    <t>Norway (tourism)</t>
  </si>
  <si>
    <t>2010-2011</t>
  </si>
  <si>
    <t>Sweden (Whole)</t>
  </si>
  <si>
    <t>Norrlandskusten</t>
  </si>
  <si>
    <t>S.Ostkusten, Öland o Gotland</t>
  </si>
  <si>
    <t>Sydkusten</t>
  </si>
  <si>
    <t>Sea area</t>
  </si>
  <si>
    <t>Baltic</t>
  </si>
  <si>
    <t>Västkusten</t>
  </si>
  <si>
    <t>3a</t>
  </si>
  <si>
    <t>S.Götalands inland</t>
  </si>
  <si>
    <t>Götaland o Svealands slättbyggd</t>
  </si>
  <si>
    <t>N.Götaland o Svealands inland</t>
  </si>
  <si>
    <t>Norrlands inland</t>
  </si>
  <si>
    <t>Sum of Anglers</t>
  </si>
  <si>
    <t>Lithuania</t>
  </si>
  <si>
    <t>Poland</t>
  </si>
  <si>
    <t>Seems extremely low</t>
  </si>
  <si>
    <t>NL</t>
  </si>
  <si>
    <t>Norway (Tourism)</t>
  </si>
  <si>
    <t>SE</t>
  </si>
  <si>
    <t>No recreational data</t>
  </si>
  <si>
    <t>Bias</t>
  </si>
  <si>
    <t>Bias estimation</t>
  </si>
  <si>
    <t>Tourism removed</t>
  </si>
  <si>
    <t>Total commercial discards</t>
  </si>
  <si>
    <t>Ices assessment</t>
  </si>
  <si>
    <t>Total commercial landings</t>
  </si>
  <si>
    <t xml:space="preserve"> </t>
  </si>
  <si>
    <t>Leave-one-out (* = countries used in leave-one-out procedure)</t>
  </si>
  <si>
    <t>Dead releases</t>
  </si>
  <si>
    <t>England*</t>
  </si>
  <si>
    <t>France*</t>
  </si>
  <si>
    <t>Upper confidence limit</t>
  </si>
  <si>
    <t>Lower confidence limit</t>
  </si>
  <si>
    <t>Result</t>
  </si>
  <si>
    <t>Netherlands*</t>
  </si>
  <si>
    <t>Total (LOO)</t>
  </si>
  <si>
    <t>Released (#)</t>
  </si>
  <si>
    <t>No. of boats in population</t>
  </si>
  <si>
    <t>Kept (wt)</t>
  </si>
  <si>
    <t>Kept (#)</t>
  </si>
  <si>
    <t>Island</t>
  </si>
  <si>
    <t>Colony</t>
  </si>
  <si>
    <t>Zeilenbeschriftungen</t>
  </si>
  <si>
    <t>Gesamtergebnis</t>
  </si>
  <si>
    <t>Precautionary value due to lack of data</t>
  </si>
  <si>
    <t>Hyder et al. 2018</t>
  </si>
  <si>
    <t>Rangel &amp; Erzini (2007) (Study of Northern Portugal only)</t>
  </si>
  <si>
    <t>Armstrong (2013)</t>
  </si>
  <si>
    <t>Herfaut et al. (2013)</t>
  </si>
  <si>
    <t>2014 Population from World Bank (World Bank, 2017) * UK participation rate (Hyder et al. 2018)</t>
  </si>
  <si>
    <t>Carlstrand (2015)</t>
  </si>
  <si>
    <t>Vølstad et al. (2011)</t>
  </si>
  <si>
    <t>WGWIDE (2017)</t>
  </si>
  <si>
    <t>MMO (2012)</t>
  </si>
  <si>
    <t>Zarauz et al. (2013) (Basque country represents 35% of licences in area VIIIa.)</t>
  </si>
  <si>
    <t>van der Hammen &amp; de Graaf (2013, 2015, 2016)</t>
  </si>
  <si>
    <t>Insee (2017)</t>
  </si>
  <si>
    <t>Karlsson (2016)</t>
  </si>
  <si>
    <t>ICES (2017)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</si>
</sst>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7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6" fillId="5" borderId="0" applyNumberFormat="0" applyBorder="0" applyAlignment="0" applyProtection="0"/>
  </cellStyleXfs>
  <cellXfs count="57">
    <xf numFmtId="0" fontId="0" fillId="0" borderId="0" xfId="0"/>
    <xf numFmtId="164" fontId="0" fillId="0" borderId="0" xfId="1" applyNumberFormat="1" applyFont="1"/>
    <xf numFmtId="164" fontId="0" fillId="0" borderId="0" xfId="0" applyNumberFormat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1" applyNumberFormat="1" applyFont="1"/>
    <xf numFmtId="0" fontId="0" fillId="0" borderId="0" xfId="0" applyAlignment="1"/>
    <xf numFmtId="10" fontId="0" fillId="0" borderId="0" xfId="0" applyNumberFormat="1"/>
    <xf numFmtId="0" fontId="3" fillId="0" borderId="0" xfId="0" applyFont="1"/>
    <xf numFmtId="0" fontId="3" fillId="3" borderId="0" xfId="0" applyFont="1" applyFill="1"/>
    <xf numFmtId="0" fontId="2" fillId="2" borderId="1" xfId="2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  <xf numFmtId="0" fontId="3" fillId="4" borderId="0" xfId="0" applyFont="1" applyFill="1"/>
    <xf numFmtId="0" fontId="0" fillId="4" borderId="0" xfId="0" applyFill="1"/>
    <xf numFmtId="10" fontId="3" fillId="4" borderId="0" xfId="0" applyNumberFormat="1" applyFont="1" applyFill="1"/>
    <xf numFmtId="4" fontId="0" fillId="0" borderId="0" xfId="0" applyNumberFormat="1"/>
    <xf numFmtId="4" fontId="3" fillId="3" borderId="0" xfId="0" applyNumberFormat="1" applyFont="1" applyFill="1"/>
    <xf numFmtId="3" fontId="3" fillId="3" borderId="0" xfId="0" applyNumberFormat="1" applyFont="1" applyFill="1"/>
    <xf numFmtId="165" fontId="0" fillId="0" borderId="0" xfId="0" applyNumberFormat="1"/>
    <xf numFmtId="2" fontId="0" fillId="0" borderId="0" xfId="0" applyNumberFormat="1"/>
    <xf numFmtId="2" fontId="0" fillId="0" borderId="0" xfId="0" applyNumberFormat="1" applyBorder="1"/>
    <xf numFmtId="10" fontId="2" fillId="2" borderId="1" xfId="2" applyNumberFormat="1"/>
    <xf numFmtId="3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3" borderId="0" xfId="0" applyFill="1"/>
    <xf numFmtId="3" fontId="0" fillId="3" borderId="0" xfId="0" applyNumberFormat="1" applyFill="1"/>
    <xf numFmtId="0" fontId="0" fillId="6" borderId="0" xfId="0" applyFill="1"/>
    <xf numFmtId="0" fontId="7" fillId="0" borderId="0" xfId="0" applyFont="1"/>
    <xf numFmtId="3" fontId="7" fillId="0" borderId="0" xfId="0" applyNumberFormat="1" applyFont="1"/>
    <xf numFmtId="2" fontId="7" fillId="0" borderId="0" xfId="0" applyNumberFormat="1" applyFont="1"/>
    <xf numFmtId="10" fontId="7" fillId="0" borderId="0" xfId="0" applyNumberFormat="1" applyFont="1"/>
    <xf numFmtId="0" fontId="8" fillId="3" borderId="0" xfId="0" applyFont="1" applyFill="1"/>
    <xf numFmtId="10" fontId="8" fillId="3" borderId="0" xfId="0" applyNumberFormat="1" applyFont="1" applyFill="1"/>
    <xf numFmtId="0" fontId="9" fillId="5" borderId="0" xfId="3" applyFont="1"/>
    <xf numFmtId="10" fontId="9" fillId="5" borderId="0" xfId="3" applyNumberFormat="1" applyFont="1"/>
    <xf numFmtId="10" fontId="10" fillId="5" borderId="0" xfId="3" applyNumberFormat="1" applyFont="1"/>
    <xf numFmtId="0" fontId="11" fillId="2" borderId="1" xfId="2" applyFont="1"/>
    <xf numFmtId="10" fontId="11" fillId="2" borderId="1" xfId="2" applyNumberFormat="1" applyFont="1"/>
    <xf numFmtId="0" fontId="4" fillId="0" borderId="0" xfId="0" applyFont="1" applyFill="1"/>
    <xf numFmtId="0" fontId="6" fillId="5" borderId="1" xfId="3" applyBorder="1"/>
    <xf numFmtId="10" fontId="6" fillId="5" borderId="1" xfId="3" applyNumberFormat="1" applyBorder="1"/>
    <xf numFmtId="0" fontId="0" fillId="0" borderId="0" xfId="0" applyFont="1"/>
    <xf numFmtId="0" fontId="1" fillId="0" borderId="0" xfId="0" applyFont="1"/>
    <xf numFmtId="2" fontId="0" fillId="0" borderId="0" xfId="0" applyNumberFormat="1" applyFont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6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4">
    <cellStyle name="Calculation" xfId="2" builtinId="22"/>
    <cellStyle name="Comma" xfId="1" builtinId="3"/>
    <cellStyle name="Good" xfId="3" builtinId="26"/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2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1</xdr:row>
      <xdr:rowOff>133350</xdr:rowOff>
    </xdr:from>
    <xdr:to>
      <xdr:col>13</xdr:col>
      <xdr:colOff>256694</xdr:colOff>
      <xdr:row>21</xdr:row>
      <xdr:rowOff>75731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5AAB8C-47EB-40B9-B5F9-6299B3926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15150" y="323850"/>
          <a:ext cx="3847619" cy="375238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achary Radford (Cefas)" refreshedDate="42849.450132291669" createdVersion="6" refreshedVersion="6" minRefreshableVersion="3" recordCount="8" xr:uid="{00000000-000A-0000-FFFF-FFFF00000000}">
  <cacheSource type="worksheet">
    <worksheetSource ref="A6:C14" sheet="Sweden landings"/>
  </cacheSource>
  <cacheFields count="3">
    <cacheField name="Region" numFmtId="0">
      <sharedItems/>
    </cacheField>
    <cacheField name="Anglers" numFmtId="3">
      <sharedItems containsSemiMixedTypes="0" containsString="0" containsNumber="1" containsInteger="1" minValue="78717" maxValue="456045"/>
    </cacheField>
    <cacheField name="Sea area" numFmtId="0">
      <sharedItems count="2">
        <s v="Baltic"/>
        <s v="3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Weltersbach" refreshedDate="43214.458784374998" createdVersion="4" refreshedVersion="4" minRefreshableVersion="3" recordCount="19" xr:uid="{00000000-000A-0000-FFFF-FFFF01000000}">
  <cacheSource type="worksheet">
    <worksheetSource ref="C3:D22" sheet="France angler population"/>
  </cacheSource>
  <cacheFields count="2">
    <cacheField name="No. of fishers" numFmtId="0">
      <sharedItems containsSemiMixedTypes="0" containsString="0" containsNumber="1" containsInteger="1" minValue="4674" maxValue="248723"/>
    </cacheField>
    <cacheField name="Region" numFmtId="0">
      <sharedItems count="6">
        <s v="Inland"/>
        <s v="Channel"/>
        <s v="Biscay"/>
        <s v="Med"/>
        <s v="Island"/>
        <s v="Colon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s v="Norrlandskusten"/>
    <n v="179188"/>
    <x v="0"/>
  </r>
  <r>
    <s v="S.Ostkusten, Öland o Gotland"/>
    <n v="347230"/>
    <x v="0"/>
  </r>
  <r>
    <s v="Sydkusten"/>
    <n v="78717"/>
    <x v="0"/>
  </r>
  <r>
    <s v="Västkusten"/>
    <n v="167208"/>
    <x v="1"/>
  </r>
  <r>
    <s v="S.Götalands inland"/>
    <n v="147194"/>
    <x v="1"/>
  </r>
  <r>
    <s v="Götaland o Svealands slättbyggd"/>
    <n v="456045"/>
    <x v="1"/>
  </r>
  <r>
    <s v="N.Götaland o Svealands inland"/>
    <n v="97612"/>
    <x v="1"/>
  </r>
  <r>
    <s v="Norrlands inland"/>
    <n v="10076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">
  <r>
    <n v="248723"/>
    <x v="0"/>
  </r>
  <r>
    <n v="162216"/>
    <x v="0"/>
  </r>
  <r>
    <n v="123741"/>
    <x v="1"/>
  </r>
  <r>
    <n v="121640"/>
    <x v="2"/>
  </r>
  <r>
    <n v="119312"/>
    <x v="3"/>
  </r>
  <r>
    <n v="114544"/>
    <x v="0"/>
  </r>
  <r>
    <n v="102782"/>
    <x v="3"/>
  </r>
  <r>
    <n v="76551"/>
    <x v="2"/>
  </r>
  <r>
    <n v="68694"/>
    <x v="1"/>
  </r>
  <r>
    <n v="33931"/>
    <x v="1"/>
  </r>
  <r>
    <n v="33931"/>
    <x v="2"/>
  </r>
  <r>
    <n v="58113"/>
    <x v="0"/>
  </r>
  <r>
    <n v="53197"/>
    <x v="0"/>
  </r>
  <r>
    <n v="17377"/>
    <x v="4"/>
  </r>
  <r>
    <n v="8243"/>
    <x v="4"/>
  </r>
  <r>
    <n v="7792"/>
    <x v="4"/>
  </r>
  <r>
    <n v="6734"/>
    <x v="3"/>
  </r>
  <r>
    <n v="5244"/>
    <x v="5"/>
  </r>
  <r>
    <n v="4674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700-000000000000}" name="PivotTable5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6" indent="0" outline="1" outlineData="1" multipleFieldFilters="0">
  <location ref="A26:B33" firstHeaderRow="1" firstDataRow="1" firstDataCol="1"/>
  <pivotFields count="2">
    <pivotField dataField="1" subtotalTop="0" showAll="0"/>
    <pivotField axis="axisRow" subtotalTop="0" showAll="0">
      <items count="7">
        <item x="2"/>
        <item x="1"/>
        <item x="0"/>
        <item x="3"/>
        <item x="4"/>
        <item x="5"/>
        <item t="default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No. of fishers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9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F7:G10" firstHeaderRow="1" firstDataRow="1" firstDataCol="1"/>
  <pivotFields count="3">
    <pivotField subtotalTop="0" showAll="0"/>
    <pivotField dataField="1" numFmtId="3" subtotalTop="0" showAll="0"/>
    <pivotField axis="axisRow" subtotalTop="0" showAll="0">
      <items count="3">
        <item x="1"/>
        <item x="0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Sum of Anglers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L37"/>
  <sheetViews>
    <sheetView topLeftCell="A12" zoomScaleNormal="100" workbookViewId="0">
      <selection activeCell="B18" sqref="A18:I22"/>
    </sheetView>
  </sheetViews>
  <sheetFormatPr defaultColWidth="9.140625" defaultRowHeight="15" x14ac:dyDescent="0.25"/>
  <cols>
    <col min="1" max="1" width="29.28515625" bestFit="1" customWidth="1"/>
    <col min="2" max="2" width="16.140625" bestFit="1" customWidth="1"/>
    <col min="3" max="3" width="24.85546875" bestFit="1" customWidth="1"/>
    <col min="4" max="5" width="16.85546875" bestFit="1" customWidth="1"/>
    <col min="6" max="7" width="17" bestFit="1" customWidth="1"/>
    <col min="8" max="8" width="77" bestFit="1" customWidth="1"/>
    <col min="9" max="9" width="23.28515625" bestFit="1" customWidth="1"/>
    <col min="10" max="10" width="97.140625" bestFit="1" customWidth="1"/>
    <col min="11" max="11" width="20.7109375" bestFit="1" customWidth="1"/>
    <col min="12" max="12" width="20.85546875" bestFit="1" customWidth="1"/>
  </cols>
  <sheetData>
    <row r="1" spans="1:9" x14ac:dyDescent="0.25">
      <c r="A1" t="s">
        <v>26</v>
      </c>
      <c r="B1" t="s">
        <v>32</v>
      </c>
      <c r="C1" t="s">
        <v>0</v>
      </c>
    </row>
    <row r="2" spans="1:9" x14ac:dyDescent="0.25">
      <c r="A2" t="s">
        <v>27</v>
      </c>
      <c r="B2">
        <f>(SUMIFS('Recreational mac-8c9a'!D2:D14,'Recreational mac-8c9a'!D2:D14,"&lt;&gt;NA",'Recreational mac-8c9a'!E2:E14,"&lt;&gt;NA")/SUMIFS('Recreational mac-8c9a'!E2:E14,'Recreational mac-8c9a'!E2:E14,"&lt;&gt;NA",'Recreational mac-8c9a'!D2:D14,"&lt;&gt;NA"))*1000</f>
        <v>4.354622599374721E-2</v>
      </c>
    </row>
    <row r="3" spans="1:9" x14ac:dyDescent="0.25">
      <c r="A3" t="s">
        <v>28</v>
      </c>
      <c r="B3" t="e">
        <f>(SUMIFS('Recreational mac-8c9a'!F2:F14,'Recreational mac-8c9a'!F2:F14,"&lt;&gt;NA",'Recreational mac-8c9a'!G2:G14,"&lt;&gt;NA")/SUMIFS('Recreational mac-8c9a'!G2:G14,'Recreational mac-8c9a'!G2:G14,"&lt;&gt;NA",'Recreational mac-8c9a'!F2:F14,"&lt;&gt;NA"))*1000</f>
        <v>#DIV/0!</v>
      </c>
    </row>
    <row r="4" spans="1:9" x14ac:dyDescent="0.25">
      <c r="A4" t="s">
        <v>29</v>
      </c>
      <c r="B4" t="e">
        <f>SUMIFS('Recreational mac-8c9a'!F2:F14,'Recreational mac-8c9a'!F2:F14,"&lt;&gt;NA",'Recreational mac-8c9a'!D2:D14,"&lt;&gt;NA")/SUMIFS('Recreational mac-8c9a'!D2:D14,'Recreational mac-8c9a'!F2:F14,"&lt;&gt;NA",'Recreational mac-8c9a'!D2:D14,"&lt;&gt;NA")</f>
        <v>#DIV/0!</v>
      </c>
    </row>
    <row r="5" spans="1:9" x14ac:dyDescent="0.25">
      <c r="A5" t="s">
        <v>36</v>
      </c>
      <c r="B5">
        <f>'Discard rate'!A2</f>
        <v>0.13756465258008901</v>
      </c>
      <c r="C5" t="str">
        <f>'Discard rate'!B2</f>
        <v>WGWIDE (2017)</v>
      </c>
    </row>
    <row r="6" spans="1:9" x14ac:dyDescent="0.25">
      <c r="A6" t="s">
        <v>30</v>
      </c>
      <c r="B6">
        <f>'Discard mortality'!A2</f>
        <v>1</v>
      </c>
      <c r="C6" t="str">
        <f>'Discard mortality'!B2</f>
        <v>Precautionary value due to lack of data</v>
      </c>
    </row>
    <row r="7" spans="1:9" x14ac:dyDescent="0.25">
      <c r="A7" t="s">
        <v>31</v>
      </c>
      <c r="B7">
        <f>'Discard mortality'!C2</f>
        <v>1</v>
      </c>
      <c r="C7" t="str">
        <f>'Discard mortality'!D2</f>
        <v>Precautionary value due to lack of data</v>
      </c>
    </row>
    <row r="8" spans="1:9" x14ac:dyDescent="0.25">
      <c r="A8" t="s">
        <v>204</v>
      </c>
      <c r="B8">
        <v>3431</v>
      </c>
    </row>
    <row r="10" spans="1:9" x14ac:dyDescent="0.25">
      <c r="A10" s="51" t="s">
        <v>43</v>
      </c>
      <c r="B10" s="51"/>
      <c r="C10" s="51"/>
      <c r="D10" s="51"/>
      <c r="E10" s="51"/>
      <c r="F10" s="51"/>
      <c r="G10" s="51"/>
      <c r="H10" s="51"/>
      <c r="I10" s="7"/>
    </row>
    <row r="11" spans="1:9" x14ac:dyDescent="0.25">
      <c r="A11" t="s">
        <v>1</v>
      </c>
      <c r="B11" t="s">
        <v>2</v>
      </c>
      <c r="C11" t="s">
        <v>44</v>
      </c>
      <c r="D11" t="s">
        <v>45</v>
      </c>
      <c r="E11" t="s">
        <v>46</v>
      </c>
      <c r="F11" t="s">
        <v>47</v>
      </c>
      <c r="G11" t="s">
        <v>48</v>
      </c>
      <c r="H11" t="s">
        <v>49</v>
      </c>
    </row>
    <row r="12" spans="1:9" x14ac:dyDescent="0.25">
      <c r="A12" t="str">
        <f>'Recreational mac-8c9a'!A2</f>
        <v>Spain (Basque country)</v>
      </c>
      <c r="B12" t="str">
        <f>VLOOKUP($A12,'Recreational mac-8c9a'!$A$1:$H$5,2,FALSE)</f>
        <v>2012-2013</v>
      </c>
      <c r="C12">
        <f>VLOOKUP($A12,'Recreational mac-8c9a'!$A$1:$H$5,3,FALSE)</f>
        <v>62459</v>
      </c>
      <c r="D12">
        <f>VLOOKUP($A12,'Recreational mac-8c9a'!$A$1:$H$5,4,FALSE)</f>
        <v>72</v>
      </c>
      <c r="E12" t="str">
        <f>VLOOKUP($A12,'Recreational mac-8c9a'!$A$1:$H$5,5,FALSE)</f>
        <v>NA</v>
      </c>
      <c r="F12" t="str">
        <f>VLOOKUP($A12,'Recreational mac-8c9a'!$A$1:$H$5,6,FALSE)</f>
        <v>NA</v>
      </c>
      <c r="G12" t="str">
        <f>VLOOKUP($A12,'Recreational mac-8c9a'!$A$1:$H$5,7,FALSE)</f>
        <v>NA</v>
      </c>
      <c r="H12" t="str">
        <f>VLOOKUP($A12,'Recreational mac-8c9a'!$A$1:$H$5,8,FALSE)</f>
        <v>Zarauz et al. (2013) (Basque country represents 35% of licences in area VIIIa.)</v>
      </c>
    </row>
    <row r="13" spans="1:9" x14ac:dyDescent="0.25">
      <c r="A13" t="str">
        <f>'Recreational mac-8c9a'!A3</f>
        <v>Portugal (North)</v>
      </c>
      <c r="B13">
        <f>VLOOKUP($A13,'Recreational mac-8c9a'!$A$1:$H$5,2,FALSE)</f>
        <v>2001</v>
      </c>
      <c r="C13">
        <f>VLOOKUP($A13,'Recreational mac-8c9a'!$A$1:$H$5,3,FALSE)</f>
        <v>59889</v>
      </c>
      <c r="D13">
        <f>VLOOKUP($A13,'Recreational mac-8c9a'!$A$1:$H$5,4,FALSE)</f>
        <v>0.39</v>
      </c>
      <c r="E13">
        <f>VLOOKUP($A13,'Recreational mac-8c9a'!$A$1:$H$5,5,FALSE)</f>
        <v>8956</v>
      </c>
      <c r="F13" t="str">
        <f>VLOOKUP($A13,'Recreational mac-8c9a'!$A$1:$H$5,6,FALSE)</f>
        <v>NA</v>
      </c>
      <c r="G13" t="str">
        <f>VLOOKUP($A13,'Recreational mac-8c9a'!$A$1:$H$5,7,FALSE)</f>
        <v>NA</v>
      </c>
      <c r="H13" t="str">
        <f>VLOOKUP($A13,'Recreational mac-8c9a'!$A$1:$H$5,8,FALSE)</f>
        <v>Rangel &amp; Erzini (2007) (Study of Northern Portugal only)</v>
      </c>
    </row>
    <row r="14" spans="1:9" x14ac:dyDescent="0.25">
      <c r="A14" t="str">
        <f>'Recreational mac-8c9a'!A4</f>
        <v>Spain</v>
      </c>
      <c r="B14" t="str">
        <f>VLOOKUP($A14,'Recreational mac-8c9a'!$A$1:$H$5,2,FALSE)</f>
        <v>NA</v>
      </c>
      <c r="C14">
        <f>VLOOKUP($A14,'Recreational mac-8c9a'!$A$1:$H$5,3,FALSE)</f>
        <v>181651</v>
      </c>
      <c r="D14" t="str">
        <f>VLOOKUP($A14,'Recreational mac-8c9a'!$A$1:$H$5,4,FALSE)</f>
        <v>NA</v>
      </c>
      <c r="E14" t="str">
        <f>VLOOKUP($A14,'Recreational mac-8c9a'!$A$1:$H$5,5,FALSE)</f>
        <v>NA</v>
      </c>
      <c r="F14" t="str">
        <f>VLOOKUP($A14,'Recreational mac-8c9a'!$A$1:$H$5,6,FALSE)</f>
        <v>NA</v>
      </c>
      <c r="G14" t="str">
        <f>VLOOKUP($A14,'Recreational mac-8c9a'!$A$1:$H$5,7,FALSE)</f>
        <v>NA</v>
      </c>
      <c r="H14" t="str">
        <f>VLOOKUP($A14,'Recreational mac-8c9a'!$A$1:$H$5,8,FALSE)</f>
        <v>NA</v>
      </c>
    </row>
    <row r="15" spans="1:9" x14ac:dyDescent="0.25">
      <c r="A15" t="str">
        <f>'Recreational mac-8c9a'!A5</f>
        <v>Portugal</v>
      </c>
      <c r="B15" t="str">
        <f>VLOOKUP($A15,'Recreational mac-8c9a'!$A$1:$H$5,2,FALSE)</f>
        <v>NA</v>
      </c>
      <c r="C15">
        <f>VLOOKUP($A15,'Recreational mac-8c9a'!$A$1:$H$5,3,FALSE)</f>
        <v>175000</v>
      </c>
      <c r="D15" t="str">
        <f>VLOOKUP($A15,'Recreational mac-8c9a'!$A$1:$H$5,4,FALSE)</f>
        <v>NA</v>
      </c>
      <c r="E15" t="str">
        <f>VLOOKUP($A15,'Recreational mac-8c9a'!$A$1:$H$5,5,FALSE)</f>
        <v>NA</v>
      </c>
      <c r="F15" t="str">
        <f>VLOOKUP($A15,'Recreational mac-8c9a'!$A$1:$H$5,6,FALSE)</f>
        <v>NA</v>
      </c>
      <c r="G15" t="str">
        <f>VLOOKUP($A15,'Recreational mac-8c9a'!$A$1:$H$5,7,FALSE)</f>
        <v>NA</v>
      </c>
      <c r="H15" t="str">
        <f>VLOOKUP($A15,'Recreational mac-8c9a'!$A$1:$H$5,8,FALSE)</f>
        <v>NA</v>
      </c>
    </row>
    <row r="20" spans="1:12" x14ac:dyDescent="0.25">
      <c r="A20" s="51" t="s">
        <v>50</v>
      </c>
      <c r="B20" s="51"/>
      <c r="C20" s="51"/>
      <c r="D20" s="51"/>
      <c r="E20" s="51"/>
      <c r="F20" s="51"/>
      <c r="G20" s="51"/>
      <c r="H20" s="51"/>
      <c r="I20" s="51"/>
      <c r="J20" s="51" t="s">
        <v>51</v>
      </c>
      <c r="K20" s="51"/>
      <c r="L20" s="51"/>
    </row>
    <row r="21" spans="1:12" x14ac:dyDescent="0.25">
      <c r="A21" t="s">
        <v>1</v>
      </c>
      <c r="B21" t="s">
        <v>52</v>
      </c>
      <c r="C21" t="s">
        <v>45</v>
      </c>
      <c r="D21" t="s">
        <v>46</v>
      </c>
      <c r="E21" t="s">
        <v>47</v>
      </c>
      <c r="F21" t="s">
        <v>48</v>
      </c>
      <c r="G21" t="s">
        <v>53</v>
      </c>
      <c r="H21" t="s">
        <v>54</v>
      </c>
      <c r="I21" t="s">
        <v>55</v>
      </c>
      <c r="J21" t="s">
        <v>56</v>
      </c>
      <c r="K21" t="s">
        <v>57</v>
      </c>
      <c r="L21" t="s">
        <v>58</v>
      </c>
    </row>
    <row r="22" spans="1:12" x14ac:dyDescent="0.25">
      <c r="A22" t="str">
        <f>A14</f>
        <v>Spain</v>
      </c>
      <c r="B22">
        <f>C14</f>
        <v>181651</v>
      </c>
      <c r="C22">
        <f>ROUND(IF(J22 = "BASQUE", B22/$C$12*$D$12, IF(J22 = "Avg",D22*($B$2/1000), IF(J22 = "Port (N)", B22/$C$13*$D$13, "Error"))),2)</f>
        <v>209.4</v>
      </c>
      <c r="D22">
        <f>ROUND(IF(K22="Avg",C22/($B$2/1000),IF(K22="Port (N)",B22/$C$13*$E$13,"Error")),0)</f>
        <v>4808683</v>
      </c>
      <c r="E22">
        <f>IF(L22 = "NA", 0, "Error")</f>
        <v>0</v>
      </c>
      <c r="F22" t="s">
        <v>20</v>
      </c>
      <c r="G22" t="s">
        <v>62</v>
      </c>
      <c r="H22">
        <f>C22-D12</f>
        <v>137.4</v>
      </c>
      <c r="I22" t="s">
        <v>20</v>
      </c>
      <c r="J22" t="s">
        <v>59</v>
      </c>
      <c r="K22" t="s">
        <v>61</v>
      </c>
      <c r="L22" t="s">
        <v>20</v>
      </c>
    </row>
    <row r="23" spans="1:12" s="12" customFormat="1" x14ac:dyDescent="0.25">
      <c r="A23" s="44" t="str">
        <f>A15</f>
        <v>Portugal</v>
      </c>
      <c r="B23" s="44">
        <f>C15</f>
        <v>175000</v>
      </c>
      <c r="C23" s="44">
        <f>ROUND(IF(J23 = "BASQUE", B23/$C$12*$D$12, IF(J23 = "Avg",D23*($B$2/1000), IF(J23 = "Port (N)", B23/$C$13*$D$13, "Error"))),2)</f>
        <v>1.1399999999999999</v>
      </c>
      <c r="D23" s="44">
        <f>ROUND(IF(K23="Avg",C23/($B$2/1000),IF(K23="Port (N)",B23/$C$13*$E$13,"Error")),0)</f>
        <v>26170</v>
      </c>
      <c r="E23" s="44">
        <f>IF(L23 = "NA", 0, "Error")</f>
        <v>0</v>
      </c>
      <c r="F23" s="44" t="s">
        <v>20</v>
      </c>
      <c r="G23" s="44" t="s">
        <v>62</v>
      </c>
      <c r="H23" s="44">
        <f>C23-D13</f>
        <v>0.74999999999999989</v>
      </c>
      <c r="I23" s="44" t="s">
        <v>20</v>
      </c>
      <c r="J23" s="44" t="s">
        <v>61</v>
      </c>
      <c r="K23" s="44" t="s">
        <v>60</v>
      </c>
      <c r="L23" s="44" t="s">
        <v>20</v>
      </c>
    </row>
    <row r="25" spans="1:12" x14ac:dyDescent="0.25">
      <c r="A25" s="12" t="s">
        <v>196</v>
      </c>
    </row>
    <row r="27" spans="1:12" x14ac:dyDescent="0.25">
      <c r="A27" s="51" t="s">
        <v>63</v>
      </c>
      <c r="B27" s="51"/>
      <c r="C27" s="51"/>
    </row>
    <row r="28" spans="1:12" x14ac:dyDescent="0.25">
      <c r="A28" t="s">
        <v>45</v>
      </c>
      <c r="B28" t="s">
        <v>64</v>
      </c>
      <c r="C28" t="s">
        <v>65</v>
      </c>
    </row>
    <row r="29" spans="1:12" x14ac:dyDescent="0.25">
      <c r="A29" s="8">
        <f>SUM(H22:H23)/SUM(C22:C23)</f>
        <v>0.65616984895981767</v>
      </c>
      <c r="B29" t="s">
        <v>20</v>
      </c>
      <c r="C29" t="s">
        <v>20</v>
      </c>
    </row>
    <row r="32" spans="1:12" x14ac:dyDescent="0.25">
      <c r="A32" s="51" t="s">
        <v>66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1:11" x14ac:dyDescent="0.25">
      <c r="B33" s="51" t="s">
        <v>41</v>
      </c>
      <c r="C33" s="51"/>
      <c r="D33" s="51"/>
      <c r="E33" s="51" t="s">
        <v>42</v>
      </c>
      <c r="F33" s="51"/>
      <c r="G33" s="51"/>
      <c r="H33" s="51" t="s">
        <v>67</v>
      </c>
      <c r="I33" s="51"/>
    </row>
    <row r="34" spans="1:11" x14ac:dyDescent="0.25">
      <c r="A34" t="s">
        <v>1</v>
      </c>
      <c r="B34" t="s">
        <v>68</v>
      </c>
      <c r="C34" t="s">
        <v>69</v>
      </c>
      <c r="D34" t="s">
        <v>70</v>
      </c>
      <c r="E34" t="s">
        <v>33</v>
      </c>
      <c r="F34" t="s">
        <v>71</v>
      </c>
      <c r="G34" t="s">
        <v>70</v>
      </c>
      <c r="H34" t="s">
        <v>41</v>
      </c>
      <c r="I34" t="s">
        <v>42</v>
      </c>
      <c r="J34" t="s">
        <v>0</v>
      </c>
      <c r="K34" t="s">
        <v>72</v>
      </c>
    </row>
    <row r="35" spans="1:11" x14ac:dyDescent="0.25">
      <c r="A35" t="str">
        <f>A22</f>
        <v>Spain</v>
      </c>
      <c r="B35">
        <f>C22</f>
        <v>209.4</v>
      </c>
      <c r="C35">
        <f>E22</f>
        <v>0</v>
      </c>
      <c r="D35">
        <f>B35+C35</f>
        <v>209.4</v>
      </c>
      <c r="E35">
        <f>ROUND(VLOOKUP($A35,'Commercial mac-8c9a'!$A$1:$E$13,2, FALSE),2)</f>
        <v>16449</v>
      </c>
      <c r="F35">
        <f>ROUND(E35*($B$5*$B$7),2)</f>
        <v>2262.8000000000002</v>
      </c>
      <c r="G35">
        <f>E35+F35</f>
        <v>18711.8</v>
      </c>
      <c r="H35" s="8">
        <f>D35/K35</f>
        <v>1.1066951356150772E-2</v>
      </c>
      <c r="I35" s="8">
        <f>G35/K35</f>
        <v>0.98893304864384912</v>
      </c>
      <c r="J35">
        <f>VLOOKUP($A35,'Commercial mac-8c9a'!$A$1:$E$13,4, FALSE)</f>
        <v>0</v>
      </c>
      <c r="K35">
        <f>G35+D35</f>
        <v>18921.2</v>
      </c>
    </row>
    <row r="36" spans="1:11" x14ac:dyDescent="0.25">
      <c r="A36" t="str">
        <f>A23</f>
        <v>Portugal</v>
      </c>
      <c r="B36">
        <f>C23</f>
        <v>1.1399999999999999</v>
      </c>
      <c r="C36">
        <f>E23</f>
        <v>0</v>
      </c>
      <c r="D36">
        <f>B36+C36</f>
        <v>1.1399999999999999</v>
      </c>
      <c r="E36">
        <f>ROUND(VLOOKUP($A36,'Commercial mac-8c9a'!$A$1:$E$13,2, FALSE),2)</f>
        <v>824</v>
      </c>
      <c r="F36">
        <f>ROUND(E36*($B$5*$B$7),2)</f>
        <v>113.35</v>
      </c>
      <c r="G36">
        <f>E36+F36</f>
        <v>937.35</v>
      </c>
      <c r="H36" s="8">
        <f>D36/K36</f>
        <v>1.2147172585749448E-3</v>
      </c>
      <c r="I36" s="8">
        <f>G36/K36</f>
        <v>0.99878528274142508</v>
      </c>
      <c r="J36">
        <f>VLOOKUP($A36,'Commercial mac-8c9a'!$A$1:$E$13,4, FALSE)</f>
        <v>0</v>
      </c>
      <c r="K36">
        <f>G36+D36</f>
        <v>938.49</v>
      </c>
    </row>
    <row r="37" spans="1:11" x14ac:dyDescent="0.25">
      <c r="A37" s="45" t="s">
        <v>73</v>
      </c>
      <c r="B37" s="45">
        <f>SUM(B35:B36)</f>
        <v>210.54</v>
      </c>
      <c r="C37" s="45">
        <f t="shared" ref="C37:D37" si="0">SUM(C35:C36)</f>
        <v>0</v>
      </c>
      <c r="D37" s="45">
        <f t="shared" si="0"/>
        <v>210.54</v>
      </c>
      <c r="E37" s="45">
        <f>VLOOKUP($A37,'Commercial mac-8c9a'!$A$1:$C$4,2)</f>
        <v>24941</v>
      </c>
      <c r="F37" s="45">
        <f>B8*$B$7</f>
        <v>3431</v>
      </c>
      <c r="G37" s="45">
        <f>E37+F37</f>
        <v>28372</v>
      </c>
      <c r="H37" s="46">
        <f>D37/K37</f>
        <v>7.3660353488528302E-3</v>
      </c>
      <c r="I37" s="46">
        <f>G37/K37</f>
        <v>0.99263396465114717</v>
      </c>
      <c r="J37" s="45" t="e">
        <f>VLOOKUP($A37,'Commercial mac-8c9a'!$A$1:$C$4,4)</f>
        <v>#REF!</v>
      </c>
      <c r="K37" s="45">
        <f>G37+D37</f>
        <v>28582.54</v>
      </c>
    </row>
  </sheetData>
  <mergeCells count="8">
    <mergeCell ref="A32:K32"/>
    <mergeCell ref="B33:D33"/>
    <mergeCell ref="E33:G33"/>
    <mergeCell ref="H33:I33"/>
    <mergeCell ref="A10:H10"/>
    <mergeCell ref="A20:I20"/>
    <mergeCell ref="J20:L20"/>
    <mergeCell ref="A27:C2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H5"/>
  <sheetViews>
    <sheetView workbookViewId="0">
      <selection sqref="A1:H1"/>
    </sheetView>
  </sheetViews>
  <sheetFormatPr defaultColWidth="9.140625" defaultRowHeight="15" x14ac:dyDescent="0.25"/>
  <cols>
    <col min="1" max="1" width="10.28515625" bestFit="1" customWidth="1"/>
    <col min="3" max="3" width="17.7109375" bestFit="1" customWidth="1"/>
  </cols>
  <sheetData>
    <row r="1" spans="1:8" x14ac:dyDescent="0.25">
      <c r="A1" s="50" t="s">
        <v>1</v>
      </c>
      <c r="B1" s="50" t="s">
        <v>2</v>
      </c>
      <c r="C1" s="50" t="s">
        <v>5</v>
      </c>
      <c r="D1" s="50" t="s">
        <v>6</v>
      </c>
      <c r="E1" s="50" t="s">
        <v>7</v>
      </c>
      <c r="F1" s="50" t="s">
        <v>8</v>
      </c>
      <c r="G1" s="50" t="s">
        <v>9</v>
      </c>
      <c r="H1" s="50" t="s">
        <v>0</v>
      </c>
    </row>
    <row r="2" spans="1:8" x14ac:dyDescent="0.25">
      <c r="A2" t="s">
        <v>89</v>
      </c>
      <c r="B2" t="s">
        <v>20</v>
      </c>
      <c r="C2" t="s">
        <v>20</v>
      </c>
      <c r="D2" t="s">
        <v>20</v>
      </c>
      <c r="E2" t="s">
        <v>20</v>
      </c>
      <c r="F2" t="s">
        <v>20</v>
      </c>
      <c r="G2" t="s">
        <v>20</v>
      </c>
      <c r="H2" t="s">
        <v>20</v>
      </c>
    </row>
    <row r="3" spans="1:8" x14ac:dyDescent="0.25">
      <c r="A3" t="s">
        <v>90</v>
      </c>
      <c r="B3" t="s">
        <v>20</v>
      </c>
      <c r="C3" t="s">
        <v>20</v>
      </c>
      <c r="D3" t="s">
        <v>20</v>
      </c>
      <c r="E3" t="s">
        <v>20</v>
      </c>
      <c r="F3" t="s">
        <v>20</v>
      </c>
      <c r="G3" t="s">
        <v>20</v>
      </c>
      <c r="H3" t="s">
        <v>20</v>
      </c>
    </row>
    <row r="4" spans="1:8" x14ac:dyDescent="0.25">
      <c r="A4" t="s">
        <v>82</v>
      </c>
      <c r="B4" t="s">
        <v>20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</row>
    <row r="5" spans="1:8" x14ac:dyDescent="0.25">
      <c r="A5" t="s">
        <v>88</v>
      </c>
      <c r="B5" t="s">
        <v>20</v>
      </c>
      <c r="C5" t="s">
        <v>20</v>
      </c>
      <c r="D5" t="s">
        <v>20</v>
      </c>
      <c r="E5" t="s">
        <v>20</v>
      </c>
      <c r="F5" t="s">
        <v>20</v>
      </c>
      <c r="G5" t="s">
        <v>20</v>
      </c>
      <c r="H5" t="s">
        <v>20</v>
      </c>
    </row>
  </sheetData>
  <sortState ref="A2:H5">
    <sortCondition ref="A2:A5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C4"/>
  <sheetViews>
    <sheetView workbookViewId="0">
      <selection activeCell="C3" sqref="C3"/>
    </sheetView>
  </sheetViews>
  <sheetFormatPr defaultColWidth="9.140625" defaultRowHeight="15" x14ac:dyDescent="0.25"/>
  <sheetData>
    <row r="1" spans="1:3" x14ac:dyDescent="0.25">
      <c r="A1" s="9" t="s">
        <v>1</v>
      </c>
      <c r="B1" s="9" t="s">
        <v>33</v>
      </c>
      <c r="C1" s="9" t="s">
        <v>0</v>
      </c>
    </row>
    <row r="2" spans="1:3" x14ac:dyDescent="0.25">
      <c r="A2" t="s">
        <v>19</v>
      </c>
      <c r="B2">
        <v>16449</v>
      </c>
      <c r="C2" t="s">
        <v>239</v>
      </c>
    </row>
    <row r="3" spans="1:3" x14ac:dyDescent="0.25">
      <c r="A3" t="s">
        <v>17</v>
      </c>
      <c r="B3">
        <v>824</v>
      </c>
      <c r="C3" t="s">
        <v>233</v>
      </c>
    </row>
    <row r="4" spans="1:3" x14ac:dyDescent="0.25">
      <c r="A4" t="s">
        <v>34</v>
      </c>
      <c r="B4">
        <v>24941</v>
      </c>
      <c r="C4" t="s">
        <v>233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D1"/>
  <sheetViews>
    <sheetView workbookViewId="0">
      <selection activeCell="O27" sqref="O27"/>
    </sheetView>
  </sheetViews>
  <sheetFormatPr defaultColWidth="9.140625" defaultRowHeight="15" x14ac:dyDescent="0.25"/>
  <sheetData>
    <row r="1" spans="1:4" x14ac:dyDescent="0.25">
      <c r="A1" t="s">
        <v>1</v>
      </c>
      <c r="B1" t="s">
        <v>33</v>
      </c>
      <c r="C1" t="s">
        <v>35</v>
      </c>
      <c r="D1" t="s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C20"/>
  <sheetViews>
    <sheetView workbookViewId="0">
      <selection activeCell="H21" sqref="H21"/>
    </sheetView>
  </sheetViews>
  <sheetFormatPr defaultColWidth="9.140625" defaultRowHeight="15" x14ac:dyDescent="0.25"/>
  <cols>
    <col min="1" max="1" width="15" bestFit="1" customWidth="1"/>
  </cols>
  <sheetData>
    <row r="1" spans="1:3" x14ac:dyDescent="0.25">
      <c r="A1" t="s">
        <v>1</v>
      </c>
      <c r="B1" t="s">
        <v>33</v>
      </c>
      <c r="C1" t="s">
        <v>0</v>
      </c>
    </row>
    <row r="2" spans="1:3" x14ac:dyDescent="0.25">
      <c r="A2" t="s">
        <v>87</v>
      </c>
      <c r="B2" s="14">
        <v>1</v>
      </c>
      <c r="C2" t="s">
        <v>239</v>
      </c>
    </row>
    <row r="3" spans="1:3" x14ac:dyDescent="0.25">
      <c r="A3" t="s">
        <v>85</v>
      </c>
      <c r="B3" s="14">
        <v>3732</v>
      </c>
      <c r="C3" t="s">
        <v>239</v>
      </c>
    </row>
    <row r="4" spans="1:3" x14ac:dyDescent="0.25">
      <c r="A4" t="s">
        <v>84</v>
      </c>
      <c r="B4" s="14">
        <v>2</v>
      </c>
      <c r="C4" t="s">
        <v>239</v>
      </c>
    </row>
    <row r="5" spans="1:3" x14ac:dyDescent="0.25">
      <c r="A5" t="s">
        <v>19</v>
      </c>
      <c r="B5" s="14">
        <v>793</v>
      </c>
      <c r="C5" t="s">
        <v>239</v>
      </c>
    </row>
    <row r="6" spans="1:3" x14ac:dyDescent="0.25">
      <c r="A6" t="s">
        <v>169</v>
      </c>
      <c r="B6" s="14">
        <v>0</v>
      </c>
      <c r="C6" t="s">
        <v>239</v>
      </c>
    </row>
    <row r="7" spans="1:3" x14ac:dyDescent="0.25">
      <c r="A7" t="s">
        <v>81</v>
      </c>
      <c r="B7" s="14">
        <v>14026</v>
      </c>
      <c r="C7" t="s">
        <v>239</v>
      </c>
    </row>
    <row r="8" spans="1:3" x14ac:dyDescent="0.25">
      <c r="A8" t="s">
        <v>170</v>
      </c>
      <c r="B8" s="14">
        <v>20716</v>
      </c>
      <c r="C8" t="s">
        <v>239</v>
      </c>
    </row>
    <row r="9" spans="1:3" x14ac:dyDescent="0.25">
      <c r="A9" t="s">
        <v>89</v>
      </c>
      <c r="B9" s="14">
        <v>12</v>
      </c>
      <c r="C9" t="s">
        <v>239</v>
      </c>
    </row>
    <row r="10" spans="1:3" x14ac:dyDescent="0.25">
      <c r="A10" t="s">
        <v>79</v>
      </c>
      <c r="B10" s="14">
        <v>13280</v>
      </c>
      <c r="C10" t="s">
        <v>239</v>
      </c>
    </row>
    <row r="11" spans="1:3" x14ac:dyDescent="0.25">
      <c r="A11" t="s">
        <v>171</v>
      </c>
      <c r="B11" s="14">
        <v>11</v>
      </c>
      <c r="C11" t="s">
        <v>239</v>
      </c>
    </row>
    <row r="12" spans="1:3" x14ac:dyDescent="0.25">
      <c r="A12" t="s">
        <v>172</v>
      </c>
      <c r="B12" s="14">
        <v>0</v>
      </c>
      <c r="C12" t="s">
        <v>239</v>
      </c>
    </row>
    <row r="13" spans="1:3" x14ac:dyDescent="0.25">
      <c r="A13" t="s">
        <v>86</v>
      </c>
      <c r="B13" s="14">
        <v>13084</v>
      </c>
      <c r="C13" t="s">
        <v>239</v>
      </c>
    </row>
    <row r="14" spans="1:3" x14ac:dyDescent="0.25">
      <c r="A14" t="s">
        <v>82</v>
      </c>
      <c r="B14" s="14">
        <v>0</v>
      </c>
      <c r="C14" t="s">
        <v>239</v>
      </c>
    </row>
    <row r="15" spans="1:3" x14ac:dyDescent="0.25">
      <c r="A15" t="s">
        <v>17</v>
      </c>
      <c r="B15" s="14">
        <v>641</v>
      </c>
      <c r="C15" t="s">
        <v>239</v>
      </c>
    </row>
    <row r="16" spans="1:3" x14ac:dyDescent="0.25">
      <c r="A16" t="s">
        <v>78</v>
      </c>
      <c r="B16">
        <v>1266.67</v>
      </c>
      <c r="C16" t="s">
        <v>234</v>
      </c>
    </row>
    <row r="17" spans="1:3" x14ac:dyDescent="0.25">
      <c r="A17" t="s">
        <v>80</v>
      </c>
      <c r="B17">
        <v>0.28000000000000003</v>
      </c>
      <c r="C17" t="s">
        <v>234</v>
      </c>
    </row>
    <row r="18" spans="1:3" x14ac:dyDescent="0.25">
      <c r="A18" t="s">
        <v>176</v>
      </c>
      <c r="B18">
        <v>2.66</v>
      </c>
      <c r="C18" t="s">
        <v>234</v>
      </c>
    </row>
    <row r="19" spans="1:3" x14ac:dyDescent="0.25">
      <c r="A19" t="s">
        <v>173</v>
      </c>
      <c r="B19">
        <f>SUM(B2:B18)</f>
        <v>67567.61</v>
      </c>
      <c r="C19" t="s">
        <v>239</v>
      </c>
    </row>
    <row r="20" spans="1:3" x14ac:dyDescent="0.25">
      <c r="A20" t="s">
        <v>174</v>
      </c>
      <c r="B20">
        <v>65728</v>
      </c>
      <c r="C20" t="s">
        <v>233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D1"/>
  <sheetViews>
    <sheetView workbookViewId="0">
      <selection activeCell="F41" sqref="F41"/>
    </sheetView>
  </sheetViews>
  <sheetFormatPr defaultColWidth="9.140625" defaultRowHeight="15" x14ac:dyDescent="0.25"/>
  <sheetData>
    <row r="1" spans="1:4" x14ac:dyDescent="0.25">
      <c r="A1" t="s">
        <v>1</v>
      </c>
      <c r="B1" t="s">
        <v>33</v>
      </c>
      <c r="C1" t="s">
        <v>35</v>
      </c>
      <c r="D1" t="s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C21"/>
  <sheetViews>
    <sheetView workbookViewId="0">
      <selection activeCell="M26" sqref="M26"/>
    </sheetView>
  </sheetViews>
  <sheetFormatPr defaultColWidth="9.140625" defaultRowHeight="15" x14ac:dyDescent="0.25"/>
  <cols>
    <col min="1" max="1" width="12.5703125" bestFit="1" customWidth="1"/>
  </cols>
  <sheetData>
    <row r="1" spans="1:3" x14ac:dyDescent="0.25">
      <c r="A1" s="9" t="s">
        <v>1</v>
      </c>
      <c r="B1" s="9" t="s">
        <v>33</v>
      </c>
      <c r="C1" s="9" t="s">
        <v>0</v>
      </c>
    </row>
    <row r="2" spans="1:3" x14ac:dyDescent="0.25">
      <c r="A2" t="s">
        <v>78</v>
      </c>
      <c r="B2">
        <v>10993.6</v>
      </c>
      <c r="C2" t="s">
        <v>234</v>
      </c>
    </row>
    <row r="3" spans="1:3" x14ac:dyDescent="0.25">
      <c r="A3" t="s">
        <v>76</v>
      </c>
      <c r="B3">
        <v>57282.45</v>
      </c>
      <c r="C3" t="s">
        <v>234</v>
      </c>
    </row>
    <row r="4" spans="1:3" x14ac:dyDescent="0.25">
      <c r="A4" t="s">
        <v>87</v>
      </c>
      <c r="B4">
        <v>43</v>
      </c>
      <c r="C4" t="s">
        <v>239</v>
      </c>
    </row>
    <row r="5" spans="1:3" x14ac:dyDescent="0.25">
      <c r="A5" t="s">
        <v>85</v>
      </c>
      <c r="B5">
        <v>4559</v>
      </c>
      <c r="C5" t="s">
        <v>239</v>
      </c>
    </row>
    <row r="6" spans="1:3" x14ac:dyDescent="0.25">
      <c r="A6" t="s">
        <v>84</v>
      </c>
      <c r="B6">
        <v>36180</v>
      </c>
      <c r="C6" t="s">
        <v>239</v>
      </c>
    </row>
    <row r="7" spans="1:3" x14ac:dyDescent="0.25">
      <c r="A7" t="s">
        <v>19</v>
      </c>
      <c r="B7">
        <v>0</v>
      </c>
      <c r="C7" t="s">
        <v>239</v>
      </c>
    </row>
    <row r="8" spans="1:3" x14ac:dyDescent="0.25">
      <c r="A8" t="s">
        <v>169</v>
      </c>
      <c r="B8">
        <v>580</v>
      </c>
      <c r="C8" t="s">
        <v>239</v>
      </c>
    </row>
    <row r="9" spans="1:3" x14ac:dyDescent="0.25">
      <c r="A9" t="s">
        <v>81</v>
      </c>
      <c r="B9">
        <v>5736</v>
      </c>
      <c r="C9" t="s">
        <v>239</v>
      </c>
    </row>
    <row r="10" spans="1:3" x14ac:dyDescent="0.25">
      <c r="A10" t="s">
        <v>89</v>
      </c>
      <c r="B10">
        <v>0</v>
      </c>
      <c r="C10" t="s">
        <v>239</v>
      </c>
    </row>
    <row r="11" spans="1:3" x14ac:dyDescent="0.25">
      <c r="A11" t="s">
        <v>79</v>
      </c>
      <c r="B11">
        <v>20426</v>
      </c>
      <c r="C11" t="s">
        <v>239</v>
      </c>
    </row>
    <row r="12" spans="1:3" x14ac:dyDescent="0.25">
      <c r="A12" t="s">
        <v>90</v>
      </c>
      <c r="B12">
        <v>0</v>
      </c>
      <c r="C12" t="s">
        <v>239</v>
      </c>
    </row>
    <row r="13" spans="1:3" x14ac:dyDescent="0.25">
      <c r="A13" t="s">
        <v>194</v>
      </c>
      <c r="B13">
        <v>0</v>
      </c>
      <c r="C13" t="s">
        <v>239</v>
      </c>
    </row>
    <row r="14" spans="1:3" x14ac:dyDescent="0.25">
      <c r="A14" t="s">
        <v>86</v>
      </c>
      <c r="B14">
        <v>3636</v>
      </c>
      <c r="C14" t="s">
        <v>239</v>
      </c>
    </row>
    <row r="15" spans="1:3" x14ac:dyDescent="0.25">
      <c r="A15" t="s">
        <v>82</v>
      </c>
      <c r="B15">
        <v>64182</v>
      </c>
      <c r="C15" t="s">
        <v>239</v>
      </c>
    </row>
    <row r="16" spans="1:3" x14ac:dyDescent="0.25">
      <c r="A16" t="s">
        <v>195</v>
      </c>
      <c r="B16">
        <v>0</v>
      </c>
      <c r="C16" t="s">
        <v>239</v>
      </c>
    </row>
    <row r="17" spans="1:3" x14ac:dyDescent="0.25">
      <c r="A17" t="s">
        <v>17</v>
      </c>
      <c r="B17">
        <v>0</v>
      </c>
      <c r="C17" t="s">
        <v>239</v>
      </c>
    </row>
    <row r="18" spans="1:3" x14ac:dyDescent="0.25">
      <c r="A18" t="s">
        <v>88</v>
      </c>
      <c r="B18">
        <v>0</v>
      </c>
      <c r="C18" t="s">
        <v>239</v>
      </c>
    </row>
    <row r="19" spans="1:3" x14ac:dyDescent="0.25">
      <c r="A19" t="s">
        <v>83</v>
      </c>
      <c r="B19">
        <v>4560</v>
      </c>
      <c r="C19" t="s">
        <v>239</v>
      </c>
    </row>
    <row r="20" spans="1:3" x14ac:dyDescent="0.25">
      <c r="A20" t="s">
        <v>173</v>
      </c>
      <c r="B20">
        <v>214656</v>
      </c>
      <c r="C20" t="s">
        <v>239</v>
      </c>
    </row>
    <row r="21" spans="1:3" x14ac:dyDescent="0.25">
      <c r="A21" t="s">
        <v>174</v>
      </c>
      <c r="B21">
        <v>218400</v>
      </c>
      <c r="C21" t="s">
        <v>233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D2"/>
  <sheetViews>
    <sheetView workbookViewId="0">
      <selection activeCell="B3" sqref="B3"/>
    </sheetView>
  </sheetViews>
  <sheetFormatPr defaultColWidth="9.140625" defaultRowHeight="15" x14ac:dyDescent="0.25"/>
  <cols>
    <col min="1" max="1" width="12.140625" bestFit="1" customWidth="1"/>
    <col min="2" max="2" width="30.28515625" customWidth="1"/>
  </cols>
  <sheetData>
    <row r="1" spans="1:4" x14ac:dyDescent="0.25">
      <c r="A1" s="9" t="s">
        <v>41</v>
      </c>
      <c r="B1" s="9" t="s">
        <v>0</v>
      </c>
      <c r="C1" s="9" t="s">
        <v>42</v>
      </c>
      <c r="D1" s="9" t="s">
        <v>0</v>
      </c>
    </row>
    <row r="2" spans="1:4" x14ac:dyDescent="0.25">
      <c r="A2">
        <v>1</v>
      </c>
      <c r="B2" t="s">
        <v>225</v>
      </c>
      <c r="C2">
        <v>1</v>
      </c>
      <c r="D2" t="s">
        <v>225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</sheetPr>
  <dimension ref="A1:J2"/>
  <sheetViews>
    <sheetView workbookViewId="0">
      <selection activeCell="J2" sqref="J2"/>
    </sheetView>
  </sheetViews>
  <sheetFormatPr defaultColWidth="9.140625" defaultRowHeight="15" x14ac:dyDescent="0.25"/>
  <cols>
    <col min="2" max="2" width="24.85546875" bestFit="1" customWidth="1"/>
    <col min="3" max="3" width="12" bestFit="1" customWidth="1"/>
    <col min="4" max="4" width="24.85546875" bestFit="1" customWidth="1"/>
    <col min="6" max="6" width="24.85546875" bestFit="1" customWidth="1"/>
    <col min="8" max="8" width="24.85546875" bestFit="1" customWidth="1"/>
    <col min="10" max="10" width="24.85546875" bestFit="1" customWidth="1"/>
  </cols>
  <sheetData>
    <row r="1" spans="1:10" x14ac:dyDescent="0.25">
      <c r="A1" t="s">
        <v>37</v>
      </c>
      <c r="B1" t="s">
        <v>0</v>
      </c>
      <c r="C1" t="s">
        <v>38</v>
      </c>
      <c r="D1" t="s">
        <v>0</v>
      </c>
      <c r="E1" t="s">
        <v>39</v>
      </c>
      <c r="F1" t="s">
        <v>0</v>
      </c>
      <c r="G1" t="s">
        <v>40</v>
      </c>
      <c r="H1" t="s">
        <v>0</v>
      </c>
      <c r="I1">
        <v>6</v>
      </c>
      <c r="J1" t="s">
        <v>0</v>
      </c>
    </row>
    <row r="2" spans="1:10" x14ac:dyDescent="0.25">
      <c r="A2">
        <f>3431/24941</f>
        <v>0.13756465258008901</v>
      </c>
      <c r="B2" t="s">
        <v>233</v>
      </c>
      <c r="C2">
        <f>1/449325</f>
        <v>2.2255605630668225E-6</v>
      </c>
      <c r="D2" t="s">
        <v>233</v>
      </c>
      <c r="E2">
        <f>1089/218400</f>
        <v>4.9862637362637361E-3</v>
      </c>
      <c r="F2" t="s">
        <v>233</v>
      </c>
      <c r="G2">
        <f>9701/65728</f>
        <v>0.14759311100292113</v>
      </c>
      <c r="H2" t="s">
        <v>233</v>
      </c>
      <c r="I2">
        <f>952/121115</f>
        <v>7.860298063823639E-3</v>
      </c>
      <c r="J2" t="s">
        <v>233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7030A0"/>
  </sheetPr>
  <dimension ref="A1:G7"/>
  <sheetViews>
    <sheetView workbookViewId="0">
      <selection activeCell="E2" sqref="E2"/>
    </sheetView>
  </sheetViews>
  <sheetFormatPr defaultColWidth="9.140625" defaultRowHeight="15" x14ac:dyDescent="0.25"/>
  <cols>
    <col min="1" max="1" width="33.42578125" bestFit="1" customWidth="1"/>
    <col min="3" max="3" width="10" bestFit="1" customWidth="1"/>
    <col min="4" max="4" width="11" bestFit="1" customWidth="1"/>
    <col min="5" max="5" width="15" bestFit="1" customWidth="1"/>
    <col min="6" max="6" width="14.7109375" bestFit="1" customWidth="1"/>
    <col min="7" max="7" width="14.5703125" bestFit="1" customWidth="1"/>
  </cols>
  <sheetData>
    <row r="1" spans="1:7" x14ac:dyDescent="0.25">
      <c r="A1" t="s">
        <v>10</v>
      </c>
      <c r="B1">
        <v>7302</v>
      </c>
      <c r="D1" t="s">
        <v>21</v>
      </c>
      <c r="E1">
        <f>B3/E7</f>
        <v>274761.68329048844</v>
      </c>
    </row>
    <row r="3" spans="1:7" x14ac:dyDescent="0.25">
      <c r="A3" t="s">
        <v>24</v>
      </c>
      <c r="B3">
        <f>7318.7*1000</f>
        <v>7318700</v>
      </c>
    </row>
    <row r="5" spans="1:7" x14ac:dyDescent="0.25">
      <c r="A5" t="s">
        <v>22</v>
      </c>
      <c r="B5" t="s">
        <v>11</v>
      </c>
      <c r="C5" t="s">
        <v>12</v>
      </c>
      <c r="D5" t="s">
        <v>15</v>
      </c>
      <c r="E5" t="s">
        <v>16</v>
      </c>
      <c r="F5" t="s">
        <v>13</v>
      </c>
      <c r="G5" t="s">
        <v>14</v>
      </c>
    </row>
    <row r="6" spans="1:7" x14ac:dyDescent="0.25">
      <c r="A6" t="s">
        <v>23</v>
      </c>
      <c r="B6">
        <v>238</v>
      </c>
      <c r="C6">
        <f>10.3*1000</f>
        <v>10300</v>
      </c>
      <c r="D6">
        <f>B6/$B$1</f>
        <v>3.2593809915091754E-2</v>
      </c>
      <c r="E6">
        <f>C6/$B$1</f>
        <v>1.4105724459052313</v>
      </c>
      <c r="F6">
        <f>ROUND(D6*$E$1,0)</f>
        <v>8956</v>
      </c>
      <c r="G6">
        <f>ROUND(E6*$E$1/1000/1000,2)</f>
        <v>0.39</v>
      </c>
    </row>
    <row r="7" spans="1:7" x14ac:dyDescent="0.25">
      <c r="A7" t="s">
        <v>25</v>
      </c>
      <c r="B7">
        <v>568</v>
      </c>
      <c r="C7">
        <f>194.5*1000</f>
        <v>194500</v>
      </c>
      <c r="D7">
        <f>B7/$B$1</f>
        <v>7.7786907696521496E-2</v>
      </c>
      <c r="E7">
        <f>C7/$B$1</f>
        <v>26.636537934812381</v>
      </c>
      <c r="F7">
        <f>ROUND(D7*$E$1,0)</f>
        <v>21373</v>
      </c>
      <c r="G7">
        <f>E7*$E$1/1000/1000</f>
        <v>7.3186999999999998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7030A0"/>
  </sheetPr>
  <dimension ref="A1:AG22"/>
  <sheetViews>
    <sheetView topLeftCell="P1" workbookViewId="0">
      <selection activeCell="Z19" sqref="Z19"/>
    </sheetView>
  </sheetViews>
  <sheetFormatPr defaultColWidth="9.140625" defaultRowHeight="15" x14ac:dyDescent="0.25"/>
  <cols>
    <col min="3" max="3" width="9" bestFit="1" customWidth="1"/>
    <col min="8" max="8" width="11.7109375" bestFit="1" customWidth="1"/>
    <col min="10" max="10" width="10.28515625" bestFit="1" customWidth="1"/>
    <col min="14" max="14" width="13" bestFit="1" customWidth="1"/>
    <col min="16" max="16" width="11.140625" bestFit="1" customWidth="1"/>
    <col min="18" max="19" width="14.85546875" bestFit="1" customWidth="1"/>
    <col min="20" max="20" width="11.140625" bestFit="1" customWidth="1"/>
  </cols>
  <sheetData>
    <row r="1" spans="1:33" x14ac:dyDescent="0.25">
      <c r="A1" s="51" t="s">
        <v>126</v>
      </c>
      <c r="B1" s="51"/>
      <c r="C1" s="51"/>
      <c r="D1" s="51"/>
      <c r="E1" s="51" t="s">
        <v>127</v>
      </c>
      <c r="F1" s="51"/>
      <c r="G1" s="51"/>
      <c r="H1" s="51"/>
      <c r="I1" s="51" t="s">
        <v>128</v>
      </c>
      <c r="J1" s="51"/>
      <c r="K1" s="51"/>
      <c r="L1" s="51"/>
      <c r="M1" s="55" t="s">
        <v>34</v>
      </c>
      <c r="N1" s="55"/>
      <c r="O1" s="55"/>
      <c r="P1" s="55"/>
    </row>
    <row r="2" spans="1:33" x14ac:dyDescent="0.25">
      <c r="A2" t="s">
        <v>146</v>
      </c>
      <c r="B2" t="s">
        <v>147</v>
      </c>
      <c r="C2" t="s">
        <v>148</v>
      </c>
      <c r="D2" t="s">
        <v>149</v>
      </c>
      <c r="E2" t="s">
        <v>146</v>
      </c>
      <c r="F2" t="s">
        <v>147</v>
      </c>
      <c r="G2" t="s">
        <v>148</v>
      </c>
      <c r="H2" t="s">
        <v>149</v>
      </c>
      <c r="I2" t="s">
        <v>146</v>
      </c>
      <c r="J2" t="s">
        <v>147</v>
      </c>
      <c r="K2" t="s">
        <v>148</v>
      </c>
      <c r="L2" t="s">
        <v>149</v>
      </c>
      <c r="M2" s="10" t="s">
        <v>146</v>
      </c>
      <c r="N2" s="10" t="s">
        <v>147</v>
      </c>
      <c r="O2" s="10" t="s">
        <v>148</v>
      </c>
      <c r="P2" s="10" t="s">
        <v>149</v>
      </c>
    </row>
    <row r="3" spans="1:33" x14ac:dyDescent="0.25">
      <c r="A3" s="20">
        <f>B3*(R13/1000)</f>
        <v>70.269839999999988</v>
      </c>
      <c r="B3" s="3">
        <v>195194</v>
      </c>
      <c r="C3" s="20">
        <f>D3*(S13/1000)</f>
        <v>20.176000000000002</v>
      </c>
      <c r="D3" s="3">
        <v>80704</v>
      </c>
      <c r="E3" s="20">
        <f>F3*(R14/1000)</f>
        <v>134.28480151059426</v>
      </c>
      <c r="F3" s="3">
        <v>614000</v>
      </c>
      <c r="G3" s="20">
        <f>H3*(S13/1000)</f>
        <v>18.5</v>
      </c>
      <c r="H3" s="3">
        <v>74000</v>
      </c>
      <c r="I3" s="20">
        <f>J3*(R15/1000)</f>
        <v>342.73370525678376</v>
      </c>
      <c r="J3" s="3">
        <v>1197000</v>
      </c>
      <c r="K3" s="20">
        <f>L3*(S15/1000)</f>
        <v>26.522953373995669</v>
      </c>
      <c r="L3" s="3">
        <v>454000</v>
      </c>
      <c r="M3" s="21">
        <f>ROUND(I3+E3+A3, 2)</f>
        <v>547.29</v>
      </c>
      <c r="N3" s="22">
        <f>B3+F3+J3</f>
        <v>2006194</v>
      </c>
      <c r="O3" s="21">
        <f>K3+G3+C3</f>
        <v>65.198953373995664</v>
      </c>
      <c r="P3" s="22">
        <f>D3+H3+L3</f>
        <v>608704</v>
      </c>
    </row>
    <row r="5" spans="1:33" x14ac:dyDescent="0.25">
      <c r="R5" s="56" t="s">
        <v>129</v>
      </c>
      <c r="S5" s="56"/>
      <c r="T5" s="13"/>
    </row>
    <row r="6" spans="1:33" x14ac:dyDescent="0.25">
      <c r="R6" s="9" t="s">
        <v>124</v>
      </c>
      <c r="S6" s="9" t="s">
        <v>125</v>
      </c>
      <c r="T6" s="13"/>
    </row>
    <row r="7" spans="1:33" x14ac:dyDescent="0.25">
      <c r="Q7" t="s">
        <v>126</v>
      </c>
      <c r="R7">
        <f>B3/N3</f>
        <v>9.7295675293615672E-2</v>
      </c>
      <c r="S7">
        <f>D3/P3</f>
        <v>0.13258332457154873</v>
      </c>
      <c r="T7" s="13"/>
    </row>
    <row r="8" spans="1:33" x14ac:dyDescent="0.25">
      <c r="Q8" t="s">
        <v>127</v>
      </c>
      <c r="R8">
        <f>F3/N3</f>
        <v>0.30605215647140804</v>
      </c>
      <c r="S8">
        <f>H3/P3</f>
        <v>0.12156976132898749</v>
      </c>
      <c r="T8" s="13"/>
      <c r="W8" s="9"/>
      <c r="X8" s="56" t="s">
        <v>126</v>
      </c>
      <c r="Y8" s="56"/>
      <c r="Z8" s="9"/>
      <c r="AA8" s="9"/>
      <c r="AB8" s="56" t="s">
        <v>127</v>
      </c>
      <c r="AC8" s="56"/>
      <c r="AD8" s="9"/>
      <c r="AE8" s="9"/>
      <c r="AF8" s="56" t="s">
        <v>128</v>
      </c>
      <c r="AG8" s="56"/>
    </row>
    <row r="9" spans="1:33" x14ac:dyDescent="0.25">
      <c r="Q9" t="s">
        <v>128</v>
      </c>
      <c r="R9">
        <f>J3/N3</f>
        <v>0.59665216823497624</v>
      </c>
      <c r="S9">
        <f>L3/P3</f>
        <v>0.7458469140994638</v>
      </c>
      <c r="T9" s="13"/>
      <c r="X9" t="s">
        <v>160</v>
      </c>
      <c r="Y9" t="s">
        <v>161</v>
      </c>
      <c r="AB9" t="s">
        <v>160</v>
      </c>
      <c r="AC9" t="s">
        <v>161</v>
      </c>
      <c r="AF9" t="s">
        <v>160</v>
      </c>
      <c r="AG9" t="s">
        <v>161</v>
      </c>
    </row>
    <row r="10" spans="1:33" x14ac:dyDescent="0.25">
      <c r="T10" s="13"/>
      <c r="W10" t="s">
        <v>175</v>
      </c>
      <c r="X10">
        <f>B3/(B3+D3)</f>
        <v>0.70748609993548339</v>
      </c>
      <c r="Y10">
        <f>D3/(B3+D3)</f>
        <v>0.29251390006451661</v>
      </c>
      <c r="AB10">
        <f>F3/(F3+H3)</f>
        <v>0.89244186046511631</v>
      </c>
      <c r="AC10">
        <f>H3/(F3+H3)</f>
        <v>0.10755813953488372</v>
      </c>
      <c r="AF10">
        <f>J3/(J3+L3)</f>
        <v>0.72501514233797704</v>
      </c>
      <c r="AG10">
        <f>L3/(J3+L3)</f>
        <v>0.27498485766202302</v>
      </c>
    </row>
    <row r="11" spans="1:33" x14ac:dyDescent="0.25">
      <c r="R11" s="56" t="s">
        <v>150</v>
      </c>
      <c r="S11" s="56"/>
      <c r="T11" s="13"/>
    </row>
    <row r="12" spans="1:33" x14ac:dyDescent="0.25">
      <c r="R12" s="9" t="s">
        <v>124</v>
      </c>
      <c r="S12" s="9" t="s">
        <v>125</v>
      </c>
      <c r="T12" s="13"/>
    </row>
    <row r="13" spans="1:33" x14ac:dyDescent="0.25">
      <c r="Q13" t="s">
        <v>126</v>
      </c>
      <c r="R13">
        <v>0.36</v>
      </c>
      <c r="S13">
        <v>0.25</v>
      </c>
      <c r="T13" s="13"/>
    </row>
    <row r="14" spans="1:33" x14ac:dyDescent="0.25">
      <c r="Q14" t="s">
        <v>127</v>
      </c>
      <c r="R14">
        <v>0.21870488845373656</v>
      </c>
      <c r="S14">
        <v>5.249010364865507E-2</v>
      </c>
      <c r="T14" s="13"/>
    </row>
    <row r="15" spans="1:33" x14ac:dyDescent="0.25">
      <c r="Q15" t="s">
        <v>128</v>
      </c>
      <c r="R15">
        <v>0.28632723914518277</v>
      </c>
      <c r="S15">
        <v>5.8420602145364917E-2</v>
      </c>
      <c r="T15" s="13"/>
    </row>
    <row r="22" spans="8:8" x14ac:dyDescent="0.25">
      <c r="H22" s="20"/>
    </row>
  </sheetData>
  <mergeCells count="9">
    <mergeCell ref="X8:Y8"/>
    <mergeCell ref="AB8:AC8"/>
    <mergeCell ref="AF8:AG8"/>
    <mergeCell ref="R5:S5"/>
    <mergeCell ref="A1:D1"/>
    <mergeCell ref="E1:H1"/>
    <mergeCell ref="I1:L1"/>
    <mergeCell ref="M1:P1"/>
    <mergeCell ref="R11:S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C38"/>
  <sheetViews>
    <sheetView zoomScale="60" zoomScaleNormal="60" workbookViewId="0">
      <selection activeCell="C63" sqref="C63"/>
    </sheetView>
  </sheetViews>
  <sheetFormatPr defaultColWidth="9.140625" defaultRowHeight="15" x14ac:dyDescent="0.25"/>
  <sheetData>
    <row r="1" spans="1:29" x14ac:dyDescent="0.25">
      <c r="A1" s="52" t="s">
        <v>200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</row>
    <row r="2" spans="1:29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spans="1:29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1:29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</row>
    <row r="5" spans="1:29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:29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</row>
    <row r="7" spans="1:29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</row>
    <row r="8" spans="1:29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</row>
    <row r="9" spans="1:29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</row>
    <row r="10" spans="1:29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</row>
    <row r="11" spans="1:29" x14ac:dyDescent="0.2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</row>
    <row r="12" spans="1:29" x14ac:dyDescent="0.2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</row>
    <row r="13" spans="1:29" x14ac:dyDescent="0.2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</row>
    <row r="14" spans="1:29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</row>
    <row r="15" spans="1:29" x14ac:dyDescent="0.2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</row>
    <row r="16" spans="1:29" x14ac:dyDescent="0.2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</row>
    <row r="17" spans="1:29" x14ac:dyDescent="0.2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</row>
    <row r="18" spans="1:29" x14ac:dyDescent="0.2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</row>
    <row r="19" spans="1:29" x14ac:dyDescent="0.2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</row>
    <row r="20" spans="1:29" x14ac:dyDescent="0.2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</row>
    <row r="21" spans="1:29" x14ac:dyDescent="0.2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</row>
    <row r="22" spans="1:29" x14ac:dyDescent="0.2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</row>
    <row r="23" spans="1:29" x14ac:dyDescent="0.2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</row>
    <row r="24" spans="1:29" x14ac:dyDescent="0.2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</row>
    <row r="25" spans="1:29" x14ac:dyDescent="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</row>
    <row r="26" spans="1:29" x14ac:dyDescent="0.2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</row>
    <row r="27" spans="1:29" x14ac:dyDescent="0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</row>
    <row r="28" spans="1:29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</row>
    <row r="29" spans="1:29" x14ac:dyDescent="0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</row>
    <row r="30" spans="1:29" x14ac:dyDescent="0.2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</row>
    <row r="31" spans="1:29" x14ac:dyDescent="0.2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</row>
    <row r="32" spans="1:29" x14ac:dyDescent="0.2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</row>
    <row r="33" spans="1:29" x14ac:dyDescent="0.2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</row>
    <row r="34" spans="1:29" x14ac:dyDescent="0.2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</row>
    <row r="35" spans="1:29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</row>
    <row r="36" spans="1:29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</row>
    <row r="37" spans="1:29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</row>
    <row r="38" spans="1:29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</row>
  </sheetData>
  <mergeCells count="1">
    <mergeCell ref="A1:AC3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7030A0"/>
  </sheetPr>
  <dimension ref="A1:E20"/>
  <sheetViews>
    <sheetView workbookViewId="0">
      <selection activeCell="A12" sqref="A12:E12"/>
    </sheetView>
  </sheetViews>
  <sheetFormatPr defaultColWidth="9.140625" defaultRowHeight="15" x14ac:dyDescent="0.25"/>
  <cols>
    <col min="1" max="1" width="18.5703125" bestFit="1" customWidth="1"/>
    <col min="3" max="3" width="15.28515625" bestFit="1" customWidth="1"/>
    <col min="4" max="4" width="17.85546875" bestFit="1" customWidth="1"/>
    <col min="5" max="5" width="22.42578125" bestFit="1" customWidth="1"/>
  </cols>
  <sheetData>
    <row r="1" spans="1:5" x14ac:dyDescent="0.25">
      <c r="A1" s="9" t="s">
        <v>97</v>
      </c>
      <c r="B1" s="9" t="s">
        <v>130</v>
      </c>
      <c r="C1" s="9" t="s">
        <v>131</v>
      </c>
      <c r="D1" s="9" t="s">
        <v>218</v>
      </c>
      <c r="E1" s="9" t="s">
        <v>132</v>
      </c>
    </row>
    <row r="2" spans="1:5" x14ac:dyDescent="0.25">
      <c r="A2" t="s">
        <v>133</v>
      </c>
      <c r="B2" t="s">
        <v>134</v>
      </c>
      <c r="C2">
        <v>23</v>
      </c>
      <c r="D2">
        <v>62</v>
      </c>
      <c r="E2" s="8">
        <f t="shared" ref="E2:E8" si="0">C2/D2</f>
        <v>0.37096774193548387</v>
      </c>
    </row>
    <row r="3" spans="1:5" x14ac:dyDescent="0.25">
      <c r="A3" t="s">
        <v>135</v>
      </c>
      <c r="B3" t="s">
        <v>136</v>
      </c>
      <c r="C3">
        <v>41</v>
      </c>
      <c r="D3">
        <v>82</v>
      </c>
      <c r="E3" s="8">
        <f t="shared" si="0"/>
        <v>0.5</v>
      </c>
    </row>
    <row r="4" spans="1:5" x14ac:dyDescent="0.25">
      <c r="A4" t="s">
        <v>137</v>
      </c>
      <c r="B4" t="s">
        <v>138</v>
      </c>
      <c r="C4">
        <v>5</v>
      </c>
      <c r="D4">
        <v>9</v>
      </c>
      <c r="E4" s="8">
        <f t="shared" si="0"/>
        <v>0.55555555555555558</v>
      </c>
    </row>
    <row r="5" spans="1:5" x14ac:dyDescent="0.25">
      <c r="A5" t="s">
        <v>139</v>
      </c>
      <c r="B5" t="s">
        <v>140</v>
      </c>
      <c r="C5">
        <v>41</v>
      </c>
      <c r="D5">
        <v>92</v>
      </c>
      <c r="E5" s="8">
        <f t="shared" si="0"/>
        <v>0.44565217391304346</v>
      </c>
    </row>
    <row r="6" spans="1:5" x14ac:dyDescent="0.25">
      <c r="A6" t="s">
        <v>141</v>
      </c>
      <c r="B6" t="s">
        <v>142</v>
      </c>
      <c r="C6">
        <v>43</v>
      </c>
      <c r="D6">
        <v>118</v>
      </c>
      <c r="E6" s="8">
        <f t="shared" si="0"/>
        <v>0.36440677966101692</v>
      </c>
    </row>
    <row r="7" spans="1:5" x14ac:dyDescent="0.25">
      <c r="A7" t="s">
        <v>143</v>
      </c>
      <c r="B7" t="s">
        <v>144</v>
      </c>
      <c r="C7">
        <v>13</v>
      </c>
      <c r="D7">
        <v>36</v>
      </c>
      <c r="E7" s="8">
        <f t="shared" si="0"/>
        <v>0.3611111111111111</v>
      </c>
    </row>
    <row r="8" spans="1:5" x14ac:dyDescent="0.25">
      <c r="A8" s="17" t="s">
        <v>34</v>
      </c>
      <c r="B8" s="18"/>
      <c r="C8" s="17">
        <f>SUM(C2:C7)</f>
        <v>166</v>
      </c>
      <c r="D8" s="17">
        <f>SUM(D2:D7)</f>
        <v>399</v>
      </c>
      <c r="E8" s="19">
        <f t="shared" si="0"/>
        <v>0.41604010025062654</v>
      </c>
    </row>
    <row r="12" spans="1:5" x14ac:dyDescent="0.25">
      <c r="A12" s="9"/>
      <c r="B12" s="9" t="s">
        <v>219</v>
      </c>
      <c r="C12" s="9" t="s">
        <v>220</v>
      </c>
      <c r="D12" s="9" t="s">
        <v>145</v>
      </c>
      <c r="E12" s="9" t="s">
        <v>217</v>
      </c>
    </row>
    <row r="13" spans="1:5" x14ac:dyDescent="0.25">
      <c r="A13" t="s">
        <v>34</v>
      </c>
      <c r="B13" s="20">
        <f>'England landings'!A3</f>
        <v>70.269839999999988</v>
      </c>
      <c r="C13" s="3">
        <f>'England landings'!B3</f>
        <v>195194</v>
      </c>
      <c r="D13" s="20">
        <f>'England landings'!C3</f>
        <v>20.176000000000002</v>
      </c>
      <c r="E13" s="3">
        <f>'England landings'!D3</f>
        <v>80704</v>
      </c>
    </row>
    <row r="14" spans="1:5" x14ac:dyDescent="0.25">
      <c r="A14" t="s">
        <v>133</v>
      </c>
      <c r="B14">
        <f>ROUND($B$13*(D2/$D$8),2)</f>
        <v>10.92</v>
      </c>
      <c r="C14" s="3">
        <f>ROUND($C$13*(D2/$D$8),0)</f>
        <v>30331</v>
      </c>
      <c r="D14">
        <f>ROUND($D$13*(D2/$D$8),2)</f>
        <v>3.14</v>
      </c>
      <c r="E14" s="3">
        <f>ROUND($E$13*(D2/$D$8),0)</f>
        <v>12540</v>
      </c>
    </row>
    <row r="15" spans="1:5" x14ac:dyDescent="0.25">
      <c r="A15" t="s">
        <v>135</v>
      </c>
      <c r="B15">
        <f>ROUND($B$13*(D3/$D$8),2)</f>
        <v>14.44</v>
      </c>
      <c r="C15" s="3">
        <f t="shared" ref="C15:C19" si="1">ROUND($C$13*(D3/$D$8),0)</f>
        <v>40115</v>
      </c>
      <c r="D15">
        <f t="shared" ref="D15:D19" si="2">ROUND($D$13*(D3/$D$8),2)</f>
        <v>4.1500000000000004</v>
      </c>
      <c r="E15" s="3">
        <f t="shared" ref="E15:E19" si="3">ROUND($E$13*(D3/$D$8),0)</f>
        <v>16586</v>
      </c>
    </row>
    <row r="16" spans="1:5" x14ac:dyDescent="0.25">
      <c r="A16" t="s">
        <v>137</v>
      </c>
      <c r="B16">
        <f t="shared" ref="B16:B18" si="4">ROUND($B$13*(D4/$D$8),2)</f>
        <v>1.59</v>
      </c>
      <c r="C16" s="3">
        <f t="shared" si="1"/>
        <v>4403</v>
      </c>
      <c r="D16">
        <f t="shared" si="2"/>
        <v>0.46</v>
      </c>
      <c r="E16" s="3">
        <f t="shared" si="3"/>
        <v>1820</v>
      </c>
    </row>
    <row r="17" spans="1:5" x14ac:dyDescent="0.25">
      <c r="A17" t="s">
        <v>139</v>
      </c>
      <c r="B17">
        <f t="shared" si="4"/>
        <v>16.2</v>
      </c>
      <c r="C17" s="3">
        <f t="shared" si="1"/>
        <v>45007</v>
      </c>
      <c r="D17">
        <f t="shared" si="2"/>
        <v>4.6500000000000004</v>
      </c>
      <c r="E17" s="3">
        <f t="shared" si="3"/>
        <v>18608</v>
      </c>
    </row>
    <row r="18" spans="1:5" x14ac:dyDescent="0.25">
      <c r="A18" t="s">
        <v>141</v>
      </c>
      <c r="B18">
        <f t="shared" si="4"/>
        <v>20.78</v>
      </c>
      <c r="C18" s="3">
        <f t="shared" si="1"/>
        <v>57727</v>
      </c>
      <c r="D18">
        <f t="shared" si="2"/>
        <v>5.97</v>
      </c>
      <c r="E18" s="3">
        <f t="shared" si="3"/>
        <v>23867</v>
      </c>
    </row>
    <row r="19" spans="1:5" x14ac:dyDescent="0.25">
      <c r="A19" t="s">
        <v>143</v>
      </c>
      <c r="B19">
        <f>ROUND($B$13*(D7/$D$8),2)</f>
        <v>6.34</v>
      </c>
      <c r="C19" s="3">
        <f t="shared" si="1"/>
        <v>17611</v>
      </c>
      <c r="D19">
        <f t="shared" si="2"/>
        <v>1.82</v>
      </c>
      <c r="E19" s="3">
        <f t="shared" si="3"/>
        <v>7282</v>
      </c>
    </row>
    <row r="20" spans="1:5" x14ac:dyDescent="0.25">
      <c r="C20" s="3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7030A0"/>
  </sheetPr>
  <dimension ref="A1:H25"/>
  <sheetViews>
    <sheetView workbookViewId="0">
      <selection activeCell="L16" sqref="L16"/>
    </sheetView>
  </sheetViews>
  <sheetFormatPr defaultColWidth="9.140625" defaultRowHeight="15" x14ac:dyDescent="0.25"/>
  <cols>
    <col min="1" max="1" width="11.5703125" bestFit="1" customWidth="1"/>
    <col min="2" max="2" width="11.7109375" bestFit="1" customWidth="1"/>
    <col min="3" max="4" width="15.85546875" bestFit="1" customWidth="1"/>
    <col min="5" max="5" width="10.42578125" bestFit="1" customWidth="1"/>
  </cols>
  <sheetData>
    <row r="1" spans="1:5" x14ac:dyDescent="0.25">
      <c r="A1" s="51" t="s">
        <v>127</v>
      </c>
      <c r="B1" s="51"/>
      <c r="C1" s="51"/>
      <c r="D1" s="51"/>
      <c r="E1" s="16"/>
    </row>
    <row r="2" spans="1:5" x14ac:dyDescent="0.25">
      <c r="A2" t="s">
        <v>151</v>
      </c>
      <c r="B2" t="s">
        <v>155</v>
      </c>
      <c r="C2" t="s">
        <v>156</v>
      </c>
      <c r="D2" t="s">
        <v>158</v>
      </c>
    </row>
    <row r="3" spans="1:5" x14ac:dyDescent="0.25">
      <c r="A3" t="s">
        <v>152</v>
      </c>
      <c r="B3">
        <f>10160+13362+16708+20196</f>
        <v>60426</v>
      </c>
      <c r="C3" s="23">
        <v>0</v>
      </c>
      <c r="D3">
        <f>ROUND(B3*C3,0)</f>
        <v>0</v>
      </c>
    </row>
    <row r="4" spans="1:5" x14ac:dyDescent="0.25">
      <c r="A4" t="s">
        <v>153</v>
      </c>
      <c r="B4">
        <v>29009</v>
      </c>
      <c r="C4" s="23">
        <v>0.185</v>
      </c>
      <c r="D4">
        <f t="shared" ref="D4:D6" si="0">ROUND(B4*C4,0)</f>
        <v>5367</v>
      </c>
    </row>
    <row r="5" spans="1:5" x14ac:dyDescent="0.25">
      <c r="A5" t="s">
        <v>154</v>
      </c>
      <c r="B5">
        <f>11867+11496+18412+3767+3754+5422+3615+7014</f>
        <v>65347</v>
      </c>
      <c r="C5" s="23">
        <v>1.085</v>
      </c>
      <c r="D5">
        <f t="shared" si="0"/>
        <v>70901</v>
      </c>
    </row>
    <row r="6" spans="1:5" x14ac:dyDescent="0.25">
      <c r="A6" t="s">
        <v>177</v>
      </c>
      <c r="B6">
        <f>10501+9707+32851+1217</f>
        <v>54276</v>
      </c>
      <c r="C6" s="23">
        <v>0.188</v>
      </c>
      <c r="D6">
        <f t="shared" si="0"/>
        <v>10204</v>
      </c>
    </row>
    <row r="7" spans="1:5" x14ac:dyDescent="0.25">
      <c r="C7" t="s">
        <v>34</v>
      </c>
      <c r="D7">
        <f>SUM(D3:D6)</f>
        <v>86472</v>
      </c>
    </row>
    <row r="9" spans="1:5" x14ac:dyDescent="0.25">
      <c r="A9" s="51" t="s">
        <v>128</v>
      </c>
      <c r="B9" s="51"/>
      <c r="C9" s="51"/>
      <c r="D9" s="51"/>
      <c r="E9" s="16"/>
    </row>
    <row r="10" spans="1:5" x14ac:dyDescent="0.25">
      <c r="A10" t="s">
        <v>151</v>
      </c>
      <c r="B10" t="s">
        <v>155</v>
      </c>
      <c r="C10" t="s">
        <v>156</v>
      </c>
      <c r="D10" t="s">
        <v>158</v>
      </c>
    </row>
    <row r="11" spans="1:5" x14ac:dyDescent="0.25">
      <c r="A11" t="s">
        <v>152</v>
      </c>
      <c r="B11">
        <f>4550+2427+1740+2548</f>
        <v>11265</v>
      </c>
      <c r="C11">
        <v>0.29199999999999998</v>
      </c>
      <c r="D11">
        <f>ROUND(B11*C11,0)</f>
        <v>3289</v>
      </c>
    </row>
    <row r="12" spans="1:5" x14ac:dyDescent="0.25">
      <c r="A12" t="s">
        <v>153</v>
      </c>
      <c r="B12">
        <f>7394</f>
        <v>7394</v>
      </c>
      <c r="C12">
        <v>2.9550000000000001</v>
      </c>
      <c r="D12">
        <f t="shared" ref="D12:D14" si="1">ROUND(B12*C12,0)</f>
        <v>21849</v>
      </c>
    </row>
    <row r="13" spans="1:5" x14ac:dyDescent="0.25">
      <c r="A13" t="s">
        <v>154</v>
      </c>
      <c r="B13">
        <f>865+28407</f>
        <v>29272</v>
      </c>
      <c r="C13">
        <v>2.6</v>
      </c>
      <c r="D13">
        <f t="shared" si="1"/>
        <v>76107</v>
      </c>
    </row>
    <row r="14" spans="1:5" x14ac:dyDescent="0.25">
      <c r="A14" t="s">
        <v>177</v>
      </c>
      <c r="B14">
        <f>1820+248+3080+58</f>
        <v>5206</v>
      </c>
      <c r="C14">
        <v>1.2130000000000001</v>
      </c>
      <c r="D14">
        <f t="shared" si="1"/>
        <v>6315</v>
      </c>
    </row>
    <row r="15" spans="1:5" x14ac:dyDescent="0.25">
      <c r="C15" t="s">
        <v>34</v>
      </c>
      <c r="D15">
        <f>SUM(D11:D14)</f>
        <v>107560</v>
      </c>
    </row>
    <row r="17" spans="1:8" x14ac:dyDescent="0.25">
      <c r="A17" s="51" t="s">
        <v>127</v>
      </c>
      <c r="B17" s="51"/>
      <c r="C17" s="51"/>
      <c r="D17" s="51"/>
      <c r="E17" s="51" t="s">
        <v>157</v>
      </c>
      <c r="F17" s="51"/>
      <c r="G17" s="51"/>
      <c r="H17" s="51"/>
    </row>
    <row r="18" spans="1:8" x14ac:dyDescent="0.25">
      <c r="A18" t="s">
        <v>146</v>
      </c>
      <c r="B18" t="s">
        <v>147</v>
      </c>
      <c r="C18" t="s">
        <v>159</v>
      </c>
      <c r="D18" t="s">
        <v>149</v>
      </c>
      <c r="E18" t="s">
        <v>146</v>
      </c>
      <c r="F18" t="s">
        <v>147</v>
      </c>
      <c r="G18" t="s">
        <v>159</v>
      </c>
      <c r="H18" t="s">
        <v>149</v>
      </c>
    </row>
    <row r="19" spans="1:8" x14ac:dyDescent="0.25">
      <c r="A19" s="24">
        <f>ROUND(B19*('England landings'!R14/1000),2)</f>
        <v>16.88</v>
      </c>
      <c r="B19">
        <f>ROUND(D7*'England landings'!AB10,0)</f>
        <v>77171</v>
      </c>
      <c r="C19" s="24">
        <f>ROUND(D19*('England landings'!S14/1000),2)</f>
        <v>0.49</v>
      </c>
      <c r="D19">
        <f>ROUND(D7*'England landings'!AC10,0)</f>
        <v>9301</v>
      </c>
      <c r="E19" s="24">
        <f>F19*('England landings'!R15/1000)</f>
        <v>22.32865709025879</v>
      </c>
      <c r="F19">
        <f>ROUND(D15*'England landings'!AF10,0)</f>
        <v>77983</v>
      </c>
      <c r="G19" s="24">
        <f>ROUND(H19*('England landings'!S15/1000),2)</f>
        <v>1.73</v>
      </c>
      <c r="H19">
        <f>ROUND(D15*'England landings'!AG10,0)</f>
        <v>29577</v>
      </c>
    </row>
    <row r="23" spans="1:8" x14ac:dyDescent="0.25">
      <c r="A23" s="51" t="s">
        <v>162</v>
      </c>
      <c r="B23" s="51"/>
      <c r="C23" s="51"/>
      <c r="D23" s="51"/>
    </row>
    <row r="24" spans="1:8" x14ac:dyDescent="0.25">
      <c r="A24" t="s">
        <v>146</v>
      </c>
      <c r="B24" t="s">
        <v>147</v>
      </c>
      <c r="C24" t="s">
        <v>159</v>
      </c>
      <c r="D24" t="s">
        <v>149</v>
      </c>
    </row>
    <row r="25" spans="1:8" x14ac:dyDescent="0.25">
      <c r="A25" s="24">
        <f>A19+E19</f>
        <v>39.208657090258789</v>
      </c>
      <c r="B25" s="24">
        <f>B19+F19</f>
        <v>155154</v>
      </c>
      <c r="C25" s="24">
        <f>C19+G19</f>
        <v>2.2199999999999998</v>
      </c>
      <c r="D25" s="24">
        <f>D19+H19</f>
        <v>38878</v>
      </c>
    </row>
  </sheetData>
  <mergeCells count="5">
    <mergeCell ref="A17:D17"/>
    <mergeCell ref="E17:H17"/>
    <mergeCell ref="A23:D23"/>
    <mergeCell ref="A1:D1"/>
    <mergeCell ref="A9:D9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7030A0"/>
  </sheetPr>
  <dimension ref="A1:E15"/>
  <sheetViews>
    <sheetView workbookViewId="0">
      <selection activeCell="M41" sqref="M41"/>
    </sheetView>
  </sheetViews>
  <sheetFormatPr defaultColWidth="9.140625" defaultRowHeight="15" x14ac:dyDescent="0.25"/>
  <cols>
    <col min="1" max="1" width="9.7109375" bestFit="1" customWidth="1"/>
    <col min="2" max="2" width="16.7109375" bestFit="1" customWidth="1"/>
    <col min="3" max="3" width="11.7109375" bestFit="1" customWidth="1"/>
    <col min="5" max="5" width="10.140625" bestFit="1" customWidth="1"/>
  </cols>
  <sheetData>
    <row r="1" spans="1:5" x14ac:dyDescent="0.25">
      <c r="B1" s="51" t="s">
        <v>163</v>
      </c>
      <c r="C1" s="51"/>
      <c r="D1" s="51"/>
      <c r="E1" s="51"/>
    </row>
    <row r="2" spans="1:5" x14ac:dyDescent="0.25">
      <c r="A2" t="s">
        <v>178</v>
      </c>
      <c r="B2" t="s">
        <v>146</v>
      </c>
      <c r="C2" t="s">
        <v>147</v>
      </c>
      <c r="D2" t="s">
        <v>159</v>
      </c>
      <c r="E2" t="s">
        <v>149</v>
      </c>
    </row>
    <row r="3" spans="1:5" x14ac:dyDescent="0.25">
      <c r="A3" t="s">
        <v>175</v>
      </c>
      <c r="B3" s="24">
        <f>'English private + shore'!A25</f>
        <v>39.208657090258789</v>
      </c>
      <c r="C3">
        <f>'English private + shore'!B25</f>
        <v>155154</v>
      </c>
      <c r="D3">
        <f>'English private + shore'!C25</f>
        <v>2.2199999999999998</v>
      </c>
      <c r="E3">
        <f>'English private + shore'!D25</f>
        <v>38878</v>
      </c>
    </row>
    <row r="4" spans="1:5" s="24" customFormat="1" x14ac:dyDescent="0.25">
      <c r="A4" s="24">
        <v>4</v>
      </c>
      <c r="B4" s="24">
        <f>ROUND(('England landings'!E3+'England landings'!I3)-B3,2)</f>
        <v>437.81</v>
      </c>
      <c r="C4" s="24">
        <f>ROUND(('England landings'!F3+'England landings'!J3)-C3,2)</f>
        <v>1655846</v>
      </c>
      <c r="D4" s="24">
        <f>ROUND(('England landings'!G3+'England landings'!K3)-D3,2)</f>
        <v>42.8</v>
      </c>
      <c r="E4" s="24">
        <f>ROUND(('England landings'!H3+'England landings'!L3)-E3,2)</f>
        <v>489122</v>
      </c>
    </row>
    <row r="6" spans="1:5" x14ac:dyDescent="0.25">
      <c r="B6" s="51" t="s">
        <v>126</v>
      </c>
      <c r="C6" s="51"/>
      <c r="D6" s="51"/>
      <c r="E6" s="51"/>
    </row>
    <row r="7" spans="1:5" x14ac:dyDescent="0.25">
      <c r="A7" t="s">
        <v>178</v>
      </c>
      <c r="B7" t="s">
        <v>146</v>
      </c>
      <c r="C7" t="s">
        <v>147</v>
      </c>
      <c r="D7" t="s">
        <v>159</v>
      </c>
      <c r="E7" t="s">
        <v>149</v>
      </c>
    </row>
    <row r="8" spans="1:5" x14ac:dyDescent="0.25">
      <c r="A8" t="s">
        <v>175</v>
      </c>
      <c r="B8">
        <f>SUM('English charter boat'!B16:B19)</f>
        <v>44.91</v>
      </c>
      <c r="C8">
        <f>SUM('English charter boat'!C16:C19)</f>
        <v>124748</v>
      </c>
      <c r="D8">
        <f>SUM('English charter boat'!D16:D19)</f>
        <v>12.9</v>
      </c>
      <c r="E8">
        <f>SUM('English charter boat'!E16:E19)</f>
        <v>51577</v>
      </c>
    </row>
    <row r="9" spans="1:5" x14ac:dyDescent="0.25">
      <c r="A9">
        <v>4</v>
      </c>
      <c r="B9" s="20">
        <f>'England landings'!A3-B8</f>
        <v>25.359839999999991</v>
      </c>
      <c r="C9" s="20">
        <f>'England landings'!B3-C8</f>
        <v>70446</v>
      </c>
      <c r="D9" s="20">
        <f>'England landings'!C3-D8</f>
        <v>7.2760000000000016</v>
      </c>
      <c r="E9" s="20">
        <f>'England landings'!D3-E8</f>
        <v>29127</v>
      </c>
    </row>
    <row r="11" spans="1:5" x14ac:dyDescent="0.25">
      <c r="B11" s="51" t="s">
        <v>34</v>
      </c>
      <c r="C11" s="51"/>
      <c r="D11" s="51"/>
      <c r="E11" s="51"/>
    </row>
    <row r="12" spans="1:5" x14ac:dyDescent="0.25">
      <c r="A12" t="s">
        <v>178</v>
      </c>
      <c r="B12" t="s">
        <v>146</v>
      </c>
      <c r="C12" t="s">
        <v>147</v>
      </c>
      <c r="D12" t="s">
        <v>159</v>
      </c>
      <c r="E12" t="s">
        <v>149</v>
      </c>
    </row>
    <row r="13" spans="1:5" x14ac:dyDescent="0.25">
      <c r="A13" t="s">
        <v>175</v>
      </c>
      <c r="B13">
        <f>ROUND(B3+B8,2)</f>
        <v>84.12</v>
      </c>
      <c r="C13">
        <f t="shared" ref="C13:E13" si="0">ROUND(C3+C8,2)</f>
        <v>279902</v>
      </c>
      <c r="D13">
        <f t="shared" si="0"/>
        <v>15.12</v>
      </c>
      <c r="E13">
        <f t="shared" si="0"/>
        <v>90455</v>
      </c>
    </row>
    <row r="14" spans="1:5" x14ac:dyDescent="0.25">
      <c r="A14">
        <v>4</v>
      </c>
      <c r="B14" s="20">
        <f>B9+B4</f>
        <v>463.16984000000002</v>
      </c>
      <c r="C14" s="20">
        <f t="shared" ref="C14:E14" si="1">C9+C4</f>
        <v>1726292</v>
      </c>
      <c r="D14" s="20">
        <f>ROUND(D9+D4,2)</f>
        <v>50.08</v>
      </c>
      <c r="E14" s="20">
        <f t="shared" si="1"/>
        <v>518249</v>
      </c>
    </row>
    <row r="15" spans="1:5" x14ac:dyDescent="0.25">
      <c r="B15" s="24"/>
    </row>
  </sheetData>
  <mergeCells count="3">
    <mergeCell ref="B1:E1"/>
    <mergeCell ref="B6:E6"/>
    <mergeCell ref="B11:E1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7030A0"/>
  </sheetPr>
  <dimension ref="A1:K33"/>
  <sheetViews>
    <sheetView workbookViewId="0">
      <selection activeCell="F2" sqref="F2"/>
    </sheetView>
  </sheetViews>
  <sheetFormatPr defaultColWidth="9.140625" defaultRowHeight="15" x14ac:dyDescent="0.25"/>
  <cols>
    <col min="1" max="1" width="22.42578125" customWidth="1"/>
    <col min="2" max="2" width="19.5703125" customWidth="1"/>
    <col min="3" max="3" width="16.28515625" customWidth="1"/>
    <col min="4" max="4" width="11.28515625" customWidth="1"/>
    <col min="5" max="5" width="10.7109375" customWidth="1"/>
  </cols>
  <sheetData>
    <row r="1" spans="1:11" x14ac:dyDescent="0.25">
      <c r="A1" t="s">
        <v>92</v>
      </c>
      <c r="B1">
        <v>2.06E-2</v>
      </c>
      <c r="C1" t="s">
        <v>226</v>
      </c>
      <c r="E1" t="s">
        <v>93</v>
      </c>
      <c r="F1" t="s">
        <v>237</v>
      </c>
    </row>
    <row r="3" spans="1:11" x14ac:dyDescent="0.25">
      <c r="A3" t="s">
        <v>94</v>
      </c>
      <c r="B3" t="s">
        <v>95</v>
      </c>
      <c r="C3" t="s">
        <v>96</v>
      </c>
      <c r="D3" t="s">
        <v>97</v>
      </c>
    </row>
    <row r="4" spans="1:11" x14ac:dyDescent="0.25">
      <c r="A4" s="12" t="s">
        <v>98</v>
      </c>
      <c r="B4">
        <v>12073914</v>
      </c>
      <c r="C4">
        <f>ROUND(B4*$B$1,0)</f>
        <v>248723</v>
      </c>
      <c r="D4" t="s">
        <v>99</v>
      </c>
    </row>
    <row r="5" spans="1:11" x14ac:dyDescent="0.25">
      <c r="A5" s="12" t="s">
        <v>100</v>
      </c>
      <c r="B5">
        <v>7874586</v>
      </c>
      <c r="C5">
        <f t="shared" ref="C5:C22" si="0">ROUND(B5*$B$1,0)</f>
        <v>162216</v>
      </c>
      <c r="D5" t="s">
        <v>99</v>
      </c>
    </row>
    <row r="6" spans="1:11" x14ac:dyDescent="0.25">
      <c r="A6" s="12" t="s">
        <v>101</v>
      </c>
      <c r="B6">
        <v>6006853</v>
      </c>
      <c r="C6">
        <f t="shared" si="0"/>
        <v>123741</v>
      </c>
      <c r="D6" t="s">
        <v>102</v>
      </c>
    </row>
    <row r="7" spans="1:11" x14ac:dyDescent="0.25">
      <c r="A7" s="12" t="s">
        <v>103</v>
      </c>
      <c r="B7">
        <v>5904843</v>
      </c>
      <c r="C7">
        <f t="shared" si="0"/>
        <v>121640</v>
      </c>
      <c r="D7" t="s">
        <v>104</v>
      </c>
    </row>
    <row r="8" spans="1:11" x14ac:dyDescent="0.25">
      <c r="A8" s="12" t="s">
        <v>105</v>
      </c>
      <c r="B8">
        <v>5791865</v>
      </c>
      <c r="C8">
        <f t="shared" si="0"/>
        <v>119312</v>
      </c>
      <c r="D8" t="s">
        <v>106</v>
      </c>
    </row>
    <row r="9" spans="1:11" x14ac:dyDescent="0.25">
      <c r="A9" s="12" t="s">
        <v>107</v>
      </c>
      <c r="B9">
        <v>5560405</v>
      </c>
      <c r="C9">
        <f t="shared" si="0"/>
        <v>114544</v>
      </c>
      <c r="D9" t="s">
        <v>99</v>
      </c>
      <c r="G9" s="13"/>
      <c r="H9" s="13"/>
      <c r="I9" s="13"/>
      <c r="J9" s="13"/>
      <c r="K9" s="13"/>
    </row>
    <row r="10" spans="1:11" x14ac:dyDescent="0.25">
      <c r="A10" s="12" t="s">
        <v>108</v>
      </c>
      <c r="B10">
        <v>4989435</v>
      </c>
      <c r="C10">
        <f t="shared" si="0"/>
        <v>102782</v>
      </c>
      <c r="D10" t="s">
        <v>106</v>
      </c>
      <c r="G10" s="13"/>
      <c r="H10" s="13"/>
      <c r="I10" s="13"/>
      <c r="J10" s="13"/>
      <c r="K10" s="13"/>
    </row>
    <row r="11" spans="1:11" x14ac:dyDescent="0.25">
      <c r="A11" s="12" t="s">
        <v>109</v>
      </c>
      <c r="B11">
        <v>3716068</v>
      </c>
      <c r="C11">
        <f t="shared" si="0"/>
        <v>76551</v>
      </c>
      <c r="D11" t="s">
        <v>104</v>
      </c>
    </row>
    <row r="12" spans="1:11" x14ac:dyDescent="0.25">
      <c r="A12" s="12" t="s">
        <v>110</v>
      </c>
      <c r="B12">
        <v>3334657</v>
      </c>
      <c r="C12">
        <f t="shared" si="0"/>
        <v>68694</v>
      </c>
      <c r="D12" t="s">
        <v>102</v>
      </c>
    </row>
    <row r="13" spans="1:11" x14ac:dyDescent="0.25">
      <c r="A13" s="12" t="s">
        <v>111</v>
      </c>
      <c r="B13">
        <f>3294302/2</f>
        <v>1647151</v>
      </c>
      <c r="C13">
        <f t="shared" si="0"/>
        <v>33931</v>
      </c>
      <c r="D13" t="s">
        <v>102</v>
      </c>
    </row>
    <row r="14" spans="1:11" x14ac:dyDescent="0.25">
      <c r="A14" s="12" t="s">
        <v>112</v>
      </c>
      <c r="B14">
        <f>3294302/2</f>
        <v>1647151</v>
      </c>
      <c r="C14">
        <f t="shared" si="0"/>
        <v>33931</v>
      </c>
      <c r="D14" t="s">
        <v>104</v>
      </c>
    </row>
    <row r="15" spans="1:11" x14ac:dyDescent="0.25">
      <c r="A15" s="12" t="s">
        <v>113</v>
      </c>
      <c r="B15">
        <v>2821042</v>
      </c>
      <c r="C15">
        <f t="shared" si="0"/>
        <v>58113</v>
      </c>
      <c r="D15" t="s">
        <v>99</v>
      </c>
    </row>
    <row r="16" spans="1:11" x14ac:dyDescent="0.25">
      <c r="A16" s="12" t="s">
        <v>114</v>
      </c>
      <c r="B16">
        <v>2582374</v>
      </c>
      <c r="C16">
        <f t="shared" si="0"/>
        <v>53197</v>
      </c>
      <c r="D16" t="s">
        <v>99</v>
      </c>
    </row>
    <row r="17" spans="1:4" x14ac:dyDescent="0.25">
      <c r="A17" s="12" t="s">
        <v>115</v>
      </c>
      <c r="B17">
        <v>843529</v>
      </c>
      <c r="C17">
        <f t="shared" si="0"/>
        <v>17377</v>
      </c>
      <c r="D17" t="s">
        <v>221</v>
      </c>
    </row>
    <row r="18" spans="1:4" x14ac:dyDescent="0.25">
      <c r="A18" s="12" t="s">
        <v>116</v>
      </c>
      <c r="B18">
        <v>400132</v>
      </c>
      <c r="C18">
        <f t="shared" si="0"/>
        <v>8243</v>
      </c>
      <c r="D18" t="s">
        <v>221</v>
      </c>
    </row>
    <row r="19" spans="1:4" x14ac:dyDescent="0.25">
      <c r="A19" s="12" t="s">
        <v>117</v>
      </c>
      <c r="B19">
        <v>378243</v>
      </c>
      <c r="C19">
        <f t="shared" si="0"/>
        <v>7792</v>
      </c>
      <c r="D19" t="s">
        <v>221</v>
      </c>
    </row>
    <row r="20" spans="1:4" x14ac:dyDescent="0.25">
      <c r="A20" s="12" t="s">
        <v>118</v>
      </c>
      <c r="B20">
        <v>326898</v>
      </c>
      <c r="C20">
        <f t="shared" si="0"/>
        <v>6734</v>
      </c>
      <c r="D20" t="s">
        <v>106</v>
      </c>
    </row>
    <row r="21" spans="1:4" x14ac:dyDescent="0.25">
      <c r="A21" s="12" t="s">
        <v>119</v>
      </c>
      <c r="B21">
        <v>254541</v>
      </c>
      <c r="C21">
        <f t="shared" si="0"/>
        <v>5244</v>
      </c>
      <c r="D21" t="s">
        <v>222</v>
      </c>
    </row>
    <row r="22" spans="1:4" x14ac:dyDescent="0.25">
      <c r="A22" s="12" t="s">
        <v>120</v>
      </c>
      <c r="B22">
        <v>226915</v>
      </c>
      <c r="C22">
        <f t="shared" si="0"/>
        <v>4674</v>
      </c>
      <c r="D22" t="s">
        <v>221</v>
      </c>
    </row>
    <row r="26" spans="1:4" x14ac:dyDescent="0.25">
      <c r="A26" s="15" t="s">
        <v>223</v>
      </c>
      <c r="B26" t="s">
        <v>122</v>
      </c>
      <c r="C26" s="15"/>
      <c r="D26" s="15"/>
    </row>
    <row r="27" spans="1:4" x14ac:dyDescent="0.25">
      <c r="A27" s="5" t="s">
        <v>104</v>
      </c>
      <c r="B27" s="14">
        <v>232122</v>
      </c>
    </row>
    <row r="28" spans="1:4" x14ac:dyDescent="0.25">
      <c r="A28" s="5" t="s">
        <v>102</v>
      </c>
      <c r="B28" s="14">
        <v>226366</v>
      </c>
    </row>
    <row r="29" spans="1:4" x14ac:dyDescent="0.25">
      <c r="A29" s="5" t="s">
        <v>99</v>
      </c>
      <c r="B29" s="14">
        <v>636793</v>
      </c>
    </row>
    <row r="30" spans="1:4" x14ac:dyDescent="0.25">
      <c r="A30" s="5" t="s">
        <v>106</v>
      </c>
      <c r="B30" s="14">
        <v>228828</v>
      </c>
    </row>
    <row r="31" spans="1:4" x14ac:dyDescent="0.25">
      <c r="A31" s="5" t="s">
        <v>221</v>
      </c>
      <c r="B31" s="14">
        <v>38086</v>
      </c>
    </row>
    <row r="32" spans="1:4" x14ac:dyDescent="0.25">
      <c r="A32" s="5" t="s">
        <v>222</v>
      </c>
      <c r="B32" s="14">
        <v>5244</v>
      </c>
    </row>
    <row r="33" spans="1:2" x14ac:dyDescent="0.25">
      <c r="A33" s="5" t="s">
        <v>224</v>
      </c>
      <c r="B33" s="14">
        <v>1367439</v>
      </c>
    </row>
  </sheetData>
  <pageMargins left="0.7" right="0.7" top="0.75" bottom="0.75" header="0.3" footer="0.3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7030A0"/>
  </sheetPr>
  <dimension ref="A1:D3"/>
  <sheetViews>
    <sheetView workbookViewId="0">
      <selection activeCell="D3" sqref="D3"/>
    </sheetView>
  </sheetViews>
  <sheetFormatPr defaultColWidth="9.140625" defaultRowHeight="15" x14ac:dyDescent="0.25"/>
  <cols>
    <col min="1" max="1" width="13.42578125" bestFit="1" customWidth="1"/>
    <col min="2" max="2" width="14.28515625" bestFit="1" customWidth="1"/>
    <col min="3" max="3" width="12" bestFit="1" customWidth="1"/>
  </cols>
  <sheetData>
    <row r="1" spans="1:4" x14ac:dyDescent="0.25">
      <c r="A1" s="51" t="s">
        <v>34</v>
      </c>
      <c r="B1" s="51"/>
      <c r="C1" s="51" t="s">
        <v>166</v>
      </c>
      <c r="D1" s="51"/>
    </row>
    <row r="2" spans="1:4" x14ac:dyDescent="0.25">
      <c r="A2" t="s">
        <v>33</v>
      </c>
      <c r="B2" t="s">
        <v>164</v>
      </c>
      <c r="C2" t="s">
        <v>33</v>
      </c>
      <c r="D2" t="s">
        <v>165</v>
      </c>
    </row>
    <row r="3" spans="1:4" x14ac:dyDescent="0.25">
      <c r="A3" s="25">
        <v>3635</v>
      </c>
      <c r="B3">
        <v>791000</v>
      </c>
      <c r="C3">
        <f>ROUND(D3/B3*A3,2)</f>
        <v>2106.96</v>
      </c>
      <c r="D3">
        <f>GETPIVOTDATA("No. of fishers",'France angler population'!$A$26,"Region","Biscay")+GETPIVOTDATA("No. of fishers",'France angler population'!$A$26,"Region","Channel")</f>
        <v>458488</v>
      </c>
    </row>
  </sheetData>
  <mergeCells count="2">
    <mergeCell ref="A1:B1"/>
    <mergeCell ref="C1:D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7030A0"/>
  </sheetPr>
  <dimension ref="A2:H15"/>
  <sheetViews>
    <sheetView workbookViewId="0">
      <selection activeCell="H3" sqref="H3"/>
    </sheetView>
  </sheetViews>
  <sheetFormatPr defaultColWidth="9.140625" defaultRowHeight="15" x14ac:dyDescent="0.25"/>
  <cols>
    <col min="1" max="1" width="30.140625" bestFit="1" customWidth="1"/>
    <col min="6" max="6" width="13.140625" bestFit="1" customWidth="1"/>
    <col min="7" max="7" width="14.42578125" bestFit="1" customWidth="1"/>
    <col min="8" max="8" width="28.7109375" customWidth="1"/>
  </cols>
  <sheetData>
    <row r="2" spans="1:8" x14ac:dyDescent="0.25">
      <c r="A2" t="s">
        <v>181</v>
      </c>
      <c r="B2">
        <v>2015</v>
      </c>
      <c r="C2">
        <v>1573954</v>
      </c>
      <c r="D2">
        <v>989.14</v>
      </c>
      <c r="E2" s="3"/>
      <c r="G2" s="3"/>
      <c r="H2" t="s">
        <v>238</v>
      </c>
    </row>
    <row r="6" spans="1:8" x14ac:dyDescent="0.25">
      <c r="A6" t="s">
        <v>97</v>
      </c>
      <c r="B6" t="s">
        <v>165</v>
      </c>
      <c r="C6" t="s">
        <v>185</v>
      </c>
    </row>
    <row r="7" spans="1:8" x14ac:dyDescent="0.25">
      <c r="A7" t="s">
        <v>182</v>
      </c>
      <c r="B7" s="3">
        <v>179188</v>
      </c>
      <c r="C7" t="s">
        <v>186</v>
      </c>
      <c r="F7" s="15" t="s">
        <v>121</v>
      </c>
      <c r="G7" t="s">
        <v>193</v>
      </c>
    </row>
    <row r="8" spans="1:8" x14ac:dyDescent="0.25">
      <c r="A8" t="s">
        <v>183</v>
      </c>
      <c r="B8" s="3">
        <v>347230</v>
      </c>
      <c r="C8" t="s">
        <v>186</v>
      </c>
      <c r="F8" s="5" t="s">
        <v>188</v>
      </c>
      <c r="G8" s="14">
        <v>868059</v>
      </c>
      <c r="H8">
        <f>GETPIVOTDATA("Anglers",$F$7,"Sea area","3a")/$C$2*$D$2</f>
        <v>545.5253960789197</v>
      </c>
    </row>
    <row r="9" spans="1:8" x14ac:dyDescent="0.25">
      <c r="A9" t="s">
        <v>184</v>
      </c>
      <c r="B9" s="3">
        <v>78717</v>
      </c>
      <c r="C9" t="s">
        <v>186</v>
      </c>
      <c r="F9" s="5" t="s">
        <v>186</v>
      </c>
      <c r="G9" s="14">
        <v>705895</v>
      </c>
      <c r="H9">
        <f>GETPIVOTDATA("Anglers",$F$7,"Sea area","Baltic")/$C$2*$D$2</f>
        <v>443.61460392108029</v>
      </c>
    </row>
    <row r="10" spans="1:8" x14ac:dyDescent="0.25">
      <c r="A10" t="s">
        <v>187</v>
      </c>
      <c r="B10" s="3">
        <v>167208</v>
      </c>
      <c r="C10" t="s">
        <v>188</v>
      </c>
      <c r="F10" s="5" t="s">
        <v>123</v>
      </c>
      <c r="G10" s="14">
        <v>1573954</v>
      </c>
    </row>
    <row r="11" spans="1:8" x14ac:dyDescent="0.25">
      <c r="A11" t="s">
        <v>189</v>
      </c>
      <c r="B11" s="3">
        <v>147194</v>
      </c>
      <c r="C11" t="s">
        <v>188</v>
      </c>
    </row>
    <row r="12" spans="1:8" x14ac:dyDescent="0.25">
      <c r="A12" t="s">
        <v>190</v>
      </c>
      <c r="B12" s="3">
        <v>456045</v>
      </c>
      <c r="C12" t="s">
        <v>188</v>
      </c>
    </row>
    <row r="13" spans="1:8" x14ac:dyDescent="0.25">
      <c r="A13" t="s">
        <v>191</v>
      </c>
      <c r="B13" s="3">
        <v>97612</v>
      </c>
      <c r="C13" t="s">
        <v>188</v>
      </c>
    </row>
    <row r="14" spans="1:8" x14ac:dyDescent="0.25">
      <c r="A14" t="s">
        <v>192</v>
      </c>
      <c r="B14" s="3">
        <v>100760</v>
      </c>
      <c r="C14" t="s">
        <v>186</v>
      </c>
    </row>
    <row r="15" spans="1:8" x14ac:dyDescent="0.25">
      <c r="A15" s="30" t="s">
        <v>34</v>
      </c>
      <c r="B15" s="31">
        <f>SUM(B7:B14)</f>
        <v>1573954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M57"/>
  <sheetViews>
    <sheetView topLeftCell="A4" zoomScale="70" zoomScaleNormal="70" workbookViewId="0">
      <selection activeCell="D45" sqref="D45"/>
    </sheetView>
  </sheetViews>
  <sheetFormatPr defaultColWidth="9.140625" defaultRowHeight="15" x14ac:dyDescent="0.25"/>
  <cols>
    <col min="1" max="1" width="29.28515625" style="33" bestFit="1" customWidth="1"/>
    <col min="2" max="2" width="15.28515625" style="33" bestFit="1" customWidth="1"/>
    <col min="3" max="3" width="18.7109375" style="33" customWidth="1"/>
    <col min="4" max="5" width="16.85546875" style="33" bestFit="1" customWidth="1"/>
    <col min="6" max="6" width="17" style="33" bestFit="1" customWidth="1"/>
    <col min="7" max="7" width="65.140625" style="33" bestFit="1" customWidth="1"/>
    <col min="8" max="8" width="23.140625" style="33" bestFit="1" customWidth="1"/>
    <col min="9" max="9" width="23.28515625" style="33" bestFit="1" customWidth="1"/>
    <col min="10" max="10" width="28.42578125" style="33" bestFit="1" customWidth="1"/>
    <col min="11" max="11" width="20.7109375" style="33" bestFit="1" customWidth="1"/>
    <col min="12" max="12" width="20.85546875" style="33" bestFit="1" customWidth="1"/>
    <col min="13" max="16384" width="9.140625" style="33"/>
  </cols>
  <sheetData>
    <row r="1" spans="1:8" x14ac:dyDescent="0.25">
      <c r="A1" s="33" t="s">
        <v>26</v>
      </c>
      <c r="B1" s="33" t="s">
        <v>32</v>
      </c>
      <c r="C1" s="33" t="s">
        <v>0</v>
      </c>
    </row>
    <row r="2" spans="1:8" x14ac:dyDescent="0.25">
      <c r="A2" s="33" t="s">
        <v>27</v>
      </c>
      <c r="B2" s="33">
        <f>(SUMIFS('Recreational mac-7,8a-e'!D2:D13,'Recreational mac-7,8a-e'!D2:D13,"&lt;&gt;NA",'Recreational mac-7,8a-e'!E2:E13,"&lt;&gt;NA")/SUMIFS('Recreational mac-7,8a-e'!E2:E13,'Recreational mac-7,8a-e'!E2:E13,"&lt;&gt;NA",'Recreational mac-7,8a-e'!D2:D13,"&lt;&gt;NA"))*1000</f>
        <v>0.30053375824395684</v>
      </c>
    </row>
    <row r="3" spans="1:8" x14ac:dyDescent="0.25">
      <c r="A3" s="33" t="s">
        <v>28</v>
      </c>
      <c r="B3" s="33">
        <f>(SUMIFS('Recreational mac-7,8a-e'!F2:F13,'Recreational mac-7,8a-e'!F2:F13,"&lt;&gt;NA",'Recreational mac-7,8a-e'!G2:G13,"&lt;&gt;NA")/SUMIFS('Recreational mac-7,8a-e'!G2:G13,'Recreational mac-7,8a-e'!G2:G13,"&lt;&gt;NA",'Recreational mac-7,8a-e'!F2:F13,"&lt;&gt;NA"))*1000</f>
        <v>0.16715493891990491</v>
      </c>
    </row>
    <row r="4" spans="1:8" x14ac:dyDescent="0.25">
      <c r="A4" s="33" t="s">
        <v>29</v>
      </c>
      <c r="B4" s="33">
        <f>G13/(G13+E13)</f>
        <v>0.24423731696714251</v>
      </c>
    </row>
    <row r="5" spans="1:8" x14ac:dyDescent="0.25">
      <c r="A5" s="33" t="s">
        <v>36</v>
      </c>
      <c r="B5" s="33">
        <f>'Discard rate'!G2</f>
        <v>0.14759311100292113</v>
      </c>
      <c r="C5" s="33" t="str">
        <f>'Discard rate'!H2</f>
        <v>WGWIDE (2017)</v>
      </c>
    </row>
    <row r="6" spans="1:8" x14ac:dyDescent="0.25">
      <c r="A6" s="33" t="s">
        <v>30</v>
      </c>
      <c r="B6" s="33">
        <f>'Discard mortality'!A2</f>
        <v>1</v>
      </c>
      <c r="C6" s="33" t="str">
        <f>'Discard mortality'!B2</f>
        <v>Precautionary value due to lack of data</v>
      </c>
    </row>
    <row r="7" spans="1:8" x14ac:dyDescent="0.25">
      <c r="A7" s="33" t="s">
        <v>31</v>
      </c>
      <c r="B7" s="33">
        <f>'Discard mortality'!C2</f>
        <v>1</v>
      </c>
      <c r="C7" s="33" t="str">
        <f>'Discard mortality'!D2</f>
        <v>Precautionary value due to lack of data</v>
      </c>
    </row>
    <row r="8" spans="1:8" x14ac:dyDescent="0.25">
      <c r="A8" s="47" t="s">
        <v>204</v>
      </c>
      <c r="B8" s="33">
        <v>9701</v>
      </c>
      <c r="C8" s="47" t="s">
        <v>205</v>
      </c>
    </row>
    <row r="10" spans="1:8" x14ac:dyDescent="0.25">
      <c r="A10" s="53" t="s">
        <v>43</v>
      </c>
      <c r="B10" s="53"/>
      <c r="C10" s="53"/>
      <c r="D10" s="53"/>
      <c r="E10" s="53"/>
      <c r="F10" s="53"/>
      <c r="G10" s="53"/>
      <c r="H10" s="53"/>
    </row>
    <row r="11" spans="1:8" x14ac:dyDescent="0.25">
      <c r="A11" s="33" t="s">
        <v>1</v>
      </c>
      <c r="B11" s="33" t="s">
        <v>2</v>
      </c>
      <c r="C11" s="33" t="s">
        <v>44</v>
      </c>
      <c r="D11" s="33" t="s">
        <v>45</v>
      </c>
      <c r="E11" s="33" t="s">
        <v>46</v>
      </c>
      <c r="F11" s="33" t="s">
        <v>47</v>
      </c>
      <c r="G11" s="33" t="s">
        <v>48</v>
      </c>
      <c r="H11" s="33" t="s">
        <v>49</v>
      </c>
    </row>
    <row r="12" spans="1:8" x14ac:dyDescent="0.25">
      <c r="A12" s="33" t="str">
        <f>'Recreational mac-7,8a-e'!A2</f>
        <v>Channel Islands</v>
      </c>
      <c r="B12" s="33" t="str">
        <f>VLOOKUP($A12,'Recreational mac-7,8a-e'!$A$1:$H$7,2,FALSE)</f>
        <v>NA</v>
      </c>
      <c r="C12" s="33">
        <f>VLOOKUP($A12,'Recreational mac-7,8a-e'!$A$1:$H$7,3,FALSE)</f>
        <v>4092.0000000000005</v>
      </c>
      <c r="D12" s="33" t="str">
        <f>VLOOKUP($A12,'Recreational mac-7,8a-e'!$A$1:$H$7,4,FALSE)</f>
        <v>NA</v>
      </c>
      <c r="E12" s="33" t="str">
        <f>VLOOKUP($A12,'Recreational mac-7,8a-e'!$A$1:$H$7,5,FALSE)</f>
        <v>NA</v>
      </c>
      <c r="F12" s="33" t="str">
        <f>VLOOKUP($A12,'Recreational mac-7,8a-e'!$A$1:$H$7,6,FALSE)</f>
        <v>NA</v>
      </c>
      <c r="G12" s="33" t="str">
        <f>VLOOKUP($A12,'Recreational mac-7,8a-e'!$A$1:$H$7,7,FALSE)</f>
        <v>NA</v>
      </c>
      <c r="H12" s="33" t="str">
        <f>VLOOKUP($A12,'Recreational mac-7,8a-e'!$A$1:$H$7,8,FALSE)</f>
        <v>NA</v>
      </c>
    </row>
    <row r="13" spans="1:8" x14ac:dyDescent="0.25">
      <c r="A13" s="33" t="str">
        <f>'Recreational mac-7,8a-e'!A3</f>
        <v>England</v>
      </c>
      <c r="B13" s="33">
        <f>VLOOKUP($A13,'Recreational mac-7,8a-e'!$A$1:$H$7,2,FALSE)</f>
        <v>2012</v>
      </c>
      <c r="C13" s="33">
        <f>VLOOKUP($A13,'Recreational mac-7,8a-e'!$A$1:$H$7,3,FALSE)</f>
        <v>884000</v>
      </c>
      <c r="D13" s="33">
        <f>VLOOKUP($A13,'Recreational mac-7,8a-e'!$A$1:$H$7,4,FALSE)</f>
        <v>84.12</v>
      </c>
      <c r="E13" s="33">
        <f>VLOOKUP($A13,'Recreational mac-7,8a-e'!$A$1:$H$7,5,FALSE)</f>
        <v>279902</v>
      </c>
      <c r="F13" s="33">
        <f>VLOOKUP($A13,'Recreational mac-7,8a-e'!$A$1:$H$7,6,FALSE)</f>
        <v>15.12</v>
      </c>
      <c r="G13" s="33">
        <f>VLOOKUP($A13,'Recreational mac-7,8a-e'!$A$1:$H$7,7,FALSE)</f>
        <v>90455</v>
      </c>
      <c r="H13" s="33" t="str">
        <f>VLOOKUP($A13,'Recreational mac-7,8a-e'!$A$1:$H$7,8,FALSE)</f>
        <v>Armstrong (2013)</v>
      </c>
    </row>
    <row r="14" spans="1:8" x14ac:dyDescent="0.25">
      <c r="A14" s="33" t="str">
        <f>'Recreational mac-7,8a-e'!A4</f>
        <v>France</v>
      </c>
      <c r="B14" s="33" t="str">
        <f>VLOOKUP($A14,'Recreational mac-7,8a-e'!$A$1:$H$7,2,FALSE)</f>
        <v>2009-2011</v>
      </c>
      <c r="C14" s="33">
        <f>VLOOKUP($A14,'Recreational mac-7,8a-e'!$A$1:$H$7,3,FALSE)</f>
        <v>791000</v>
      </c>
      <c r="D14" s="33">
        <f>VLOOKUP($A14,'Recreational mac-7,8a-e'!$A$1:$H$7,4,FALSE)</f>
        <v>2106.96</v>
      </c>
      <c r="E14" s="33" t="str">
        <f>VLOOKUP($A14,'Recreational mac-7,8a-e'!$A$1:$H$7,5,FALSE)</f>
        <v>NA</v>
      </c>
      <c r="F14" s="33" t="str">
        <f>VLOOKUP($A14,'Recreational mac-7,8a-e'!$A$1:$H$7,6,FALSE)</f>
        <v>NA</v>
      </c>
      <c r="G14" s="33" t="str">
        <f>VLOOKUP($A14,'Recreational mac-7,8a-e'!$A$1:$H$7,7,FALSE)</f>
        <v>NA</v>
      </c>
      <c r="H14" s="33" t="str">
        <f>VLOOKUP($A14,'Recreational mac-7,8a-e'!$A$1:$H$7,8,FALSE)</f>
        <v>Herfaut et al. (2013)</v>
      </c>
    </row>
    <row r="15" spans="1:8" x14ac:dyDescent="0.25">
      <c r="A15" s="33" t="str">
        <f>'Recreational mac-7,8a-e'!A5</f>
        <v>Ireland</v>
      </c>
      <c r="B15" s="33" t="str">
        <f>VLOOKUP($A15,'Recreational mac-7,8a-e'!$A$1:$H$7,2,FALSE)</f>
        <v>NA</v>
      </c>
      <c r="C15" s="33">
        <f>VLOOKUP($A15,'Recreational mac-7,8a-e'!$A$1:$H$7,3,FALSE)</f>
        <v>76600</v>
      </c>
      <c r="D15" s="33" t="str">
        <f>VLOOKUP($A15,'Recreational mac-7,8a-e'!$A$1:$H$7,4,FALSE)</f>
        <v>NA</v>
      </c>
      <c r="E15" s="33" t="str">
        <f>VLOOKUP($A15,'Recreational mac-7,8a-e'!$A$1:$H$7,5,FALSE)</f>
        <v>NA</v>
      </c>
      <c r="F15" s="33" t="str">
        <f>VLOOKUP($A15,'Recreational mac-7,8a-e'!$A$1:$H$7,6,FALSE)</f>
        <v>NA</v>
      </c>
      <c r="G15" s="33" t="str">
        <f>VLOOKUP($A15,'Recreational mac-7,8a-e'!$A$1:$H$7,7,FALSE)</f>
        <v>NA</v>
      </c>
      <c r="H15" s="33" t="str">
        <f>VLOOKUP($A15,'Recreational mac-7,8a-e'!$A$1:$H$7,8,FALSE)</f>
        <v>NA</v>
      </c>
    </row>
    <row r="16" spans="1:8" x14ac:dyDescent="0.25">
      <c r="A16" s="33" t="str">
        <f>'Recreational mac-7,8a-e'!A6</f>
        <v>Wales</v>
      </c>
      <c r="B16" s="33" t="str">
        <f>VLOOKUP($A16,'Recreational mac-7,8a-e'!$A$1:$H$7,2,FALSE)</f>
        <v>NA</v>
      </c>
      <c r="C16" s="33">
        <f>VLOOKUP($A16,'Recreational mac-7,8a-e'!$A$1:$H$7,3,FALSE)</f>
        <v>76000</v>
      </c>
      <c r="D16" s="33" t="str">
        <f>VLOOKUP($A16,'Recreational mac-7,8a-e'!$A$1:$H$7,4,FALSE)</f>
        <v>NA</v>
      </c>
      <c r="E16" s="33" t="str">
        <f>VLOOKUP($A16,'Recreational mac-7,8a-e'!$A$1:$H$7,5,FALSE)</f>
        <v>NA</v>
      </c>
      <c r="F16" s="33" t="str">
        <f>VLOOKUP($A16,'Recreational mac-7,8a-e'!$A$1:$H$7,6,FALSE)</f>
        <v>NA</v>
      </c>
      <c r="G16" s="33" t="str">
        <f>VLOOKUP($A16,'Recreational mac-7,8a-e'!$A$1:$H$7,7,FALSE)</f>
        <v>NA</v>
      </c>
      <c r="H16" s="33" t="str">
        <f>VLOOKUP($A16,'Recreational mac-7,8a-e'!$A$1:$H$7,8,FALSE)</f>
        <v>NA</v>
      </c>
    </row>
    <row r="17" spans="1:13" x14ac:dyDescent="0.25">
      <c r="A17" s="33" t="str">
        <f>'Recreational mac-7,8a-e'!A7</f>
        <v>Isle of Man</v>
      </c>
      <c r="B17" s="33" t="str">
        <f>VLOOKUP($A17,'Recreational mac-7,8a-e'!$A$1:$H$7,2,FALSE)</f>
        <v>NA</v>
      </c>
      <c r="C17" s="33">
        <f>VLOOKUP($A17,'Recreational mac-7,8a-e'!$A$1:$H$7,3,FALSE)</f>
        <v>1560</v>
      </c>
      <c r="D17" s="33" t="str">
        <f>VLOOKUP($A17,'Recreational mac-7,8a-e'!$A$1:$H$7,4,FALSE)</f>
        <v>NA</v>
      </c>
      <c r="E17" s="33" t="str">
        <f>VLOOKUP($A17,'Recreational mac-7,8a-e'!$A$1:$H$7,5,FALSE)</f>
        <v>NA</v>
      </c>
      <c r="F17" s="33" t="str">
        <f>VLOOKUP($A17,'Recreational mac-7,8a-e'!$A$1:$H$7,6,FALSE)</f>
        <v>NA</v>
      </c>
      <c r="G17" s="33" t="str">
        <f>VLOOKUP($A17,'Recreational mac-7,8a-e'!$A$1:$H$7,7,FALSE)</f>
        <v>NA</v>
      </c>
      <c r="H17" s="33" t="str">
        <f>VLOOKUP($A17,'Recreational mac-7,8a-e'!$A$1:$H$7,8,FALSE)</f>
        <v>2014 Population from World Bank (World Bank, 2017) * UK participation rate (Hyder et al. 2018)</v>
      </c>
    </row>
    <row r="19" spans="1:13" x14ac:dyDescent="0.25">
      <c r="A19" s="53" t="s">
        <v>50</v>
      </c>
      <c r="B19" s="53"/>
      <c r="C19" s="53"/>
      <c r="D19" s="53"/>
      <c r="E19" s="53"/>
      <c r="F19" s="53"/>
      <c r="G19" s="53"/>
      <c r="H19" s="53"/>
      <c r="I19" s="53"/>
      <c r="J19" s="53" t="s">
        <v>51</v>
      </c>
      <c r="K19" s="53"/>
      <c r="L19" s="53"/>
    </row>
    <row r="20" spans="1:13" x14ac:dyDescent="0.25">
      <c r="A20" s="33" t="s">
        <v>1</v>
      </c>
      <c r="B20" s="33" t="s">
        <v>52</v>
      </c>
      <c r="C20" s="33" t="s">
        <v>45</v>
      </c>
      <c r="D20" s="33" t="s">
        <v>46</v>
      </c>
      <c r="E20" s="33" t="s">
        <v>47</v>
      </c>
      <c r="F20" s="33" t="s">
        <v>48</v>
      </c>
      <c r="G20" s="33" t="s">
        <v>53</v>
      </c>
      <c r="H20" s="33" t="s">
        <v>54</v>
      </c>
      <c r="I20" s="33" t="s">
        <v>55</v>
      </c>
      <c r="J20" s="33" t="s">
        <v>56</v>
      </c>
      <c r="K20" s="33" t="s">
        <v>57</v>
      </c>
      <c r="L20" s="33" t="s">
        <v>58</v>
      </c>
      <c r="M20" s="33" t="s">
        <v>201</v>
      </c>
    </row>
    <row r="21" spans="1:13" x14ac:dyDescent="0.25">
      <c r="A21" s="33" t="str">
        <f>A12</f>
        <v>Channel Islands</v>
      </c>
      <c r="B21" s="33">
        <f>C12</f>
        <v>4092.0000000000005</v>
      </c>
      <c r="C21" s="33">
        <f>ROUND(IF(J21 = "Avg", D21*($B$2/1000), IF(J21 = "None", D12, "Help")),2)</f>
        <v>0.39</v>
      </c>
      <c r="D21" s="34">
        <f>ROUND(IF(K21 = "EN", B21/$C$13*$E$13, IF(K21 = "Avg", C21/($B$2/1000), IF(K21 = "None", E12, "Help"))),0)</f>
        <v>1296</v>
      </c>
      <c r="E21" s="33">
        <f>ROUNDUP(IF(F12 = "NA", F21*($B$3/1000), F12), 2)</f>
        <v>0.08</v>
      </c>
      <c r="F21" s="34">
        <f>ROUND(IF(L21 = "EN", B21/$C$13*$G$13, IF(L21 = "Prop", D21*$B$4, IF(L21 = "None", G12, "Help"))),0)</f>
        <v>419</v>
      </c>
      <c r="H21" s="33" t="str">
        <f>IF(D12 = "NA", "Y", "N")</f>
        <v>Y</v>
      </c>
      <c r="I21" s="33" t="str">
        <f>IF(F12 = "NA", "Y", "N")</f>
        <v>Y</v>
      </c>
      <c r="J21" s="33" t="s">
        <v>61</v>
      </c>
      <c r="K21" s="33" t="s">
        <v>168</v>
      </c>
      <c r="L21" s="33" t="s">
        <v>168</v>
      </c>
      <c r="M21" s="33">
        <v>0</v>
      </c>
    </row>
    <row r="22" spans="1:13" x14ac:dyDescent="0.25">
      <c r="A22" s="33" t="str">
        <f t="shared" ref="A22:A26" si="0">A13</f>
        <v>England</v>
      </c>
      <c r="B22" s="33">
        <f t="shared" ref="B22:B26" si="1">C13</f>
        <v>884000</v>
      </c>
      <c r="C22" s="33">
        <f>ROUND(IF(J22 = "Avg", D22*($B$2/1000), IF(J22 = "None", D13, "Help")),2)</f>
        <v>84.12</v>
      </c>
      <c r="D22" s="34">
        <f t="shared" ref="D22:D23" si="2">ROUND(IF(K22 = "EN", B22/$C$13*$E$13, IF(K22 = "Avg", C22/($B$2/1000), IF(K22 = "None", E13, "Help"))),0)</f>
        <v>279902</v>
      </c>
      <c r="E22" s="33">
        <f t="shared" ref="E22:E23" si="3">ROUNDUP(IF(F13 = "NA", F22*($B$3/1000), F13), 2)</f>
        <v>15.12</v>
      </c>
      <c r="F22" s="34">
        <f t="shared" ref="F22:F23" si="4">ROUND(IF(L22 = "EN", B22/$C$13*$G$13, IF(L22 = "Prop", D22*$B$4, IF(L22 = "None", G13, "Help"))),0)</f>
        <v>90455</v>
      </c>
      <c r="H22" s="33" t="str">
        <f t="shared" ref="H22:H26" si="5">IF(D13 = "NA", "Y", "N")</f>
        <v>N</v>
      </c>
      <c r="I22" s="33" t="str">
        <f t="shared" ref="I22:I26" si="6">IF(F13 = "NA", "Y", "N")</f>
        <v>N</v>
      </c>
      <c r="J22" s="33" t="s">
        <v>75</v>
      </c>
      <c r="K22" s="33" t="s">
        <v>75</v>
      </c>
      <c r="L22" s="33" t="s">
        <v>75</v>
      </c>
      <c r="M22" s="33">
        <v>0</v>
      </c>
    </row>
    <row r="23" spans="1:13" x14ac:dyDescent="0.25">
      <c r="A23" s="33" t="str">
        <f t="shared" si="0"/>
        <v>France</v>
      </c>
      <c r="B23" s="33">
        <f t="shared" si="1"/>
        <v>791000</v>
      </c>
      <c r="C23" s="33">
        <f>ROUND(IF(J23 = "Avg", D23*($B$2/1000), IF(J23 = "None", D14, "Help")),2)</f>
        <v>2106.96</v>
      </c>
      <c r="D23" s="34">
        <f t="shared" si="2"/>
        <v>7010727</v>
      </c>
      <c r="E23" s="33">
        <f t="shared" si="3"/>
        <v>286.21999999999997</v>
      </c>
      <c r="F23" s="34">
        <f t="shared" si="4"/>
        <v>1712281</v>
      </c>
      <c r="H23" s="33" t="str">
        <f t="shared" si="5"/>
        <v>N</v>
      </c>
      <c r="I23" s="33" t="str">
        <f t="shared" si="6"/>
        <v>Y</v>
      </c>
      <c r="J23" s="33" t="s">
        <v>75</v>
      </c>
      <c r="K23" s="33" t="s">
        <v>61</v>
      </c>
      <c r="L23" s="33" t="s">
        <v>167</v>
      </c>
      <c r="M23" s="33">
        <v>1</v>
      </c>
    </row>
    <row r="24" spans="1:13" x14ac:dyDescent="0.25">
      <c r="A24" s="33" t="str">
        <f t="shared" si="0"/>
        <v>Ireland</v>
      </c>
      <c r="B24" s="33">
        <f t="shared" si="1"/>
        <v>76600</v>
      </c>
      <c r="C24" s="35">
        <f>ROUND(IF(J24 = "Avg", D24*($B$2/1000), IF(J24 = "None", D15, "Help")),2)</f>
        <v>7.29</v>
      </c>
      <c r="D24" s="34">
        <f>ROUND(IF(K24 = "EN", B24/$C$13*$E$13, IF(K24 = "Avg", C24/($B$2/1000), IF(K24 = "None", E15, "Help"))),0)</f>
        <v>24254</v>
      </c>
      <c r="E24" s="33">
        <f>ROUNDUP(IF(F15 = "NA", F24*($B$3/1000), F15), 2)</f>
        <v>1.32</v>
      </c>
      <c r="F24" s="34">
        <f>ROUND(IF(L24 = "EN", B24/$C$13*$G$13, IF(L24 = "Prop", D24*$B$4, IF(L24 = "None", G15, "Help"))),0)</f>
        <v>7838</v>
      </c>
      <c r="H24" s="33" t="str">
        <f t="shared" si="5"/>
        <v>Y</v>
      </c>
      <c r="I24" s="33" t="str">
        <f t="shared" si="6"/>
        <v>Y</v>
      </c>
      <c r="J24" s="33" t="s">
        <v>61</v>
      </c>
      <c r="K24" s="33" t="s">
        <v>168</v>
      </c>
      <c r="L24" s="33" t="s">
        <v>168</v>
      </c>
      <c r="M24" s="33">
        <v>0</v>
      </c>
    </row>
    <row r="25" spans="1:13" x14ac:dyDescent="0.25">
      <c r="A25" s="33" t="str">
        <f t="shared" si="0"/>
        <v>Wales</v>
      </c>
      <c r="B25" s="33">
        <f t="shared" si="1"/>
        <v>76000</v>
      </c>
      <c r="C25" s="35">
        <f t="shared" ref="C25:C26" si="7">ROUND(IF(J25 = "Avg", D25*($B$2/1000), IF(J25 = "None", D16, "Help")),2)</f>
        <v>7.23</v>
      </c>
      <c r="D25" s="34">
        <f t="shared" ref="D25:D26" si="8">ROUND(IF(K25 = "EN", B25/$C$13*$E$13, IF(K25 = "Avg", C25/($B$2/1000), IF(K25 = "None", E16, "Help"))),0)</f>
        <v>24064</v>
      </c>
      <c r="E25" s="33">
        <f t="shared" ref="E25:E26" si="9">ROUNDUP(IF(F16 = "NA", F25*($B$3/1000), F16), 2)</f>
        <v>1.3</v>
      </c>
      <c r="F25" s="34">
        <f t="shared" ref="F25:F26" si="10">ROUND(IF(L25 = "EN", B25/$C$13*$G$13, IF(L25 = "Prop", D25*$B$4, IF(L25 = "None", G16, "Help"))),0)</f>
        <v>7777</v>
      </c>
      <c r="H25" s="33" t="str">
        <f t="shared" si="5"/>
        <v>Y</v>
      </c>
      <c r="I25" s="33" t="str">
        <f t="shared" si="6"/>
        <v>Y</v>
      </c>
      <c r="J25" s="33" t="s">
        <v>61</v>
      </c>
      <c r="K25" s="33" t="s">
        <v>168</v>
      </c>
      <c r="L25" s="33" t="s">
        <v>168</v>
      </c>
      <c r="M25" s="33">
        <v>0</v>
      </c>
    </row>
    <row r="26" spans="1:13" x14ac:dyDescent="0.25">
      <c r="A26" s="33" t="str">
        <f t="shared" si="0"/>
        <v>Isle of Man</v>
      </c>
      <c r="B26" s="33">
        <f t="shared" si="1"/>
        <v>1560</v>
      </c>
      <c r="C26" s="35">
        <f t="shared" si="7"/>
        <v>0.15</v>
      </c>
      <c r="D26" s="34">
        <f t="shared" si="8"/>
        <v>494</v>
      </c>
      <c r="E26" s="33">
        <f t="shared" si="9"/>
        <v>0.03</v>
      </c>
      <c r="F26" s="34">
        <f t="shared" si="10"/>
        <v>160</v>
      </c>
      <c r="H26" s="33" t="str">
        <f t="shared" si="5"/>
        <v>Y</v>
      </c>
      <c r="I26" s="33" t="str">
        <f t="shared" si="6"/>
        <v>Y</v>
      </c>
      <c r="J26" s="33" t="s">
        <v>61</v>
      </c>
      <c r="K26" s="33" t="s">
        <v>168</v>
      </c>
      <c r="L26" s="33" t="s">
        <v>168</v>
      </c>
      <c r="M26" s="33">
        <v>0</v>
      </c>
    </row>
    <row r="27" spans="1:13" x14ac:dyDescent="0.25">
      <c r="C27" s="35">
        <f>C23</f>
        <v>2106.96</v>
      </c>
      <c r="D27" s="35"/>
      <c r="E27" s="35">
        <f>SUM(E21:E26)</f>
        <v>304.06999999999994</v>
      </c>
    </row>
    <row r="29" spans="1:13" x14ac:dyDescent="0.25">
      <c r="A29" s="53" t="s">
        <v>63</v>
      </c>
      <c r="B29" s="53"/>
      <c r="C29" s="53"/>
    </row>
    <row r="30" spans="1:13" x14ac:dyDescent="0.25">
      <c r="A30" s="33" t="s">
        <v>45</v>
      </c>
      <c r="B30" s="33" t="s">
        <v>64</v>
      </c>
      <c r="C30" s="33" t="s">
        <v>65</v>
      </c>
    </row>
    <row r="31" spans="1:13" x14ac:dyDescent="0.25">
      <c r="A31" s="36">
        <f>SUMIF(H21:H26,"&lt;&gt;N",C21:C26)/SUM(C21:C26)</f>
        <v>6.8264026761674229E-3</v>
      </c>
      <c r="B31" s="36">
        <f>SUMIF(I21:I26,"&lt;&gt;N",E21:E26)/SUM(E21:E26)</f>
        <v>0.95027460782056761</v>
      </c>
      <c r="C31" s="36">
        <f>(SUMIF(H21:H26,"&lt;&gt;N",C21:C26)+SUMIF(I21:I26,"&lt;&gt;N",E21:E26))/SUM(C21:C26,E21:E26)</f>
        <v>0.12110938925428545</v>
      </c>
    </row>
    <row r="34" spans="1:12" x14ac:dyDescent="0.25">
      <c r="A34" s="53" t="s">
        <v>66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</row>
    <row r="35" spans="1:12" x14ac:dyDescent="0.25">
      <c r="B35" s="53" t="s">
        <v>41</v>
      </c>
      <c r="C35" s="53"/>
      <c r="D35" s="53"/>
      <c r="E35" s="53" t="s">
        <v>42</v>
      </c>
      <c r="F35" s="53"/>
      <c r="G35" s="53"/>
      <c r="H35" s="53" t="s">
        <v>67</v>
      </c>
      <c r="I35" s="53"/>
    </row>
    <row r="36" spans="1:12" x14ac:dyDescent="0.25">
      <c r="A36" s="33" t="s">
        <v>1</v>
      </c>
      <c r="B36" s="33" t="s">
        <v>68</v>
      </c>
      <c r="C36" s="33" t="s">
        <v>69</v>
      </c>
      <c r="D36" s="33" t="s">
        <v>70</v>
      </c>
      <c r="E36" s="33" t="s">
        <v>33</v>
      </c>
      <c r="F36" s="33" t="s">
        <v>71</v>
      </c>
      <c r="G36" s="33" t="s">
        <v>70</v>
      </c>
      <c r="H36" s="33" t="s">
        <v>41</v>
      </c>
      <c r="I36" s="33" t="s">
        <v>42</v>
      </c>
      <c r="J36" s="33" t="s">
        <v>0</v>
      </c>
      <c r="K36" s="33" t="s">
        <v>72</v>
      </c>
      <c r="L36" s="33" t="s">
        <v>202</v>
      </c>
    </row>
    <row r="37" spans="1:12" x14ac:dyDescent="0.25">
      <c r="A37" s="33" t="str">
        <f>A21</f>
        <v>Channel Islands</v>
      </c>
      <c r="B37" s="33">
        <f>C21</f>
        <v>0.39</v>
      </c>
      <c r="C37" s="33">
        <f>E21*$B$6</f>
        <v>0.08</v>
      </c>
      <c r="D37" s="33">
        <f>B37+C37</f>
        <v>0.47000000000000003</v>
      </c>
      <c r="E37" s="33">
        <f>VLOOKUP($A37,'Commercial mac-7,8a-e'!$A$1:$E$20,2, FALSE)</f>
        <v>0.28000000000000003</v>
      </c>
      <c r="F37" s="33">
        <f>ROUND(E37*($B$5*$B$7),2)</f>
        <v>0.04</v>
      </c>
      <c r="G37" s="33">
        <f>E37+F37</f>
        <v>0.32</v>
      </c>
      <c r="H37" s="36">
        <f>D37/K37</f>
        <v>0.59493670886075956</v>
      </c>
      <c r="I37" s="36">
        <f>G37/K37</f>
        <v>0.4050632911392405</v>
      </c>
      <c r="J37" s="33">
        <f>VLOOKUP($A37,'Commercial mac-7,8a-e'!$A$1:$E$20,4, FALSE)</f>
        <v>0</v>
      </c>
      <c r="K37" s="33">
        <f>G37+D37</f>
        <v>0.79</v>
      </c>
      <c r="L37" s="33">
        <f>(D37*M21)</f>
        <v>0</v>
      </c>
    </row>
    <row r="38" spans="1:12" x14ac:dyDescent="0.25">
      <c r="A38" s="33" t="str">
        <f>A22</f>
        <v>England</v>
      </c>
      <c r="B38" s="33">
        <f>C22</f>
        <v>84.12</v>
      </c>
      <c r="C38" s="33">
        <f>E22*$B$6</f>
        <v>15.12</v>
      </c>
      <c r="D38" s="33">
        <f t="shared" ref="D38:D40" si="11">B38+C38</f>
        <v>99.240000000000009</v>
      </c>
      <c r="E38" s="33">
        <f>VLOOKUP($A38,'Commercial mac-7,8a-e'!$A$1:$E$20,2, FALSE)</f>
        <v>1266.67</v>
      </c>
      <c r="F38" s="33">
        <f t="shared" ref="F38:F42" si="12">ROUND(E38*($B$5*$B$7),2)</f>
        <v>186.95</v>
      </c>
      <c r="G38" s="33">
        <f t="shared" ref="G38:G44" si="13">E38+F38</f>
        <v>1453.6200000000001</v>
      </c>
      <c r="H38" s="36">
        <f t="shared" ref="H38:H45" si="14">D38/K38</f>
        <v>6.3907886094045824E-2</v>
      </c>
      <c r="I38" s="36">
        <f t="shared" ref="I38:I45" si="15">G38/K38</f>
        <v>0.93609211390595415</v>
      </c>
      <c r="J38" s="33">
        <f>VLOOKUP($A38,'Commercial mac-7,8a-e'!$A$1:$E$20,4, FALSE)</f>
        <v>0</v>
      </c>
      <c r="K38" s="33">
        <f t="shared" ref="K38:K44" si="16">G38+D38</f>
        <v>1552.8600000000001</v>
      </c>
      <c r="L38" s="33">
        <f t="shared" ref="L38:L42" si="17">(D38*M22)</f>
        <v>0</v>
      </c>
    </row>
    <row r="39" spans="1:12" x14ac:dyDescent="0.25">
      <c r="A39" s="33" t="str">
        <f>A23</f>
        <v>France</v>
      </c>
      <c r="B39" s="33">
        <f>C23</f>
        <v>2106.96</v>
      </c>
      <c r="C39" s="33">
        <f>E23*$B$6</f>
        <v>286.21999999999997</v>
      </c>
      <c r="D39" s="33">
        <f t="shared" si="11"/>
        <v>2393.1799999999998</v>
      </c>
      <c r="E39" s="33">
        <f>VLOOKUP($A39,'Commercial mac-7,8a-e'!$A$1:$E$20,2, FALSE)</f>
        <v>14026</v>
      </c>
      <c r="F39" s="33">
        <f t="shared" si="12"/>
        <v>2070.14</v>
      </c>
      <c r="G39" s="33">
        <f t="shared" si="13"/>
        <v>16096.14</v>
      </c>
      <c r="H39" s="36">
        <f t="shared" si="14"/>
        <v>0.12943580402091584</v>
      </c>
      <c r="I39" s="36">
        <f t="shared" si="15"/>
        <v>0.87056419597908408</v>
      </c>
      <c r="J39" s="33">
        <f>VLOOKUP($A39,'Commercial mac-7,8a-e'!$A$1:$E$20,4, FALSE)</f>
        <v>0</v>
      </c>
      <c r="K39" s="33">
        <f t="shared" si="16"/>
        <v>18489.32</v>
      </c>
      <c r="L39" s="33">
        <f t="shared" si="17"/>
        <v>2393.1799999999998</v>
      </c>
    </row>
    <row r="40" spans="1:12" x14ac:dyDescent="0.25">
      <c r="A40" s="33" t="str">
        <f>A24</f>
        <v>Ireland</v>
      </c>
      <c r="B40" s="33">
        <f>C24</f>
        <v>7.29</v>
      </c>
      <c r="C40" s="33">
        <f>E24*$B$6</f>
        <v>1.32</v>
      </c>
      <c r="D40" s="33">
        <f t="shared" si="11"/>
        <v>8.61</v>
      </c>
      <c r="E40" s="33">
        <f>VLOOKUP($A40,'Commercial mac-7,8a-e'!$A$1:$E$20,2, FALSE)</f>
        <v>13280</v>
      </c>
      <c r="F40" s="33">
        <f t="shared" si="12"/>
        <v>1960.04</v>
      </c>
      <c r="G40" s="33">
        <f t="shared" si="13"/>
        <v>15240.04</v>
      </c>
      <c r="H40" s="36">
        <f t="shared" si="14"/>
        <v>5.6464014847215974E-4</v>
      </c>
      <c r="I40" s="36">
        <f t="shared" si="15"/>
        <v>0.99943535985152776</v>
      </c>
      <c r="J40" s="33">
        <f>VLOOKUP($A40,'Commercial mac-7,8a-e'!$A$1:$E$20,4, FALSE)</f>
        <v>0</v>
      </c>
      <c r="K40" s="33">
        <f t="shared" si="16"/>
        <v>15248.650000000001</v>
      </c>
      <c r="L40" s="33">
        <f t="shared" si="17"/>
        <v>0</v>
      </c>
    </row>
    <row r="41" spans="1:12" x14ac:dyDescent="0.25">
      <c r="A41" s="33" t="str">
        <f t="shared" ref="A41:A42" si="18">A25</f>
        <v>Wales</v>
      </c>
      <c r="B41" s="33">
        <f t="shared" ref="B41:B42" si="19">C25</f>
        <v>7.23</v>
      </c>
      <c r="C41" s="33">
        <f t="shared" ref="C41:C42" si="20">E25*$B$6</f>
        <v>1.3</v>
      </c>
      <c r="D41" s="33">
        <f t="shared" ref="D41:D42" si="21">B41+C41</f>
        <v>8.5300000000000011</v>
      </c>
      <c r="E41" s="33">
        <f>VLOOKUP($A41,'Commercial mac-7,8a-e'!$A$1:$E$20,2, FALSE)</f>
        <v>2.66</v>
      </c>
      <c r="F41" s="33">
        <f t="shared" si="12"/>
        <v>0.39</v>
      </c>
      <c r="G41" s="33">
        <f t="shared" si="13"/>
        <v>3.0500000000000003</v>
      </c>
      <c r="H41" s="36">
        <f t="shared" si="14"/>
        <v>0.73661485319516407</v>
      </c>
      <c r="I41" s="36">
        <f t="shared" si="15"/>
        <v>0.26338514680483588</v>
      </c>
      <c r="J41" s="33">
        <f>VLOOKUP($A41,'Commercial mac-7,8a-e'!$A$1:$E$20,4, FALSE)</f>
        <v>0</v>
      </c>
      <c r="K41" s="33">
        <f t="shared" si="16"/>
        <v>11.580000000000002</v>
      </c>
      <c r="L41" s="33">
        <f t="shared" si="17"/>
        <v>0</v>
      </c>
    </row>
    <row r="42" spans="1:12" x14ac:dyDescent="0.25">
      <c r="A42" s="33" t="str">
        <f t="shared" si="18"/>
        <v>Isle of Man</v>
      </c>
      <c r="B42" s="33">
        <f t="shared" si="19"/>
        <v>0.15</v>
      </c>
      <c r="C42" s="33">
        <f t="shared" si="20"/>
        <v>0.03</v>
      </c>
      <c r="D42" s="33">
        <f t="shared" si="21"/>
        <v>0.18</v>
      </c>
      <c r="E42" s="33">
        <f>VLOOKUP($A42,'Commercial mac-7,8a-e'!$A$1:$E$20,2, FALSE)</f>
        <v>11</v>
      </c>
      <c r="F42" s="33">
        <f t="shared" si="12"/>
        <v>1.62</v>
      </c>
      <c r="G42" s="33">
        <f t="shared" si="13"/>
        <v>12.620000000000001</v>
      </c>
      <c r="H42" s="36">
        <f t="shared" si="14"/>
        <v>1.4062499999999999E-2</v>
      </c>
      <c r="I42" s="36">
        <f t="shared" si="15"/>
        <v>0.98593750000000002</v>
      </c>
      <c r="J42" s="33">
        <f>VLOOKUP($A42,'Commercial mac-7,8a-e'!$A$1:$E$20,4, FALSE)</f>
        <v>0</v>
      </c>
      <c r="K42" s="33">
        <f t="shared" si="16"/>
        <v>12.8</v>
      </c>
      <c r="L42" s="33">
        <f t="shared" si="17"/>
        <v>0</v>
      </c>
    </row>
    <row r="43" spans="1:12" x14ac:dyDescent="0.25">
      <c r="A43" s="37" t="s">
        <v>34</v>
      </c>
      <c r="B43" s="37">
        <f>SUM(B$37:B$42)</f>
        <v>2206.1400000000003</v>
      </c>
      <c r="C43" s="37">
        <f t="shared" ref="C43:G45" si="22">SUM(C$37:C$42)</f>
        <v>304.06999999999994</v>
      </c>
      <c r="D43" s="37">
        <f t="shared" si="22"/>
        <v>2510.21</v>
      </c>
      <c r="E43" s="37">
        <f t="shared" si="22"/>
        <v>28586.61</v>
      </c>
      <c r="F43" s="37">
        <f>SUM(F$37:F$42)</f>
        <v>4219.18</v>
      </c>
      <c r="G43" s="37">
        <f t="shared" si="22"/>
        <v>32805.79</v>
      </c>
      <c r="H43" s="38">
        <f t="shared" si="14"/>
        <v>7.1078547966927169E-2</v>
      </c>
      <c r="I43" s="38">
        <f t="shared" si="15"/>
        <v>0.92892145203307286</v>
      </c>
      <c r="J43" s="37" t="s">
        <v>74</v>
      </c>
      <c r="K43" s="37">
        <f>G43+D43</f>
        <v>35316</v>
      </c>
      <c r="L43" s="33">
        <f>SUM(L37:L42)/D43</f>
        <v>0.95337840260376616</v>
      </c>
    </row>
    <row r="44" spans="1:12" x14ac:dyDescent="0.25">
      <c r="A44" s="39" t="s">
        <v>173</v>
      </c>
      <c r="B44" s="39">
        <f>SUM(B$37:B$42)</f>
        <v>2206.1400000000003</v>
      </c>
      <c r="C44" s="39">
        <f t="shared" si="22"/>
        <v>304.06999999999994</v>
      </c>
      <c r="D44" s="39">
        <f t="shared" si="22"/>
        <v>2510.21</v>
      </c>
      <c r="E44" s="39">
        <f>VLOOKUP($A44,'Commercial mac-7,8a-e'!$A$1:$E$20,2, FALSE)</f>
        <v>67567.61</v>
      </c>
      <c r="F44" s="39">
        <f>ROUND(E44*($B$5*$B$7),2)</f>
        <v>9972.51</v>
      </c>
      <c r="G44" s="39">
        <f t="shared" si="13"/>
        <v>77540.12</v>
      </c>
      <c r="H44" s="40">
        <f t="shared" si="14"/>
        <v>3.1357896963073104E-2</v>
      </c>
      <c r="I44" s="41">
        <f t="shared" si="15"/>
        <v>0.96864210303692677</v>
      </c>
      <c r="J44" s="39" t="e">
        <f>VLOOKUP($A44,'Commercial mac-7,8a-e'!$A$1:$E$17,4, FALSE)</f>
        <v>#N/A</v>
      </c>
      <c r="K44" s="39">
        <f t="shared" si="16"/>
        <v>80050.33</v>
      </c>
    </row>
    <row r="45" spans="1:12" x14ac:dyDescent="0.25">
      <c r="A45" s="42" t="s">
        <v>174</v>
      </c>
      <c r="B45" s="42">
        <f>SUM(B$37:B$42)</f>
        <v>2206.1400000000003</v>
      </c>
      <c r="C45" s="42">
        <f t="shared" si="22"/>
        <v>304.06999999999994</v>
      </c>
      <c r="D45" s="42">
        <f t="shared" si="22"/>
        <v>2510.21</v>
      </c>
      <c r="E45" s="42">
        <f>VLOOKUP($A45,'Commercial mac-7,8a-e'!$A$1:$E$20,2, FALSE)</f>
        <v>65728</v>
      </c>
      <c r="F45" s="42">
        <f>B8*$B$7</f>
        <v>9701</v>
      </c>
      <c r="G45" s="42">
        <f>E45+F45</f>
        <v>75429</v>
      </c>
      <c r="H45" s="43">
        <f t="shared" si="14"/>
        <v>3.2207280520292675E-2</v>
      </c>
      <c r="I45" s="43">
        <f t="shared" si="15"/>
        <v>0.96779271947970724</v>
      </c>
      <c r="J45" s="42" t="e">
        <f>VLOOKUP($A45,'Commercial mac-7,8a-e'!$A$1:$E$17,4, FALSE)</f>
        <v>#N/A</v>
      </c>
      <c r="K45" s="42">
        <f>G45+D45</f>
        <v>77939.210000000006</v>
      </c>
    </row>
    <row r="49" spans="1:11" x14ac:dyDescent="0.25">
      <c r="A49" s="54" t="s">
        <v>208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</row>
    <row r="50" spans="1:11" x14ac:dyDescent="0.25">
      <c r="A50" s="48" t="s">
        <v>1</v>
      </c>
      <c r="B50" s="48" t="s">
        <v>52</v>
      </c>
      <c r="C50" s="48" t="s">
        <v>45</v>
      </c>
      <c r="D50" s="48" t="s">
        <v>46</v>
      </c>
      <c r="E50" s="48" t="s">
        <v>47</v>
      </c>
      <c r="F50" s="48" t="s">
        <v>48</v>
      </c>
      <c r="G50" s="48" t="s">
        <v>209</v>
      </c>
      <c r="H50" s="48" t="s">
        <v>70</v>
      </c>
      <c r="I50" s="48"/>
      <c r="J50" s="48"/>
      <c r="K50" s="48"/>
    </row>
    <row r="51" spans="1:11" x14ac:dyDescent="0.25">
      <c r="A51" s="33" t="str">
        <f>A21</f>
        <v>Channel Islands</v>
      </c>
      <c r="B51" s="33">
        <f t="shared" ref="B51:F51" si="23">B21</f>
        <v>4092.0000000000005</v>
      </c>
      <c r="C51" s="33">
        <f t="shared" si="23"/>
        <v>0.39</v>
      </c>
      <c r="D51" s="33">
        <f t="shared" si="23"/>
        <v>1296</v>
      </c>
      <c r="E51" s="33">
        <f t="shared" si="23"/>
        <v>0.08</v>
      </c>
      <c r="F51" s="33">
        <f t="shared" si="23"/>
        <v>419</v>
      </c>
      <c r="G51" s="47">
        <f>E51*$B$6</f>
        <v>0.08</v>
      </c>
      <c r="H51" s="47">
        <f>C51+G51</f>
        <v>0.47000000000000003</v>
      </c>
    </row>
    <row r="52" spans="1:11" x14ac:dyDescent="0.25">
      <c r="A52" s="47" t="s">
        <v>210</v>
      </c>
      <c r="B52" s="33">
        <f t="shared" ref="A52:F56" si="24">B22</f>
        <v>884000</v>
      </c>
      <c r="C52" s="33">
        <f>B52/C14*D14</f>
        <v>2354.6809608091025</v>
      </c>
      <c r="D52" s="33">
        <f>C52/(B2/1000)</f>
        <v>7834996.5560198445</v>
      </c>
      <c r="E52" s="33">
        <f>F52*(B3/1000)</f>
        <v>319.86744661777703</v>
      </c>
      <c r="F52" s="33">
        <f>D52*B4</f>
        <v>1913598.5372890888</v>
      </c>
      <c r="G52" s="47">
        <f t="shared" ref="G52:G56" si="25">E52*$B$6</f>
        <v>319.86744661777703</v>
      </c>
      <c r="H52" s="47">
        <f t="shared" ref="H52:H56" si="26">C52+G52</f>
        <v>2674.5484074268797</v>
      </c>
    </row>
    <row r="53" spans="1:11" x14ac:dyDescent="0.25">
      <c r="A53" s="47" t="s">
        <v>211</v>
      </c>
      <c r="B53" s="33">
        <f t="shared" si="24"/>
        <v>791000</v>
      </c>
      <c r="C53" s="33">
        <f>D53*(B2/1000)</f>
        <v>75.270271493212675</v>
      </c>
      <c r="D53" s="33">
        <f>B53/B22*D22</f>
        <v>250455.2963800905</v>
      </c>
      <c r="E53" s="33">
        <f>F53*(B3/1000)</f>
        <v>13.529321266968326</v>
      </c>
      <c r="F53" s="33">
        <f>B53/B22*F22</f>
        <v>80938.806561085978</v>
      </c>
      <c r="G53" s="47">
        <f t="shared" si="25"/>
        <v>13.529321266968326</v>
      </c>
      <c r="H53" s="47">
        <f t="shared" si="26"/>
        <v>88.799592760181</v>
      </c>
    </row>
    <row r="54" spans="1:11" x14ac:dyDescent="0.25">
      <c r="A54" s="33" t="str">
        <f t="shared" si="24"/>
        <v>Ireland</v>
      </c>
      <c r="B54" s="33">
        <f t="shared" si="24"/>
        <v>76600</v>
      </c>
      <c r="C54" s="33">
        <f t="shared" si="24"/>
        <v>7.29</v>
      </c>
      <c r="D54" s="33">
        <f t="shared" si="24"/>
        <v>24254</v>
      </c>
      <c r="E54" s="33">
        <f t="shared" si="24"/>
        <v>1.32</v>
      </c>
      <c r="F54" s="33">
        <f t="shared" si="24"/>
        <v>7838</v>
      </c>
      <c r="G54" s="47">
        <f t="shared" si="25"/>
        <v>1.32</v>
      </c>
      <c r="H54" s="47">
        <f t="shared" si="26"/>
        <v>8.61</v>
      </c>
    </row>
    <row r="55" spans="1:11" x14ac:dyDescent="0.25">
      <c r="A55" s="33" t="str">
        <f t="shared" si="24"/>
        <v>Wales</v>
      </c>
      <c r="B55" s="33">
        <f t="shared" si="24"/>
        <v>76000</v>
      </c>
      <c r="C55" s="33">
        <f t="shared" si="24"/>
        <v>7.23</v>
      </c>
      <c r="D55" s="33">
        <f t="shared" si="24"/>
        <v>24064</v>
      </c>
      <c r="E55" s="33">
        <f t="shared" si="24"/>
        <v>1.3</v>
      </c>
      <c r="F55" s="33">
        <f t="shared" si="24"/>
        <v>7777</v>
      </c>
      <c r="G55" s="47">
        <f t="shared" si="25"/>
        <v>1.3</v>
      </c>
      <c r="H55" s="47">
        <f t="shared" si="26"/>
        <v>8.5300000000000011</v>
      </c>
    </row>
    <row r="56" spans="1:11" x14ac:dyDescent="0.25">
      <c r="A56" s="33" t="str">
        <f t="shared" si="24"/>
        <v>Isle of Man</v>
      </c>
      <c r="B56" s="33">
        <f t="shared" si="24"/>
        <v>1560</v>
      </c>
      <c r="C56" s="33">
        <f t="shared" si="24"/>
        <v>0.15</v>
      </c>
      <c r="D56" s="33">
        <f t="shared" si="24"/>
        <v>494</v>
      </c>
      <c r="E56" s="33">
        <f t="shared" si="24"/>
        <v>0.03</v>
      </c>
      <c r="F56" s="33">
        <f t="shared" si="24"/>
        <v>160</v>
      </c>
      <c r="G56" s="47">
        <f t="shared" si="25"/>
        <v>0.03</v>
      </c>
      <c r="H56" s="47">
        <f t="shared" si="26"/>
        <v>0.18</v>
      </c>
      <c r="I56" s="47" t="s">
        <v>212</v>
      </c>
      <c r="J56" s="47" t="s">
        <v>213</v>
      </c>
      <c r="K56" s="47" t="s">
        <v>214</v>
      </c>
    </row>
    <row r="57" spans="1:11" x14ac:dyDescent="0.25">
      <c r="G57" s="47" t="s">
        <v>216</v>
      </c>
      <c r="H57" s="47">
        <f>SUM(H51:H56)</f>
        <v>2781.1380001870607</v>
      </c>
      <c r="I57" s="47">
        <v>3494.2123200000001</v>
      </c>
      <c r="J57" s="47">
        <v>1526.20768</v>
      </c>
      <c r="K57" s="48" t="str">
        <f>IF((AND(H57&lt;=I57,H57&gt;=J57)),"Good","Bad")</f>
        <v>Good</v>
      </c>
    </row>
  </sheetData>
  <sortState ref="A2:A6">
    <sortCondition ref="A2"/>
  </sortState>
  <mergeCells count="9">
    <mergeCell ref="A10:H10"/>
    <mergeCell ref="A19:I19"/>
    <mergeCell ref="A49:K49"/>
    <mergeCell ref="J19:L19"/>
    <mergeCell ref="A29:C29"/>
    <mergeCell ref="A34:L34"/>
    <mergeCell ref="B35:D35"/>
    <mergeCell ref="E35:G35"/>
    <mergeCell ref="H35:I35"/>
  </mergeCells>
  <conditionalFormatting sqref="K57">
    <cfRule type="cellIs" dxfId="3" priority="1" operator="equal">
      <formula>"Bad"</formula>
    </cfRule>
    <cfRule type="cellIs" dxfId="2" priority="2" operator="equal">
      <formula>"Good"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M64"/>
  <sheetViews>
    <sheetView tabSelected="1" zoomScale="55" zoomScaleNormal="55" workbookViewId="0">
      <selection activeCell="F6" sqref="F6"/>
    </sheetView>
  </sheetViews>
  <sheetFormatPr defaultColWidth="9.140625" defaultRowHeight="15" x14ac:dyDescent="0.25"/>
  <cols>
    <col min="1" max="1" width="29.28515625" bestFit="1" customWidth="1"/>
    <col min="2" max="2" width="15.28515625" bestFit="1" customWidth="1"/>
    <col min="3" max="3" width="16.85546875" customWidth="1"/>
    <col min="4" max="5" width="16.85546875" bestFit="1" customWidth="1"/>
    <col min="6" max="6" width="17" bestFit="1" customWidth="1"/>
    <col min="7" max="7" width="42.42578125" bestFit="1" customWidth="1"/>
    <col min="8" max="8" width="31.42578125" bestFit="1" customWidth="1"/>
    <col min="9" max="9" width="23.28515625" bestFit="1" customWidth="1"/>
    <col min="10" max="10" width="18.140625" bestFit="1" customWidth="1"/>
    <col min="11" max="11" width="20.7109375" bestFit="1" customWidth="1"/>
    <col min="12" max="12" width="20.85546875" bestFit="1" customWidth="1"/>
  </cols>
  <sheetData>
    <row r="1" spans="1:8" x14ac:dyDescent="0.25">
      <c r="A1" t="s">
        <v>26</v>
      </c>
      <c r="B1" t="s">
        <v>32</v>
      </c>
      <c r="C1" t="s">
        <v>0</v>
      </c>
    </row>
    <row r="2" spans="1:8" x14ac:dyDescent="0.25">
      <c r="A2" t="s">
        <v>27</v>
      </c>
      <c r="B2">
        <f>(SUMIFS('Recreational mac-3&amp;4'!D2:D13,'Recreational mac-3&amp;4'!D2:D13,"&lt;&gt;NA",'Recreational mac-3&amp;4'!E2:E13,"&lt;&gt;NA")/SUMIFS('Recreational mac-3&amp;4'!E2:E13,'Recreational mac-3&amp;4'!E2:E13,"&lt;&gt;NA",'Recreational mac-3&amp;4'!D2:D13,"&lt;&gt;NA"))*1000</f>
        <v>0.36547603258219685</v>
      </c>
    </row>
    <row r="3" spans="1:8" x14ac:dyDescent="0.25">
      <c r="A3" t="s">
        <v>28</v>
      </c>
      <c r="B3">
        <f>(SUMIFS('Recreational mac-3&amp;4'!F2:F13,'Recreational mac-3&amp;4'!F2:F13,"&lt;&gt;NA",'Recreational mac-3&amp;4'!G2:G13,"&lt;&gt;NA")/SUMIFS('Recreational mac-3&amp;4'!G2:G13,'Recreational mac-3&amp;4'!G2:G13,"&lt;&gt;NA",'Recreational mac-3&amp;4'!F2:F13,"&lt;&gt;NA"))*1000</f>
        <v>0.20629441975106044</v>
      </c>
    </row>
    <row r="4" spans="1:8" x14ac:dyDescent="0.25">
      <c r="A4" t="s">
        <v>29</v>
      </c>
      <c r="B4">
        <f>(G14+G16)/(G14+G16+E14+E16)</f>
        <v>0.14321501788701455</v>
      </c>
    </row>
    <row r="5" spans="1:8" x14ac:dyDescent="0.25">
      <c r="A5" t="s">
        <v>36</v>
      </c>
      <c r="B5">
        <f>'Discard rate'!E2</f>
        <v>4.9862637362637361E-3</v>
      </c>
      <c r="C5" t="str">
        <f>'Discard rate'!F2</f>
        <v>WGWIDE (2017)</v>
      </c>
    </row>
    <row r="6" spans="1:8" x14ac:dyDescent="0.25">
      <c r="A6" t="s">
        <v>30</v>
      </c>
      <c r="B6">
        <f>'Discard mortality'!A2</f>
        <v>1</v>
      </c>
      <c r="C6" t="str">
        <f>'Discard mortality'!B2</f>
        <v>Precautionary value due to lack of data</v>
      </c>
    </row>
    <row r="7" spans="1:8" x14ac:dyDescent="0.25">
      <c r="A7" t="s">
        <v>31</v>
      </c>
      <c r="B7">
        <v>0.83499999999999996</v>
      </c>
      <c r="C7" t="str">
        <f>'Discard mortality'!D2</f>
        <v>Precautionary value due to lack of data</v>
      </c>
      <c r="H7">
        <f>'Discard mortality'!C2</f>
        <v>1</v>
      </c>
    </row>
    <row r="8" spans="1:8" x14ac:dyDescent="0.25">
      <c r="A8" t="s">
        <v>206</v>
      </c>
      <c r="B8">
        <v>1089</v>
      </c>
    </row>
    <row r="10" spans="1:8" x14ac:dyDescent="0.25">
      <c r="A10" s="51" t="s">
        <v>43</v>
      </c>
      <c r="B10" s="51"/>
      <c r="C10" s="51"/>
      <c r="D10" s="51"/>
      <c r="E10" s="51"/>
      <c r="F10" s="51"/>
      <c r="G10" s="51"/>
      <c r="H10" s="51"/>
    </row>
    <row r="11" spans="1:8" x14ac:dyDescent="0.25">
      <c r="A11" t="s">
        <v>1</v>
      </c>
      <c r="B11" t="s">
        <v>2</v>
      </c>
      <c r="C11" t="s">
        <v>44</v>
      </c>
      <c r="D11" t="s">
        <v>45</v>
      </c>
      <c r="E11" t="s">
        <v>46</v>
      </c>
      <c r="F11" t="s">
        <v>47</v>
      </c>
      <c r="G11" t="s">
        <v>48</v>
      </c>
      <c r="H11" t="s">
        <v>49</v>
      </c>
    </row>
    <row r="12" spans="1:8" x14ac:dyDescent="0.25">
      <c r="A12" t="str">
        <f>'Recreational mac-3&amp;4'!A2</f>
        <v>Belgium</v>
      </c>
      <c r="B12" t="str">
        <f>VLOOKUP($A12,'Recreational mac-3&amp;4'!$A$1:$H$100,2,FALSE)</f>
        <v>NA</v>
      </c>
      <c r="C12">
        <f>VLOOKUP($A12,'Recreational mac-3&amp;4'!$A$1:$H$100,3,FALSE)</f>
        <v>24409</v>
      </c>
      <c r="D12" t="str">
        <f>VLOOKUP($A12,'Recreational mac-3&amp;4'!$A$1:$H$100,4,FALSE)</f>
        <v>NA</v>
      </c>
      <c r="E12" t="str">
        <f>VLOOKUP($A12,'Recreational mac-3&amp;4'!$A$1:$H$100,5,FALSE)</f>
        <v>NA</v>
      </c>
      <c r="F12" t="str">
        <f>VLOOKUP($A12,'Recreational mac-3&amp;4'!$A$1:$H$100,6,FALSE)</f>
        <v>NA</v>
      </c>
      <c r="G12" t="str">
        <f>VLOOKUP($A12,'Recreational mac-3&amp;4'!$A$1:$H$100,7,FALSE)</f>
        <v>NA</v>
      </c>
      <c r="H12" t="str">
        <f>VLOOKUP($A12,'Recreational mac-3&amp;4'!$A$1:$H$100,8,FALSE)</f>
        <v>NA</v>
      </c>
    </row>
    <row r="13" spans="1:8" x14ac:dyDescent="0.25">
      <c r="A13" t="str">
        <f>'Recreational mac-3&amp;4'!A3</f>
        <v>Denmark</v>
      </c>
      <c r="B13" t="str">
        <f>VLOOKUP($A13,'Recreational mac-3&amp;4'!$A$1:$H$100,2,FALSE)</f>
        <v>NA</v>
      </c>
      <c r="C13">
        <f>VLOOKUP($A13,'Recreational mac-3&amp;4'!$A$1:$H$100,3,FALSE)</f>
        <v>386000</v>
      </c>
      <c r="D13" t="str">
        <f>VLOOKUP($A13,'Recreational mac-3&amp;4'!$A$1:$H$100,4,FALSE)</f>
        <v>NA</v>
      </c>
      <c r="E13" t="str">
        <f>VLOOKUP($A13,'Recreational mac-3&amp;4'!$A$1:$H$100,5,FALSE)</f>
        <v>NA</v>
      </c>
      <c r="F13" t="str">
        <f>VLOOKUP($A13,'Recreational mac-3&amp;4'!$A$1:$H$100,6,FALSE)</f>
        <v>NA</v>
      </c>
      <c r="G13" t="str">
        <f>VLOOKUP($A13,'Recreational mac-3&amp;4'!$A$1:$H$100,7,FALSE)</f>
        <v>NA</v>
      </c>
      <c r="H13" t="str">
        <f>VLOOKUP($A13,'Recreational mac-3&amp;4'!$A$1:$H$100,8,FALSE)</f>
        <v>NA</v>
      </c>
    </row>
    <row r="14" spans="1:8" x14ac:dyDescent="0.25">
      <c r="A14" t="str">
        <f>'Recreational mac-3&amp;4'!A4</f>
        <v>England</v>
      </c>
      <c r="B14">
        <f>VLOOKUP($A14,'Recreational mac-3&amp;4'!$A$1:$H$100,2,FALSE)</f>
        <v>2012</v>
      </c>
      <c r="C14">
        <f>VLOOKUP($A14,'Recreational mac-3&amp;4'!$A$1:$H$100,3,FALSE)</f>
        <v>884000</v>
      </c>
      <c r="D14">
        <f>VLOOKUP($A14,'Recreational mac-3&amp;4'!$A$1:$H$100,4,FALSE)</f>
        <v>463.16984000000002</v>
      </c>
      <c r="E14">
        <f>VLOOKUP($A14,'Recreational mac-3&amp;4'!$A$1:$H$100,5,FALSE)</f>
        <v>1726292</v>
      </c>
      <c r="F14">
        <f>VLOOKUP($A14,'Recreational mac-3&amp;4'!$A$1:$H$100,6,FALSE)</f>
        <v>50.08</v>
      </c>
      <c r="G14">
        <f>VLOOKUP($A14,'Recreational mac-3&amp;4'!$A$1:$H$100,7,FALSE)</f>
        <v>518249</v>
      </c>
      <c r="H14" t="str">
        <f>VLOOKUP($A14,'Recreational mac-3&amp;4'!$A$1:$H$100,8,FALSE)</f>
        <v>Armstrong (2013)</v>
      </c>
    </row>
    <row r="15" spans="1:8" x14ac:dyDescent="0.25">
      <c r="A15" t="str">
        <f>'Recreational mac-3&amp;4'!A5</f>
        <v>Germany</v>
      </c>
      <c r="B15" t="str">
        <f>VLOOKUP($A15,'Recreational mac-3&amp;4'!$A$1:$H$100,2,FALSE)</f>
        <v>NA</v>
      </c>
      <c r="C15">
        <f>VLOOKUP($A15,'Recreational mac-3&amp;4'!$A$1:$H$100,3,FALSE)</f>
        <v>32000</v>
      </c>
      <c r="D15" t="str">
        <f>VLOOKUP($A15,'Recreational mac-3&amp;4'!$A$1:$H$100,4,FALSE)</f>
        <v>NA</v>
      </c>
      <c r="E15" t="str">
        <f>VLOOKUP($A15,'Recreational mac-3&amp;4'!$A$1:$H$100,5,FALSE)</f>
        <v>NA</v>
      </c>
      <c r="F15" t="str">
        <f>VLOOKUP($A15,'Recreational mac-3&amp;4'!$A$1:$H$100,6,FALSE)</f>
        <v>NA</v>
      </c>
      <c r="G15" t="str">
        <f>VLOOKUP($A15,'Recreational mac-3&amp;4'!$A$1:$H$100,7,FALSE)</f>
        <v>NA</v>
      </c>
      <c r="H15" t="str">
        <f>VLOOKUP($A15,'Recreational mac-3&amp;4'!$A$1:$H$100,8,FALSE)</f>
        <v>NA</v>
      </c>
    </row>
    <row r="16" spans="1:8" x14ac:dyDescent="0.25">
      <c r="A16" t="str">
        <f>'Recreational mac-3&amp;4'!A6</f>
        <v>Netherlands</v>
      </c>
      <c r="B16" t="str">
        <f>VLOOKUP($A16,'Recreational mac-3&amp;4'!$A$1:$H$100,2,FALSE)</f>
        <v>2010-2011</v>
      </c>
      <c r="C16">
        <f>VLOOKUP($A16,'Recreational mac-3&amp;4'!$A$1:$H$100,3,FALSE)</f>
        <v>504108</v>
      </c>
      <c r="D16">
        <f>VLOOKUP($A16,'Recreational mac-3&amp;4'!$A$1:$H$100,4,FALSE)</f>
        <v>1564</v>
      </c>
      <c r="E16">
        <f>VLOOKUP($A16,'Recreational mac-3&amp;4'!$A$1:$H$100,5,FALSE)</f>
        <v>3815000</v>
      </c>
      <c r="F16">
        <f>VLOOKUP($A16,'Recreational mac-3&amp;4'!$A$1:$H$100,6,FALSE)</f>
        <v>141</v>
      </c>
      <c r="G16">
        <f>VLOOKUP($A16,'Recreational mac-3&amp;4'!$A$1:$H$100,7,FALSE)</f>
        <v>408000</v>
      </c>
      <c r="H16" t="str">
        <f>VLOOKUP($A16,'Recreational mac-3&amp;4'!$A$1:$H$100,8,FALSE)</f>
        <v>van der Hammen &amp; de Graaf (2013, 2015, 2016)</v>
      </c>
    </row>
    <row r="17" spans="1:13" x14ac:dyDescent="0.25">
      <c r="A17" t="str">
        <f>'Recreational mac-3&amp;4'!A7</f>
        <v>Norway</v>
      </c>
      <c r="B17" t="str">
        <f>VLOOKUP($A17,'Recreational mac-3&amp;4'!$A$1:$H$100,2,FALSE)</f>
        <v>NA</v>
      </c>
      <c r="C17">
        <f>VLOOKUP($A17,'Recreational mac-3&amp;4'!$A$1:$H$100,3,FALSE)</f>
        <v>1285163</v>
      </c>
      <c r="D17" t="str">
        <f>VLOOKUP($A17,'Recreational mac-3&amp;4'!$A$1:$H$100,4,FALSE)</f>
        <v>NA</v>
      </c>
      <c r="E17" t="str">
        <f>VLOOKUP($A17,'Recreational mac-3&amp;4'!$A$1:$H$100,5,FALSE)</f>
        <v>NA</v>
      </c>
      <c r="F17" t="str">
        <f>VLOOKUP($A17,'Recreational mac-3&amp;4'!$A$1:$H$100,6,FALSE)</f>
        <v>NA</v>
      </c>
      <c r="G17" t="str">
        <f>VLOOKUP($A17,'Recreational mac-3&amp;4'!$A$1:$H$100,7,FALSE)</f>
        <v>NA</v>
      </c>
      <c r="H17" t="str">
        <f>VLOOKUP($A17,'Recreational mac-3&amp;4'!$A$1:$H$100,8,FALSE)</f>
        <v>NA</v>
      </c>
    </row>
    <row r="18" spans="1:13" x14ac:dyDescent="0.25">
      <c r="A18" t="str">
        <f>'Recreational mac-3&amp;4'!A8</f>
        <v>Scotland</v>
      </c>
      <c r="B18" t="str">
        <f>VLOOKUP($A18,'Recreational mac-3&amp;4'!$A$1:$H$100,2,FALSE)</f>
        <v>NA</v>
      </c>
      <c r="C18">
        <f>VLOOKUP($A18,'Recreational mac-3&amp;4'!$A$1:$H$100,3,FALSE)</f>
        <v>125188</v>
      </c>
      <c r="D18" t="str">
        <f>VLOOKUP($A18,'Recreational mac-3&amp;4'!$A$1:$H$100,4,FALSE)</f>
        <v>NA</v>
      </c>
      <c r="E18" t="str">
        <f>VLOOKUP($A18,'Recreational mac-3&amp;4'!$A$1:$H$100,5,FALSE)</f>
        <v>NA</v>
      </c>
      <c r="F18" t="str">
        <f>VLOOKUP($A18,'Recreational mac-3&amp;4'!$A$1:$H$100,6,FALSE)</f>
        <v>NA</v>
      </c>
      <c r="G18" t="str">
        <f>VLOOKUP($A18,'Recreational mac-3&amp;4'!$A$1:$H$100,7,FALSE)</f>
        <v>NA</v>
      </c>
      <c r="H18" t="str">
        <f>VLOOKUP($A18,'Recreational mac-3&amp;4'!$A$1:$H$100,8,FALSE)</f>
        <v>NA</v>
      </c>
    </row>
    <row r="19" spans="1:13" x14ac:dyDescent="0.25">
      <c r="A19" t="str">
        <f>'Recreational mac-3&amp;4'!A9</f>
        <v>Sweden</v>
      </c>
      <c r="B19">
        <f>VLOOKUP($A19,'Recreational mac-3&amp;4'!$A$1:$H$100,2,FALSE)</f>
        <v>2015</v>
      </c>
      <c r="C19">
        <f>VLOOKUP($A19,'Recreational mac-3&amp;4'!$A$1:$H$100,3,FALSE)</f>
        <v>565634</v>
      </c>
      <c r="D19">
        <f>VLOOKUP($A19,'Recreational mac-3&amp;4'!$A$1:$H$100,4,FALSE)</f>
        <v>545.53</v>
      </c>
      <c r="E19" t="str">
        <f>VLOOKUP($A19,'Recreational mac-3&amp;4'!$A$1:$H$100,5,FALSE)</f>
        <v>NA</v>
      </c>
      <c r="F19" t="str">
        <f>VLOOKUP($A19,'Recreational mac-3&amp;4'!$A$1:$H$100,6,FALSE)</f>
        <v>NA</v>
      </c>
      <c r="G19" t="str">
        <f>VLOOKUP($A19,'Recreational mac-3&amp;4'!$A$1:$H$100,7,FALSE)</f>
        <v>NA</v>
      </c>
      <c r="H19" t="str">
        <f>VLOOKUP($A19,'Recreational mac-3&amp;4'!$A$1:$H$100,8,FALSE)</f>
        <v>Carlstrand (2015)</v>
      </c>
    </row>
    <row r="20" spans="1:13" x14ac:dyDescent="0.25">
      <c r="A20" t="s">
        <v>198</v>
      </c>
      <c r="B20">
        <f>VLOOKUP($A20,'Recreational mac-3&amp;4'!$A$1:$H$100,2,FALSE)</f>
        <v>2011</v>
      </c>
      <c r="C20" t="str">
        <f>VLOOKUP($A20,'Recreational mac-3&amp;4'!$A$1:$H$100,3,FALSE)</f>
        <v>NA</v>
      </c>
      <c r="D20">
        <f>VLOOKUP($A20,'Recreational mac-3&amp;4'!$A$1:$H$100,4,FALSE)</f>
        <v>54.4</v>
      </c>
      <c r="E20">
        <f>VLOOKUP($A20,'Recreational mac-3&amp;4'!$A$1:$H$100,5,FALSE)</f>
        <v>154211</v>
      </c>
      <c r="F20" t="str">
        <f>VLOOKUP($A20,'Recreational mac-3&amp;4'!$A$1:$H$100,6,FALSE)</f>
        <v>NA</v>
      </c>
      <c r="G20" t="str">
        <f>VLOOKUP($A20,'Recreational mac-3&amp;4'!$A$1:$H$100,7,FALSE)</f>
        <v>NA</v>
      </c>
      <c r="H20" t="str">
        <f>VLOOKUP($A20,'Recreational mac-3&amp;4'!$A$1:$H$100,8,FALSE)</f>
        <v>Vølstad et al. (2011)</v>
      </c>
    </row>
    <row r="22" spans="1:13" x14ac:dyDescent="0.25">
      <c r="A22" s="51" t="s">
        <v>50</v>
      </c>
      <c r="B22" s="51"/>
      <c r="C22" s="51"/>
      <c r="D22" s="51"/>
      <c r="E22" s="51"/>
      <c r="F22" s="51"/>
      <c r="G22" s="51"/>
      <c r="H22" s="51"/>
      <c r="I22" s="51"/>
      <c r="J22" s="51" t="s">
        <v>51</v>
      </c>
      <c r="K22" s="51"/>
      <c r="L22" s="51"/>
    </row>
    <row r="23" spans="1:13" x14ac:dyDescent="0.25">
      <c r="A23" t="s">
        <v>1</v>
      </c>
      <c r="B23" t="s">
        <v>52</v>
      </c>
      <c r="C23" t="s">
        <v>45</v>
      </c>
      <c r="D23" t="s">
        <v>46</v>
      </c>
      <c r="E23" t="s">
        <v>47</v>
      </c>
      <c r="F23" t="s">
        <v>48</v>
      </c>
      <c r="G23" t="s">
        <v>53</v>
      </c>
      <c r="H23" t="s">
        <v>54</v>
      </c>
      <c r="I23" t="s">
        <v>55</v>
      </c>
      <c r="J23" t="s">
        <v>56</v>
      </c>
      <c r="K23" t="s">
        <v>57</v>
      </c>
      <c r="L23" t="s">
        <v>58</v>
      </c>
      <c r="M23" t="s">
        <v>201</v>
      </c>
    </row>
    <row r="24" spans="1:13" x14ac:dyDescent="0.25">
      <c r="A24" t="str">
        <f>A12</f>
        <v>Belgium</v>
      </c>
      <c r="B24">
        <f>C12</f>
        <v>24409</v>
      </c>
      <c r="C24">
        <f>ROUND(IF(J24 = "Avg", D24*($B$2/1000), IF(J24 = "SE", B24/$C$19*$D$19, IF(J24 = "SE + Tour", (B24/$C$19*$D$19)+$D$20, IF(J24 = "None", D12, "Help")))),2)</f>
        <v>67.510000000000005</v>
      </c>
      <c r="D24">
        <f>ROUND(IF(K24 = "NL", B24/$C$16*$E$16, IF(K24 = "Avg", C24/($B$2/1000),IF(K24 = "EN", B24/$C$14*$E$14, IF(K24 = "None", E12, "Help")))),0)</f>
        <v>184723</v>
      </c>
      <c r="E24">
        <f>ROUND(IF(F12 = "NA", F24*$B$3/1000, F12),2)</f>
        <v>4.08</v>
      </c>
      <c r="F24">
        <f>ROUND(IF(L24 = "NL", B24/$C$16*$G$16, IF(L24 = "Prop", D24*$B$4, IF(L24 = "EN", B24/$C$14*$G$14, IF(L24 = "None", G12, "Help")))),0)</f>
        <v>19755</v>
      </c>
      <c r="H24" t="str">
        <f>IF(D12 = "NA", "Y","N")</f>
        <v>Y</v>
      </c>
      <c r="I24" t="str">
        <f>IF(F12 = "NA", "Y","N")</f>
        <v>Y</v>
      </c>
      <c r="J24" t="s">
        <v>61</v>
      </c>
      <c r="K24" t="s">
        <v>197</v>
      </c>
      <c r="L24" t="s">
        <v>197</v>
      </c>
      <c r="M24">
        <v>0</v>
      </c>
    </row>
    <row r="25" spans="1:13" x14ac:dyDescent="0.25">
      <c r="A25" t="str">
        <f t="shared" ref="A25:A31" si="0">A13</f>
        <v>Denmark</v>
      </c>
      <c r="B25">
        <f t="shared" ref="B25:B31" si="1">C13</f>
        <v>386000</v>
      </c>
      <c r="C25">
        <f>ROUND(IF(J25 = "Avg", D25*($B$2/1000), IF(J25 = "SE", B25/$C$19*$D$19, IF(J25 = "SE + Tour", (B25/$C$19*$D$19)+$D$20, IF(J25 = "None", D13, "Help")))),2)</f>
        <v>372.28</v>
      </c>
      <c r="D25">
        <f t="shared" ref="D25:D31" si="2">ROUND(IF(K25 = "NL", B25/$C$16*$E$16, IF(K25 = "Avg", C25/($B$2/1000),IF(K25 = "EN", B25/$C$14*$E$14, IF(K25 = "None", E13, "Help")))),0)</f>
        <v>1018617</v>
      </c>
      <c r="E25">
        <f t="shared" ref="E25:E31" si="3">ROUND(IF(F13 = "NA", F25*$B$3/1000, F13),2)</f>
        <v>30.09</v>
      </c>
      <c r="F25">
        <f t="shared" ref="F25:F31" si="4">ROUND(IF(L25 = "NL", B25/$C$16*$G$16, IF(L25 = "Prop", D25*$B$4, IF(L25 = "EN", B25/$C$14*$G$14, IF(L25 = "None", G13, "Help")))),0)</f>
        <v>145881</v>
      </c>
      <c r="H25" t="str">
        <f t="shared" ref="H25:H31" si="5">IF(D13 = "NA", "Y","N")</f>
        <v>Y</v>
      </c>
      <c r="I25" t="str">
        <f t="shared" ref="I25:I31" si="6">IF(F13 = "NA", "Y","N")</f>
        <v>Y</v>
      </c>
      <c r="J25" t="s">
        <v>199</v>
      </c>
      <c r="K25" t="s">
        <v>61</v>
      </c>
      <c r="L25" t="s">
        <v>167</v>
      </c>
      <c r="M25">
        <v>1</v>
      </c>
    </row>
    <row r="26" spans="1:13" x14ac:dyDescent="0.25">
      <c r="A26" t="str">
        <f t="shared" si="0"/>
        <v>England</v>
      </c>
      <c r="B26">
        <f t="shared" si="1"/>
        <v>884000</v>
      </c>
      <c r="C26">
        <f t="shared" ref="C26:C31" si="7">ROUND(IF(J26 = "Avg", D26*($B$2/1000), IF(J26 = "SE", B26/$C$19*$D$19, IF(J26 = "SE + Tour", (B26/$C$19*$D$19)+$D$20, IF(J26 = "None", D14, "Help")))),2)</f>
        <v>463.17</v>
      </c>
      <c r="D26">
        <f t="shared" si="2"/>
        <v>1726292</v>
      </c>
      <c r="E26">
        <f t="shared" si="3"/>
        <v>50.08</v>
      </c>
      <c r="F26">
        <f t="shared" si="4"/>
        <v>518249</v>
      </c>
      <c r="H26" t="str">
        <f t="shared" si="5"/>
        <v>N</v>
      </c>
      <c r="I26" t="str">
        <f t="shared" si="6"/>
        <v>N</v>
      </c>
      <c r="J26" t="s">
        <v>75</v>
      </c>
      <c r="K26" t="s">
        <v>75</v>
      </c>
      <c r="L26" t="s">
        <v>75</v>
      </c>
      <c r="M26">
        <v>0</v>
      </c>
    </row>
    <row r="27" spans="1:13" x14ac:dyDescent="0.25">
      <c r="A27" t="str">
        <f t="shared" si="0"/>
        <v>Germany</v>
      </c>
      <c r="B27">
        <f t="shared" si="1"/>
        <v>32000</v>
      </c>
      <c r="C27">
        <f t="shared" si="7"/>
        <v>88.51</v>
      </c>
      <c r="D27">
        <f>ROUND(IF(K27 = "NL", B27/$C$16*$E$16, IF(K27 = "Avg", C27/($B$2/1000),IF(K27 = "EN", B27/$C$14*$E$14, IF(K27 = "None", E15, "Help")))),0)</f>
        <v>242170</v>
      </c>
      <c r="E27">
        <f t="shared" si="3"/>
        <v>5.34</v>
      </c>
      <c r="F27">
        <f t="shared" si="4"/>
        <v>25899</v>
      </c>
      <c r="H27" t="str">
        <f t="shared" si="5"/>
        <v>Y</v>
      </c>
      <c r="I27" t="str">
        <f t="shared" si="6"/>
        <v>Y</v>
      </c>
      <c r="J27" t="s">
        <v>61</v>
      </c>
      <c r="K27" t="s">
        <v>197</v>
      </c>
      <c r="L27" t="s">
        <v>197</v>
      </c>
      <c r="M27">
        <v>0</v>
      </c>
    </row>
    <row r="28" spans="1:13" x14ac:dyDescent="0.25">
      <c r="A28" t="str">
        <f t="shared" si="0"/>
        <v>Netherlands</v>
      </c>
      <c r="B28">
        <f t="shared" si="1"/>
        <v>504108</v>
      </c>
      <c r="C28">
        <f t="shared" si="7"/>
        <v>1564</v>
      </c>
      <c r="D28">
        <f t="shared" si="2"/>
        <v>3815000</v>
      </c>
      <c r="E28">
        <f t="shared" si="3"/>
        <v>141</v>
      </c>
      <c r="F28">
        <f t="shared" si="4"/>
        <v>408000</v>
      </c>
      <c r="H28" t="str">
        <f t="shared" si="5"/>
        <v>N</v>
      </c>
      <c r="I28" t="str">
        <f t="shared" si="6"/>
        <v>N</v>
      </c>
      <c r="J28" t="s">
        <v>75</v>
      </c>
      <c r="K28" t="s">
        <v>75</v>
      </c>
      <c r="L28" t="s">
        <v>75</v>
      </c>
      <c r="M28">
        <v>0</v>
      </c>
    </row>
    <row r="29" spans="1:13" x14ac:dyDescent="0.25">
      <c r="A29" s="32" t="str">
        <f t="shared" si="0"/>
        <v>Norway</v>
      </c>
      <c r="B29" s="32">
        <f t="shared" si="1"/>
        <v>1285163</v>
      </c>
      <c r="C29" s="32">
        <f t="shared" si="7"/>
        <v>1239.49</v>
      </c>
      <c r="D29" s="32">
        <f t="shared" si="2"/>
        <v>3391440</v>
      </c>
      <c r="E29" s="32">
        <f t="shared" si="3"/>
        <v>100.2</v>
      </c>
      <c r="F29" s="32">
        <f t="shared" si="4"/>
        <v>485705</v>
      </c>
      <c r="G29" s="32" t="s">
        <v>203</v>
      </c>
      <c r="H29" s="32" t="str">
        <f t="shared" si="5"/>
        <v>Y</v>
      </c>
      <c r="I29" s="32" t="str">
        <f t="shared" si="6"/>
        <v>Y</v>
      </c>
      <c r="J29" s="32" t="s">
        <v>199</v>
      </c>
      <c r="K29" s="32" t="s">
        <v>61</v>
      </c>
      <c r="L29" s="32" t="s">
        <v>167</v>
      </c>
      <c r="M29">
        <v>1</v>
      </c>
    </row>
    <row r="30" spans="1:13" x14ac:dyDescent="0.25">
      <c r="A30" t="str">
        <f t="shared" si="0"/>
        <v>Scotland</v>
      </c>
      <c r="B30">
        <f t="shared" si="1"/>
        <v>125188</v>
      </c>
      <c r="C30">
        <f t="shared" si="7"/>
        <v>89.35</v>
      </c>
      <c r="D30">
        <f t="shared" si="2"/>
        <v>244470</v>
      </c>
      <c r="E30">
        <f t="shared" si="3"/>
        <v>15.14</v>
      </c>
      <c r="F30">
        <f t="shared" si="4"/>
        <v>73392</v>
      </c>
      <c r="H30" t="str">
        <f t="shared" si="5"/>
        <v>Y</v>
      </c>
      <c r="I30" t="str">
        <f t="shared" si="6"/>
        <v>Y</v>
      </c>
      <c r="J30" t="s">
        <v>61</v>
      </c>
      <c r="K30" t="s">
        <v>168</v>
      </c>
      <c r="L30" t="s">
        <v>168</v>
      </c>
      <c r="M30">
        <v>0</v>
      </c>
    </row>
    <row r="31" spans="1:13" x14ac:dyDescent="0.25">
      <c r="A31" t="str">
        <f t="shared" si="0"/>
        <v>Sweden</v>
      </c>
      <c r="B31">
        <f t="shared" si="1"/>
        <v>565634</v>
      </c>
      <c r="C31">
        <f t="shared" si="7"/>
        <v>545.53</v>
      </c>
      <c r="D31">
        <f t="shared" si="2"/>
        <v>1492656</v>
      </c>
      <c r="E31">
        <f t="shared" si="3"/>
        <v>44.1</v>
      </c>
      <c r="F31">
        <f t="shared" si="4"/>
        <v>213771</v>
      </c>
      <c r="H31" t="str">
        <f t="shared" si="5"/>
        <v>N</v>
      </c>
      <c r="I31" t="str">
        <f t="shared" si="6"/>
        <v>Y</v>
      </c>
      <c r="J31" t="s">
        <v>75</v>
      </c>
      <c r="K31" t="s">
        <v>61</v>
      </c>
      <c r="L31" t="s">
        <v>167</v>
      </c>
      <c r="M31">
        <v>1</v>
      </c>
    </row>
    <row r="32" spans="1:13" x14ac:dyDescent="0.25">
      <c r="C32">
        <f>C26+C30</f>
        <v>552.52</v>
      </c>
      <c r="E32">
        <f t="shared" ref="E32" si="8">E26+E30</f>
        <v>65.22</v>
      </c>
    </row>
    <row r="34" spans="1:12" x14ac:dyDescent="0.25">
      <c r="A34" s="51" t="s">
        <v>63</v>
      </c>
      <c r="B34" s="51"/>
      <c r="C34" s="51"/>
    </row>
    <row r="35" spans="1:12" x14ac:dyDescent="0.25">
      <c r="A35" t="s">
        <v>45</v>
      </c>
      <c r="B35" t="s">
        <v>64</v>
      </c>
      <c r="C35" t="s">
        <v>65</v>
      </c>
    </row>
    <row r="36" spans="1:12" x14ac:dyDescent="0.25">
      <c r="A36" s="8">
        <f>SUMIF(H24:H31,"&lt;&gt;N",C24:C31)/SUM(C24:C31)</f>
        <v>0.41923410326332322</v>
      </c>
      <c r="B36" s="8">
        <f>SUMIF(I24:I31,"&lt;&gt;N",E24:E31)/SUM(E24:E31)</f>
        <v>0.51008896751531929</v>
      </c>
      <c r="C36" s="8">
        <f>(SUMIF(H24:H31,"&lt;&gt;N",C24:C31)+SUMIF(I24:I31,"&lt;&gt;N",E24:E31))/SUM(C24:C31,E24:E31)</f>
        <v>0.42658619423345429</v>
      </c>
    </row>
    <row r="39" spans="1:12" x14ac:dyDescent="0.25">
      <c r="A39" s="51" t="s">
        <v>66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</row>
    <row r="40" spans="1:12" x14ac:dyDescent="0.25">
      <c r="B40" s="51" t="s">
        <v>41</v>
      </c>
      <c r="C40" s="51"/>
      <c r="D40" s="51"/>
      <c r="E40" s="51" t="s">
        <v>42</v>
      </c>
      <c r="F40" s="51"/>
      <c r="G40" s="51"/>
      <c r="H40" s="51" t="s">
        <v>67</v>
      </c>
      <c r="I40" s="51"/>
    </row>
    <row r="41" spans="1:12" x14ac:dyDescent="0.25">
      <c r="A41" t="s">
        <v>1</v>
      </c>
      <c r="B41" t="s">
        <v>68</v>
      </c>
      <c r="C41" t="s">
        <v>69</v>
      </c>
      <c r="D41" t="s">
        <v>70</v>
      </c>
      <c r="E41" t="s">
        <v>33</v>
      </c>
      <c r="F41" t="s">
        <v>71</v>
      </c>
      <c r="G41" t="s">
        <v>70</v>
      </c>
      <c r="H41" t="s">
        <v>41</v>
      </c>
      <c r="I41" t="s">
        <v>42</v>
      </c>
      <c r="J41" t="s">
        <v>0</v>
      </c>
      <c r="K41" t="s">
        <v>72</v>
      </c>
      <c r="L41" t="s">
        <v>201</v>
      </c>
    </row>
    <row r="42" spans="1:12" x14ac:dyDescent="0.25">
      <c r="A42" t="str">
        <f>A24</f>
        <v>Belgium</v>
      </c>
      <c r="B42">
        <f>C24</f>
        <v>67.510000000000005</v>
      </c>
      <c r="C42">
        <f>E24*$B$6</f>
        <v>4.08</v>
      </c>
      <c r="D42">
        <f>B42+C42</f>
        <v>71.59</v>
      </c>
      <c r="E42">
        <f>VLOOKUP($A42,'Commercial mac-3&amp;4'!$A$1:$E$100,2, FALSE)</f>
        <v>43</v>
      </c>
      <c r="F42">
        <f t="shared" ref="F42:F49" si="9">ROUND(E42*($B$5*$B$7),2)</f>
        <v>0.18</v>
      </c>
      <c r="G42">
        <f>E42+F42</f>
        <v>43.18</v>
      </c>
      <c r="H42" s="8">
        <f>D42/K42</f>
        <v>0.62376927768580637</v>
      </c>
      <c r="I42" s="8">
        <f>G42/K42</f>
        <v>0.37623072231419358</v>
      </c>
      <c r="J42">
        <f>VLOOKUP($A42,'Commercial mac-3&amp;4'!$A$1:$E$100,4, FALSE)</f>
        <v>0</v>
      </c>
      <c r="K42">
        <f>D42+G42</f>
        <v>114.77000000000001</v>
      </c>
      <c r="L42">
        <f>(D42*M24)</f>
        <v>0</v>
      </c>
    </row>
    <row r="43" spans="1:12" x14ac:dyDescent="0.25">
      <c r="A43" t="str">
        <f t="shared" ref="A43:A49" si="10">A25</f>
        <v>Denmark</v>
      </c>
      <c r="B43">
        <f t="shared" ref="B43:B49" si="11">C25</f>
        <v>372.28</v>
      </c>
      <c r="C43">
        <f t="shared" ref="C43:C49" si="12">E25*$B$6</f>
        <v>30.09</v>
      </c>
      <c r="D43">
        <f t="shared" ref="D43:D49" si="13">B43+C43</f>
        <v>402.36999999999995</v>
      </c>
      <c r="E43">
        <f>VLOOKUP($A43,'Commercial mac-3&amp;4'!$A$1:$E$100,2, FALSE)</f>
        <v>36180</v>
      </c>
      <c r="F43">
        <f t="shared" si="9"/>
        <v>150.63999999999999</v>
      </c>
      <c r="G43">
        <f t="shared" ref="G43:G49" si="14">E43+F43</f>
        <v>36330.639999999999</v>
      </c>
      <c r="H43" s="8">
        <f t="shared" ref="H43:H49" si="15">D43/K43</f>
        <v>1.0953907670512162E-2</v>
      </c>
      <c r="I43" s="8">
        <f t="shared" ref="I43:I49" si="16">G43/K43</f>
        <v>0.98904609232948781</v>
      </c>
      <c r="J43">
        <f>VLOOKUP($A43,'Commercial mac-3&amp;4'!$A$1:$E$100,4, FALSE)</f>
        <v>0</v>
      </c>
      <c r="K43">
        <f t="shared" ref="K43:K49" si="17">D43+G43</f>
        <v>36733.01</v>
      </c>
      <c r="L43">
        <f t="shared" ref="L43:L49" si="18">(D43*M25)</f>
        <v>402.36999999999995</v>
      </c>
    </row>
    <row r="44" spans="1:12" x14ac:dyDescent="0.25">
      <c r="A44" t="str">
        <f t="shared" si="10"/>
        <v>England</v>
      </c>
      <c r="B44">
        <f t="shared" si="11"/>
        <v>463.17</v>
      </c>
      <c r="C44">
        <f t="shared" si="12"/>
        <v>50.08</v>
      </c>
      <c r="D44">
        <f t="shared" si="13"/>
        <v>513.25</v>
      </c>
      <c r="E44">
        <f>VLOOKUP($A44,'Commercial mac-3&amp;4'!$A$1:$E$100,2, FALSE)</f>
        <v>10993.6</v>
      </c>
      <c r="F44">
        <f t="shared" si="9"/>
        <v>45.77</v>
      </c>
      <c r="G44">
        <f t="shared" si="14"/>
        <v>11039.37</v>
      </c>
      <c r="H44" s="8">
        <f t="shared" si="15"/>
        <v>4.4427151589855801E-2</v>
      </c>
      <c r="I44" s="8">
        <f t="shared" si="16"/>
        <v>0.95557284841014423</v>
      </c>
      <c r="J44">
        <f>VLOOKUP($A44,'Commercial mac-3&amp;4'!$A$1:$E$100,4, FALSE)</f>
        <v>0</v>
      </c>
      <c r="K44">
        <f t="shared" si="17"/>
        <v>11552.62</v>
      </c>
      <c r="L44">
        <f t="shared" si="18"/>
        <v>0</v>
      </c>
    </row>
    <row r="45" spans="1:12" x14ac:dyDescent="0.25">
      <c r="A45" t="str">
        <f t="shared" si="10"/>
        <v>Germany</v>
      </c>
      <c r="B45">
        <f t="shared" si="11"/>
        <v>88.51</v>
      </c>
      <c r="C45">
        <f t="shared" si="12"/>
        <v>5.34</v>
      </c>
      <c r="D45">
        <f t="shared" si="13"/>
        <v>93.850000000000009</v>
      </c>
      <c r="E45">
        <f>VLOOKUP($A45,'Commercial mac-3&amp;4'!$A$1:$E$100,2, FALSE)</f>
        <v>4559</v>
      </c>
      <c r="F45">
        <f t="shared" si="9"/>
        <v>18.98</v>
      </c>
      <c r="G45">
        <f t="shared" si="14"/>
        <v>4577.9799999999996</v>
      </c>
      <c r="H45" s="8">
        <f t="shared" si="15"/>
        <v>2.0088487808845788E-2</v>
      </c>
      <c r="I45" s="8">
        <f t="shared" si="16"/>
        <v>0.97991151219115413</v>
      </c>
      <c r="J45">
        <f>VLOOKUP($A45,'Commercial mac-3&amp;4'!$A$1:$E$100,4, FALSE)</f>
        <v>0</v>
      </c>
      <c r="K45">
        <f t="shared" si="17"/>
        <v>4671.83</v>
      </c>
      <c r="L45">
        <f t="shared" si="18"/>
        <v>0</v>
      </c>
    </row>
    <row r="46" spans="1:12" x14ac:dyDescent="0.25">
      <c r="A46" t="str">
        <f t="shared" si="10"/>
        <v>Netherlands</v>
      </c>
      <c r="B46">
        <f t="shared" si="11"/>
        <v>1564</v>
      </c>
      <c r="C46">
        <f t="shared" si="12"/>
        <v>141</v>
      </c>
      <c r="D46">
        <f t="shared" si="13"/>
        <v>1705</v>
      </c>
      <c r="E46">
        <f>VLOOKUP($A46,'Commercial mac-3&amp;4'!$A$1:$E$100,2, FALSE)</f>
        <v>3636</v>
      </c>
      <c r="F46">
        <f t="shared" si="9"/>
        <v>15.14</v>
      </c>
      <c r="G46">
        <f t="shared" si="14"/>
        <v>3651.14</v>
      </c>
      <c r="H46" s="8">
        <f t="shared" si="15"/>
        <v>0.31832625734204112</v>
      </c>
      <c r="I46" s="8">
        <f t="shared" si="16"/>
        <v>0.68167374265795899</v>
      </c>
      <c r="J46">
        <f>VLOOKUP($A46,'Commercial mac-3&amp;4'!$A$1:$E$100,4, FALSE)</f>
        <v>0</v>
      </c>
      <c r="K46">
        <f t="shared" si="17"/>
        <v>5356.1399999999994</v>
      </c>
      <c r="L46">
        <f t="shared" si="18"/>
        <v>0</v>
      </c>
    </row>
    <row r="47" spans="1:12" x14ac:dyDescent="0.25">
      <c r="A47" t="str">
        <f t="shared" si="10"/>
        <v>Norway</v>
      </c>
      <c r="B47">
        <f t="shared" si="11"/>
        <v>1239.49</v>
      </c>
      <c r="C47">
        <f t="shared" si="12"/>
        <v>100.2</v>
      </c>
      <c r="D47">
        <f t="shared" si="13"/>
        <v>1339.69</v>
      </c>
      <c r="E47">
        <f>VLOOKUP($A47,'Commercial mac-3&amp;4'!$A$1:$E$100,2, FALSE)</f>
        <v>64182</v>
      </c>
      <c r="F47">
        <f t="shared" si="9"/>
        <v>267.22000000000003</v>
      </c>
      <c r="G47">
        <f t="shared" si="14"/>
        <v>64449.22</v>
      </c>
      <c r="H47" s="8">
        <f t="shared" si="15"/>
        <v>2.0363462474146478E-2</v>
      </c>
      <c r="I47" s="8">
        <f t="shared" si="16"/>
        <v>0.97963653752585345</v>
      </c>
      <c r="J47">
        <f>VLOOKUP($A47,'Commercial mac-3&amp;4'!$A$1:$E$100,4, FALSE)</f>
        <v>0</v>
      </c>
      <c r="K47">
        <f t="shared" si="17"/>
        <v>65788.91</v>
      </c>
      <c r="L47">
        <f t="shared" si="18"/>
        <v>1339.69</v>
      </c>
    </row>
    <row r="48" spans="1:12" x14ac:dyDescent="0.25">
      <c r="A48" t="str">
        <f t="shared" si="10"/>
        <v>Scotland</v>
      </c>
      <c r="B48">
        <f t="shared" si="11"/>
        <v>89.35</v>
      </c>
      <c r="C48">
        <f t="shared" si="12"/>
        <v>15.14</v>
      </c>
      <c r="D48">
        <f t="shared" si="13"/>
        <v>104.49</v>
      </c>
      <c r="E48">
        <f>VLOOKUP($A48,'Commercial mac-3&amp;4'!$A$1:$E$100,2, FALSE)</f>
        <v>57282.45</v>
      </c>
      <c r="F48">
        <f t="shared" si="9"/>
        <v>238.5</v>
      </c>
      <c r="G48">
        <f t="shared" si="14"/>
        <v>57520.95</v>
      </c>
      <c r="H48" s="8">
        <f t="shared" si="15"/>
        <v>1.8132616427744414E-3</v>
      </c>
      <c r="I48" s="8">
        <f t="shared" si="16"/>
        <v>0.9981867383572256</v>
      </c>
      <c r="J48">
        <f>VLOOKUP($A48,'Commercial mac-3&amp;4'!$A$1:$E$100,4, FALSE)</f>
        <v>0</v>
      </c>
      <c r="K48">
        <f t="shared" si="17"/>
        <v>57625.439999999995</v>
      </c>
      <c r="L48">
        <f t="shared" si="18"/>
        <v>0</v>
      </c>
    </row>
    <row r="49" spans="1:12" x14ac:dyDescent="0.25">
      <c r="A49" t="str">
        <f t="shared" si="10"/>
        <v>Sweden</v>
      </c>
      <c r="B49">
        <f t="shared" si="11"/>
        <v>545.53</v>
      </c>
      <c r="C49">
        <f t="shared" si="12"/>
        <v>44.1</v>
      </c>
      <c r="D49">
        <f t="shared" si="13"/>
        <v>589.63</v>
      </c>
      <c r="E49">
        <f>VLOOKUP($A49,'Commercial mac-3&amp;4'!$A$1:$E$100,2, FALSE)</f>
        <v>4560</v>
      </c>
      <c r="F49">
        <f t="shared" si="9"/>
        <v>18.989999999999998</v>
      </c>
      <c r="G49">
        <f t="shared" si="14"/>
        <v>4578.99</v>
      </c>
      <c r="H49" s="8">
        <f t="shared" si="15"/>
        <v>0.1140788063351533</v>
      </c>
      <c r="I49" s="8">
        <f t="shared" si="16"/>
        <v>0.88592119366484667</v>
      </c>
      <c r="J49">
        <f>VLOOKUP($A49,'Commercial mac-3&amp;4'!$A$1:$E$100,4, FALSE)</f>
        <v>0</v>
      </c>
      <c r="K49">
        <f t="shared" si="17"/>
        <v>5168.62</v>
      </c>
      <c r="L49">
        <f t="shared" si="18"/>
        <v>589.63</v>
      </c>
    </row>
    <row r="50" spans="1:12" x14ac:dyDescent="0.25">
      <c r="A50" s="11" t="s">
        <v>174</v>
      </c>
      <c r="B50" s="11">
        <f>SUM(B42:B49)</f>
        <v>4429.84</v>
      </c>
      <c r="C50" s="11">
        <f t="shared" ref="C50:D50" si="19">SUM(C42:C49)</f>
        <v>390.03000000000003</v>
      </c>
      <c r="D50" s="11">
        <f t="shared" si="19"/>
        <v>4819.87</v>
      </c>
      <c r="E50" s="11">
        <f>VLOOKUP($A50,'Commercial mac-3&amp;4'!$A$1:$E$100,2, FALSE)</f>
        <v>218400</v>
      </c>
      <c r="F50" s="11">
        <f>B8*$B$7</f>
        <v>909.31499999999994</v>
      </c>
      <c r="G50" s="11">
        <f>E50+F50</f>
        <v>219309.315</v>
      </c>
      <c r="H50" s="26">
        <f>D50/K50</f>
        <v>2.150487452136142E-2</v>
      </c>
      <c r="I50" s="26">
        <f t="shared" ref="I50" si="20">G50/K50</f>
        <v>0.97849512547863859</v>
      </c>
      <c r="J50" s="11">
        <f>VLOOKUP($A50,'Commercial mac-3&amp;4'!$A$1:$E$100,4, FALSE)</f>
        <v>0</v>
      </c>
      <c r="K50" s="11">
        <f>D50+G50</f>
        <v>224129.185</v>
      </c>
      <c r="L50">
        <f>SUM(L42:L49)/D50</f>
        <v>0.48376615966820685</v>
      </c>
    </row>
    <row r="51" spans="1:12" x14ac:dyDescent="0.25">
      <c r="H51" s="8"/>
      <c r="I51" s="8"/>
    </row>
    <row r="52" spans="1:12" x14ac:dyDescent="0.25">
      <c r="H52" s="8"/>
      <c r="I52" s="8"/>
    </row>
    <row r="53" spans="1:12" x14ac:dyDescent="0.25">
      <c r="G53" t="s">
        <v>207</v>
      </c>
    </row>
    <row r="54" spans="1:12" x14ac:dyDescent="0.25">
      <c r="A54" s="54" t="s">
        <v>208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2" x14ac:dyDescent="0.25">
      <c r="A55" s="48" t="s">
        <v>1</v>
      </c>
      <c r="B55" s="48" t="s">
        <v>52</v>
      </c>
      <c r="C55" s="48" t="s">
        <v>45</v>
      </c>
      <c r="D55" s="48" t="s">
        <v>46</v>
      </c>
      <c r="E55" s="48" t="s">
        <v>47</v>
      </c>
      <c r="F55" s="48" t="s">
        <v>48</v>
      </c>
      <c r="G55" s="48" t="s">
        <v>209</v>
      </c>
      <c r="H55" s="48" t="s">
        <v>70</v>
      </c>
      <c r="I55" s="48"/>
      <c r="J55" s="48"/>
      <c r="K55" s="48"/>
    </row>
    <row r="56" spans="1:12" x14ac:dyDescent="0.25">
      <c r="A56" t="str">
        <f>A24</f>
        <v>Belgium</v>
      </c>
      <c r="B56">
        <f t="shared" ref="B56:F56" si="21">B24</f>
        <v>24409</v>
      </c>
      <c r="C56">
        <f t="shared" si="21"/>
        <v>67.510000000000005</v>
      </c>
      <c r="D56">
        <f t="shared" si="21"/>
        <v>184723</v>
      </c>
      <c r="E56">
        <f t="shared" si="21"/>
        <v>4.08</v>
      </c>
      <c r="F56">
        <f t="shared" si="21"/>
        <v>19755</v>
      </c>
      <c r="G56">
        <f>E56*$B$6</f>
        <v>4.08</v>
      </c>
      <c r="H56">
        <f>C56+G56</f>
        <v>71.59</v>
      </c>
    </row>
    <row r="57" spans="1:12" x14ac:dyDescent="0.25">
      <c r="A57" t="str">
        <f t="shared" ref="A57:F63" si="22">A25</f>
        <v>Denmark</v>
      </c>
      <c r="B57">
        <f t="shared" si="22"/>
        <v>386000</v>
      </c>
      <c r="C57">
        <f t="shared" si="22"/>
        <v>372.28</v>
      </c>
      <c r="D57">
        <f t="shared" si="22"/>
        <v>1018617</v>
      </c>
      <c r="E57">
        <f t="shared" si="22"/>
        <v>30.09</v>
      </c>
      <c r="F57">
        <f t="shared" si="22"/>
        <v>145881</v>
      </c>
      <c r="G57">
        <f t="shared" ref="G57:G63" si="23">E57*$B$6</f>
        <v>30.09</v>
      </c>
      <c r="H57">
        <f t="shared" ref="H57:H63" si="24">C57+G57</f>
        <v>402.36999999999995</v>
      </c>
    </row>
    <row r="58" spans="1:12" x14ac:dyDescent="0.25">
      <c r="A58" t="s">
        <v>210</v>
      </c>
      <c r="B58">
        <f t="shared" si="22"/>
        <v>884000</v>
      </c>
      <c r="C58">
        <f>D58*(B2/1000)</f>
        <v>2445.018331076189</v>
      </c>
      <c r="D58">
        <f>B58/C16*E16</f>
        <v>6689955.327033096</v>
      </c>
      <c r="E58">
        <f>F58*(B3/1000)</f>
        <v>147.59658835101698</v>
      </c>
      <c r="F58">
        <f>B58/C16*G16</f>
        <v>715465.73353329045</v>
      </c>
      <c r="G58">
        <f t="shared" si="23"/>
        <v>147.59658835101698</v>
      </c>
      <c r="H58">
        <f t="shared" si="24"/>
        <v>2592.6149194272061</v>
      </c>
    </row>
    <row r="59" spans="1:12" x14ac:dyDescent="0.25">
      <c r="A59" t="str">
        <f t="shared" si="22"/>
        <v>Germany</v>
      </c>
      <c r="B59">
        <f t="shared" si="22"/>
        <v>32000</v>
      </c>
      <c r="C59">
        <f t="shared" si="22"/>
        <v>88.51</v>
      </c>
      <c r="D59">
        <f t="shared" si="22"/>
        <v>242170</v>
      </c>
      <c r="E59">
        <f t="shared" si="22"/>
        <v>5.34</v>
      </c>
      <c r="F59">
        <f t="shared" si="22"/>
        <v>25899</v>
      </c>
      <c r="G59">
        <f t="shared" si="23"/>
        <v>5.34</v>
      </c>
      <c r="H59">
        <f t="shared" si="24"/>
        <v>93.850000000000009</v>
      </c>
    </row>
    <row r="60" spans="1:12" x14ac:dyDescent="0.25">
      <c r="A60" t="s">
        <v>215</v>
      </c>
      <c r="B60">
        <f t="shared" si="22"/>
        <v>504108</v>
      </c>
      <c r="C60">
        <f>D60*(B2/1000)</f>
        <v>359.7861857534844</v>
      </c>
      <c r="D60">
        <f>B60/B26*D26</f>
        <v>984431.68273303169</v>
      </c>
      <c r="E60">
        <f>F60*(B3/1000)</f>
        <v>60.967344299138041</v>
      </c>
      <c r="F60">
        <f>B60/B26*F26</f>
        <v>295535.59603167424</v>
      </c>
      <c r="G60">
        <f t="shared" si="23"/>
        <v>60.967344299138041</v>
      </c>
      <c r="H60">
        <f t="shared" si="24"/>
        <v>420.75353005262247</v>
      </c>
    </row>
    <row r="61" spans="1:12" x14ac:dyDescent="0.25">
      <c r="A61" t="str">
        <f t="shared" si="22"/>
        <v>Norway</v>
      </c>
      <c r="B61">
        <f t="shared" si="22"/>
        <v>1285163</v>
      </c>
      <c r="C61">
        <f t="shared" si="22"/>
        <v>1239.49</v>
      </c>
      <c r="D61">
        <f t="shared" si="22"/>
        <v>3391440</v>
      </c>
      <c r="E61">
        <f t="shared" si="22"/>
        <v>100.2</v>
      </c>
      <c r="F61">
        <f t="shared" si="22"/>
        <v>485705</v>
      </c>
      <c r="G61">
        <f t="shared" si="23"/>
        <v>100.2</v>
      </c>
      <c r="H61">
        <f t="shared" si="24"/>
        <v>1339.69</v>
      </c>
    </row>
    <row r="62" spans="1:12" x14ac:dyDescent="0.25">
      <c r="A62" t="str">
        <f t="shared" si="22"/>
        <v>Scotland</v>
      </c>
      <c r="B62">
        <f t="shared" si="22"/>
        <v>125188</v>
      </c>
      <c r="C62">
        <f t="shared" si="22"/>
        <v>89.35</v>
      </c>
      <c r="D62">
        <f t="shared" si="22"/>
        <v>244470</v>
      </c>
      <c r="E62">
        <f t="shared" si="22"/>
        <v>15.14</v>
      </c>
      <c r="F62">
        <f t="shared" si="22"/>
        <v>73392</v>
      </c>
      <c r="G62">
        <f t="shared" si="23"/>
        <v>15.14</v>
      </c>
      <c r="H62">
        <f t="shared" si="24"/>
        <v>104.49</v>
      </c>
    </row>
    <row r="63" spans="1:12" x14ac:dyDescent="0.25">
      <c r="A63" t="str">
        <f t="shared" si="22"/>
        <v>Sweden</v>
      </c>
      <c r="B63">
        <f t="shared" si="22"/>
        <v>565634</v>
      </c>
      <c r="C63">
        <f t="shared" si="22"/>
        <v>545.53</v>
      </c>
      <c r="D63">
        <f t="shared" si="22"/>
        <v>1492656</v>
      </c>
      <c r="E63">
        <f t="shared" si="22"/>
        <v>44.1</v>
      </c>
      <c r="F63">
        <f t="shared" si="22"/>
        <v>213771</v>
      </c>
      <c r="G63">
        <f t="shared" si="23"/>
        <v>44.1</v>
      </c>
      <c r="H63">
        <f t="shared" si="24"/>
        <v>589.63</v>
      </c>
      <c r="I63" t="s">
        <v>212</v>
      </c>
      <c r="J63" t="s">
        <v>213</v>
      </c>
      <c r="K63" t="s">
        <v>214</v>
      </c>
    </row>
    <row r="64" spans="1:12" x14ac:dyDescent="0.25">
      <c r="G64" t="s">
        <v>216</v>
      </c>
      <c r="H64">
        <f>SUM(H56:H63)</f>
        <v>5614.9884494798289</v>
      </c>
      <c r="I64" s="49">
        <v>6709.2590400000008</v>
      </c>
      <c r="J64" s="49">
        <v>2930.4809600000003</v>
      </c>
      <c r="K64" s="48" t="str">
        <f>IF((AND(H64&lt;=I64,H64&gt;=J64)),"Good","Bad")</f>
        <v>Good</v>
      </c>
    </row>
  </sheetData>
  <sortState ref="F53:G60">
    <sortCondition ref="F53"/>
  </sortState>
  <mergeCells count="9">
    <mergeCell ref="A10:H10"/>
    <mergeCell ref="A22:I22"/>
    <mergeCell ref="A54:K54"/>
    <mergeCell ref="J22:L22"/>
    <mergeCell ref="A34:C34"/>
    <mergeCell ref="A39:K39"/>
    <mergeCell ref="B40:D40"/>
    <mergeCell ref="E40:G40"/>
    <mergeCell ref="H40:I40"/>
  </mergeCells>
  <conditionalFormatting sqref="K64">
    <cfRule type="cellIs" dxfId="1" priority="1" operator="equal">
      <formula>"Bad"</formula>
    </cfRule>
    <cfRule type="cellIs" dxfId="0" priority="2" operator="equal">
      <formula>"Good"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AC38"/>
  <sheetViews>
    <sheetView zoomScale="60" zoomScaleNormal="60" workbookViewId="0">
      <selection sqref="A1:AC38"/>
    </sheetView>
  </sheetViews>
  <sheetFormatPr defaultColWidth="9.140625" defaultRowHeight="15" x14ac:dyDescent="0.25"/>
  <cols>
    <col min="1" max="1" width="10.28515625" bestFit="1" customWidth="1"/>
  </cols>
  <sheetData>
    <row r="1" spans="1:29" x14ac:dyDescent="0.25">
      <c r="A1" s="52" t="s">
        <v>200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</row>
    <row r="2" spans="1:29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spans="1:29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1:29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</row>
    <row r="5" spans="1:29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:29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</row>
    <row r="7" spans="1:29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</row>
    <row r="8" spans="1:29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</row>
    <row r="9" spans="1:29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</row>
    <row r="10" spans="1:29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</row>
    <row r="11" spans="1:29" x14ac:dyDescent="0.2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</row>
    <row r="12" spans="1:29" x14ac:dyDescent="0.2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</row>
    <row r="13" spans="1:29" x14ac:dyDescent="0.2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</row>
    <row r="14" spans="1:29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</row>
    <row r="15" spans="1:29" x14ac:dyDescent="0.2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</row>
    <row r="16" spans="1:29" x14ac:dyDescent="0.2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</row>
    <row r="17" spans="1:29" x14ac:dyDescent="0.2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</row>
    <row r="18" spans="1:29" x14ac:dyDescent="0.2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</row>
    <row r="19" spans="1:29" x14ac:dyDescent="0.2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</row>
    <row r="20" spans="1:29" x14ac:dyDescent="0.2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</row>
    <row r="21" spans="1:29" x14ac:dyDescent="0.2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</row>
    <row r="22" spans="1:29" x14ac:dyDescent="0.2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</row>
    <row r="23" spans="1:29" x14ac:dyDescent="0.2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</row>
    <row r="24" spans="1:29" x14ac:dyDescent="0.2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</row>
    <row r="25" spans="1:29" x14ac:dyDescent="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</row>
    <row r="26" spans="1:29" x14ac:dyDescent="0.2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</row>
    <row r="27" spans="1:29" x14ac:dyDescent="0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</row>
    <row r="28" spans="1:29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</row>
    <row r="29" spans="1:29" x14ac:dyDescent="0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</row>
    <row r="30" spans="1:29" x14ac:dyDescent="0.2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</row>
    <row r="31" spans="1:29" x14ac:dyDescent="0.2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</row>
    <row r="32" spans="1:29" x14ac:dyDescent="0.2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</row>
    <row r="33" spans="1:29" x14ac:dyDescent="0.2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</row>
    <row r="34" spans="1:29" x14ac:dyDescent="0.2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</row>
    <row r="35" spans="1:29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</row>
    <row r="36" spans="1:29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</row>
    <row r="37" spans="1:29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</row>
    <row r="38" spans="1:29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</row>
  </sheetData>
  <mergeCells count="1">
    <mergeCell ref="A1:AC3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H5"/>
  <sheetViews>
    <sheetView workbookViewId="0">
      <selection activeCell="B13" sqref="B13"/>
    </sheetView>
  </sheetViews>
  <sheetFormatPr defaultColWidth="9.140625" defaultRowHeight="15" x14ac:dyDescent="0.25"/>
  <cols>
    <col min="1" max="1" width="21.7109375" bestFit="1" customWidth="1"/>
    <col min="3" max="3" width="17.7109375" bestFit="1" customWidth="1"/>
    <col min="4" max="4" width="12" bestFit="1" customWidth="1"/>
    <col min="8" max="8" width="41.140625" bestFit="1" customWidth="1"/>
  </cols>
  <sheetData>
    <row r="1" spans="1:8" x14ac:dyDescent="0.25">
      <c r="A1" s="50" t="s">
        <v>1</v>
      </c>
      <c r="B1" s="50" t="s">
        <v>2</v>
      </c>
      <c r="C1" s="50" t="s">
        <v>5</v>
      </c>
      <c r="D1" s="50" t="s">
        <v>6</v>
      </c>
      <c r="E1" s="50" t="s">
        <v>7</v>
      </c>
      <c r="F1" s="50" t="s">
        <v>8</v>
      </c>
      <c r="G1" s="50" t="s">
        <v>9</v>
      </c>
      <c r="H1" s="50" t="s">
        <v>0</v>
      </c>
    </row>
    <row r="2" spans="1:8" x14ac:dyDescent="0.25">
      <c r="A2" t="s">
        <v>3</v>
      </c>
      <c r="B2" s="4" t="s">
        <v>4</v>
      </c>
      <c r="C2" s="3">
        <v>62459</v>
      </c>
      <c r="D2" s="1">
        <v>72</v>
      </c>
      <c r="E2" s="2" t="s">
        <v>20</v>
      </c>
      <c r="F2" s="1" t="s">
        <v>20</v>
      </c>
      <c r="G2" t="s">
        <v>20</v>
      </c>
      <c r="H2" s="6" t="s">
        <v>235</v>
      </c>
    </row>
    <row r="3" spans="1:8" x14ac:dyDescent="0.25">
      <c r="A3" t="s">
        <v>18</v>
      </c>
      <c r="B3">
        <v>2001</v>
      </c>
      <c r="C3">
        <f>ROUND(3586163*0.0167,0)</f>
        <v>59889</v>
      </c>
      <c r="D3">
        <f>'Portugal calculation'!G6</f>
        <v>0.39</v>
      </c>
      <c r="E3">
        <f>'Portugal calculation'!F6</f>
        <v>8956</v>
      </c>
      <c r="F3" t="s">
        <v>20</v>
      </c>
      <c r="G3" t="s">
        <v>20</v>
      </c>
      <c r="H3" t="s">
        <v>227</v>
      </c>
    </row>
    <row r="4" spans="1:8" x14ac:dyDescent="0.25">
      <c r="A4" t="s">
        <v>19</v>
      </c>
      <c r="B4" t="s">
        <v>20</v>
      </c>
      <c r="C4" s="3">
        <v>181651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</row>
    <row r="5" spans="1:8" x14ac:dyDescent="0.25">
      <c r="A5" t="s">
        <v>17</v>
      </c>
      <c r="B5" t="s">
        <v>20</v>
      </c>
      <c r="C5">
        <v>175000</v>
      </c>
      <c r="D5" t="s">
        <v>20</v>
      </c>
      <c r="E5" t="s">
        <v>20</v>
      </c>
      <c r="F5" t="s">
        <v>20</v>
      </c>
      <c r="G5" t="s">
        <v>20</v>
      </c>
      <c r="H5" t="s">
        <v>20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H3"/>
  <sheetViews>
    <sheetView workbookViewId="0"/>
  </sheetViews>
  <sheetFormatPr defaultColWidth="9.140625" defaultRowHeight="15" x14ac:dyDescent="0.25"/>
  <cols>
    <col min="1" max="1" width="16" bestFit="1" customWidth="1"/>
  </cols>
  <sheetData>
    <row r="1" spans="1:8" x14ac:dyDescent="0.25">
      <c r="A1" s="5" t="s">
        <v>1</v>
      </c>
      <c r="B1" s="5" t="s">
        <v>2</v>
      </c>
      <c r="C1" s="5" t="s">
        <v>5</v>
      </c>
      <c r="D1" s="5" t="s">
        <v>6</v>
      </c>
      <c r="E1" s="5" t="s">
        <v>7</v>
      </c>
      <c r="F1" s="5" t="s">
        <v>8</v>
      </c>
      <c r="G1" s="5" t="s">
        <v>9</v>
      </c>
      <c r="H1" s="5" t="s">
        <v>0</v>
      </c>
    </row>
    <row r="2" spans="1:8" x14ac:dyDescent="0.25">
      <c r="A2" t="s">
        <v>76</v>
      </c>
      <c r="B2" t="s">
        <v>20</v>
      </c>
      <c r="C2" t="s">
        <v>20</v>
      </c>
      <c r="D2" t="s">
        <v>20</v>
      </c>
      <c r="E2" t="s">
        <v>20</v>
      </c>
      <c r="F2" t="s">
        <v>20</v>
      </c>
      <c r="G2" t="s">
        <v>20</v>
      </c>
      <c r="H2" t="s">
        <v>20</v>
      </c>
    </row>
    <row r="3" spans="1:8" x14ac:dyDescent="0.25">
      <c r="A3" t="s">
        <v>77</v>
      </c>
      <c r="B3" t="s">
        <v>20</v>
      </c>
      <c r="C3" t="s">
        <v>20</v>
      </c>
      <c r="D3" t="s">
        <v>20</v>
      </c>
      <c r="E3" t="s">
        <v>20</v>
      </c>
      <c r="F3" t="s">
        <v>20</v>
      </c>
      <c r="G3" t="s">
        <v>20</v>
      </c>
      <c r="H3" t="s">
        <v>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H7"/>
  <sheetViews>
    <sheetView workbookViewId="0">
      <selection activeCell="H8" sqref="H8"/>
    </sheetView>
  </sheetViews>
  <sheetFormatPr defaultColWidth="9.140625" defaultRowHeight="15" x14ac:dyDescent="0.25"/>
  <cols>
    <col min="1" max="1" width="15" bestFit="1" customWidth="1"/>
    <col min="2" max="2" width="9.7109375" bestFit="1" customWidth="1"/>
    <col min="3" max="3" width="17.7109375" bestFit="1" customWidth="1"/>
    <col min="4" max="4" width="12" bestFit="1" customWidth="1"/>
  </cols>
  <sheetData>
    <row r="1" spans="1:8" x14ac:dyDescent="0.25">
      <c r="A1" t="s">
        <v>1</v>
      </c>
      <c r="B1" s="5" t="s">
        <v>2</v>
      </c>
      <c r="C1" s="5" t="s">
        <v>5</v>
      </c>
      <c r="D1" s="5" t="s">
        <v>6</v>
      </c>
      <c r="E1" s="5" t="s">
        <v>7</v>
      </c>
      <c r="F1" s="5" t="s">
        <v>8</v>
      </c>
      <c r="G1" s="5" t="s">
        <v>9</v>
      </c>
      <c r="H1" s="5" t="s">
        <v>0</v>
      </c>
    </row>
    <row r="2" spans="1:8" x14ac:dyDescent="0.25">
      <c r="A2" t="s">
        <v>80</v>
      </c>
      <c r="B2" t="s">
        <v>20</v>
      </c>
      <c r="C2">
        <v>4092.0000000000005</v>
      </c>
      <c r="D2" t="s">
        <v>20</v>
      </c>
      <c r="E2" t="s">
        <v>20</v>
      </c>
      <c r="F2" t="s">
        <v>20</v>
      </c>
      <c r="G2" t="s">
        <v>20</v>
      </c>
      <c r="H2" t="s">
        <v>20</v>
      </c>
    </row>
    <row r="3" spans="1:8" x14ac:dyDescent="0.25">
      <c r="A3" t="s">
        <v>78</v>
      </c>
      <c r="B3">
        <v>2012</v>
      </c>
      <c r="C3">
        <v>884000</v>
      </c>
      <c r="D3">
        <f>'England combinded'!B13</f>
        <v>84.12</v>
      </c>
      <c r="E3" s="3">
        <f>'England combinded'!C13</f>
        <v>279902</v>
      </c>
      <c r="F3">
        <f>'England combinded'!D13</f>
        <v>15.12</v>
      </c>
      <c r="G3" s="3">
        <f>'England combinded'!E13</f>
        <v>90455</v>
      </c>
      <c r="H3" t="s">
        <v>228</v>
      </c>
    </row>
    <row r="4" spans="1:8" x14ac:dyDescent="0.25">
      <c r="A4" t="s">
        <v>81</v>
      </c>
      <c r="B4" t="s">
        <v>91</v>
      </c>
      <c r="C4">
        <v>791000</v>
      </c>
      <c r="D4">
        <f>'France landings'!C3</f>
        <v>2106.96</v>
      </c>
      <c r="E4" t="s">
        <v>20</v>
      </c>
      <c r="F4" t="s">
        <v>20</v>
      </c>
      <c r="G4" t="s">
        <v>20</v>
      </c>
      <c r="H4" t="s">
        <v>229</v>
      </c>
    </row>
    <row r="5" spans="1:8" x14ac:dyDescent="0.25">
      <c r="A5" t="s">
        <v>79</v>
      </c>
      <c r="B5" t="s">
        <v>20</v>
      </c>
      <c r="C5">
        <v>76600</v>
      </c>
      <c r="D5" t="s">
        <v>20</v>
      </c>
      <c r="E5" t="s">
        <v>20</v>
      </c>
      <c r="F5" t="s">
        <v>20</v>
      </c>
      <c r="G5" t="s">
        <v>20</v>
      </c>
      <c r="H5" t="s">
        <v>20</v>
      </c>
    </row>
    <row r="6" spans="1:8" x14ac:dyDescent="0.25">
      <c r="A6" t="s">
        <v>176</v>
      </c>
      <c r="B6" t="s">
        <v>20</v>
      </c>
      <c r="C6">
        <v>76000</v>
      </c>
      <c r="D6" t="s">
        <v>20</v>
      </c>
      <c r="E6" t="s">
        <v>20</v>
      </c>
      <c r="F6" t="s">
        <v>20</v>
      </c>
      <c r="G6" t="s">
        <v>20</v>
      </c>
      <c r="H6" t="s">
        <v>20</v>
      </c>
    </row>
    <row r="7" spans="1:8" x14ac:dyDescent="0.25">
      <c r="A7" t="s">
        <v>171</v>
      </c>
      <c r="B7" t="s">
        <v>20</v>
      </c>
      <c r="C7">
        <v>1560</v>
      </c>
      <c r="D7" t="s">
        <v>20</v>
      </c>
      <c r="E7" t="s">
        <v>20</v>
      </c>
      <c r="F7" t="s">
        <v>20</v>
      </c>
      <c r="G7" t="s">
        <v>20</v>
      </c>
      <c r="H7" t="s">
        <v>230</v>
      </c>
    </row>
  </sheetData>
  <sortState ref="A2:H5">
    <sortCondition ref="A2:A5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M10"/>
  <sheetViews>
    <sheetView workbookViewId="0">
      <selection activeCell="H7" sqref="H7"/>
    </sheetView>
  </sheetViews>
  <sheetFormatPr defaultColWidth="9.140625" defaultRowHeight="15" x14ac:dyDescent="0.25"/>
  <cols>
    <col min="1" max="1" width="16.7109375" bestFit="1" customWidth="1"/>
    <col min="5" max="5" width="11.7109375" style="3" bestFit="1" customWidth="1"/>
    <col min="7" max="7" width="10.140625" style="3" bestFit="1" customWidth="1"/>
    <col min="8" max="8" width="9.85546875" customWidth="1"/>
  </cols>
  <sheetData>
    <row r="1" spans="1:13" x14ac:dyDescent="0.25">
      <c r="A1" t="s">
        <v>1</v>
      </c>
      <c r="B1" s="5" t="s">
        <v>2</v>
      </c>
      <c r="C1" s="5" t="s">
        <v>5</v>
      </c>
      <c r="D1" s="5" t="s">
        <v>6</v>
      </c>
      <c r="E1" s="27" t="s">
        <v>7</v>
      </c>
      <c r="F1" s="5" t="s">
        <v>8</v>
      </c>
      <c r="G1" s="27" t="s">
        <v>9</v>
      </c>
      <c r="H1" s="5" t="s">
        <v>0</v>
      </c>
    </row>
    <row r="2" spans="1:13" x14ac:dyDescent="0.25">
      <c r="A2" t="s">
        <v>87</v>
      </c>
      <c r="B2" t="s">
        <v>20</v>
      </c>
      <c r="C2">
        <v>24409</v>
      </c>
      <c r="D2" t="s">
        <v>20</v>
      </c>
      <c r="E2" s="3" t="s">
        <v>20</v>
      </c>
      <c r="F2" t="s">
        <v>20</v>
      </c>
      <c r="G2" s="3" t="s">
        <v>20</v>
      </c>
      <c r="H2" t="s">
        <v>20</v>
      </c>
    </row>
    <row r="3" spans="1:13" x14ac:dyDescent="0.25">
      <c r="A3" t="s">
        <v>84</v>
      </c>
      <c r="B3" t="s">
        <v>20</v>
      </c>
      <c r="C3">
        <v>386000</v>
      </c>
      <c r="D3" t="s">
        <v>20</v>
      </c>
      <c r="E3" s="3" t="s">
        <v>20</v>
      </c>
      <c r="F3" t="s">
        <v>20</v>
      </c>
      <c r="G3" s="3" t="s">
        <v>20</v>
      </c>
      <c r="H3" t="s">
        <v>20</v>
      </c>
    </row>
    <row r="4" spans="1:13" x14ac:dyDescent="0.25">
      <c r="A4" t="s">
        <v>78</v>
      </c>
      <c r="B4">
        <v>2012</v>
      </c>
      <c r="C4">
        <v>884000</v>
      </c>
      <c r="D4" s="20">
        <f>'England combinded'!B14</f>
        <v>463.16984000000002</v>
      </c>
      <c r="E4" s="3">
        <f>'England combinded'!C14</f>
        <v>1726292</v>
      </c>
      <c r="F4" s="20">
        <f>'England combinded'!D14</f>
        <v>50.08</v>
      </c>
      <c r="G4" s="3">
        <f>'England combinded'!E14</f>
        <v>518249</v>
      </c>
      <c r="H4" t="s">
        <v>228</v>
      </c>
    </row>
    <row r="5" spans="1:13" x14ac:dyDescent="0.25">
      <c r="A5" t="s">
        <v>85</v>
      </c>
      <c r="B5" t="s">
        <v>20</v>
      </c>
      <c r="C5">
        <v>32000</v>
      </c>
      <c r="D5" t="s">
        <v>20</v>
      </c>
      <c r="E5" s="3" t="s">
        <v>20</v>
      </c>
      <c r="F5" t="s">
        <v>20</v>
      </c>
      <c r="G5" s="3" t="s">
        <v>20</v>
      </c>
      <c r="H5" t="s">
        <v>20</v>
      </c>
    </row>
    <row r="6" spans="1:13" x14ac:dyDescent="0.25">
      <c r="A6" t="s">
        <v>86</v>
      </c>
      <c r="B6" t="s">
        <v>180</v>
      </c>
      <c r="C6">
        <v>504108</v>
      </c>
      <c r="D6">
        <v>1564</v>
      </c>
      <c r="E6" s="3">
        <v>3815000</v>
      </c>
      <c r="F6">
        <v>141</v>
      </c>
      <c r="G6" s="3">
        <v>408000</v>
      </c>
      <c r="H6" t="s">
        <v>236</v>
      </c>
    </row>
    <row r="7" spans="1:13" x14ac:dyDescent="0.25">
      <c r="A7" t="s">
        <v>82</v>
      </c>
      <c r="B7" t="s">
        <v>20</v>
      </c>
      <c r="C7">
        <v>1285163</v>
      </c>
      <c r="D7" t="s">
        <v>20</v>
      </c>
      <c r="E7" s="3" t="s">
        <v>20</v>
      </c>
      <c r="F7" t="s">
        <v>20</v>
      </c>
      <c r="G7" s="3" t="s">
        <v>20</v>
      </c>
      <c r="H7" t="s">
        <v>20</v>
      </c>
    </row>
    <row r="8" spans="1:13" x14ac:dyDescent="0.25">
      <c r="A8" t="s">
        <v>76</v>
      </c>
      <c r="B8" t="s">
        <v>20</v>
      </c>
      <c r="C8">
        <v>125188</v>
      </c>
      <c r="D8" t="s">
        <v>20</v>
      </c>
      <c r="E8" s="3" t="s">
        <v>20</v>
      </c>
      <c r="F8" t="s">
        <v>20</v>
      </c>
      <c r="G8" s="3" t="s">
        <v>20</v>
      </c>
      <c r="H8" t="s">
        <v>20</v>
      </c>
    </row>
    <row r="9" spans="1:13" x14ac:dyDescent="0.25">
      <c r="A9" t="s">
        <v>83</v>
      </c>
      <c r="B9">
        <v>2015</v>
      </c>
      <c r="C9">
        <v>565634</v>
      </c>
      <c r="D9">
        <v>545.53</v>
      </c>
      <c r="E9" s="3" t="s">
        <v>20</v>
      </c>
      <c r="F9" t="s">
        <v>20</v>
      </c>
      <c r="G9" s="3" t="s">
        <v>20</v>
      </c>
      <c r="H9" t="s">
        <v>231</v>
      </c>
    </row>
    <row r="10" spans="1:13" x14ac:dyDescent="0.25">
      <c r="A10" t="s">
        <v>179</v>
      </c>
      <c r="B10">
        <v>2011</v>
      </c>
      <c r="C10" t="s">
        <v>20</v>
      </c>
      <c r="D10" s="24">
        <v>54.4</v>
      </c>
      <c r="E10" s="3">
        <v>154211</v>
      </c>
      <c r="F10" s="24" t="s">
        <v>20</v>
      </c>
      <c r="G10" s="3" t="s">
        <v>20</v>
      </c>
      <c r="H10" s="29" t="s">
        <v>232</v>
      </c>
      <c r="I10" s="28"/>
      <c r="J10" s="28"/>
      <c r="K10" s="28"/>
      <c r="L10" s="28"/>
      <c r="M10" s="28"/>
    </row>
  </sheetData>
  <sortState ref="A2:H9">
    <sortCondition ref="A2:A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mac-8c9a</vt:lpstr>
      <vt:lpstr>mac-6</vt:lpstr>
      <vt:lpstr>mac-7,8abde</vt:lpstr>
      <vt:lpstr>mac-3&amp;4</vt:lpstr>
      <vt:lpstr>mac-1,2,5,14</vt:lpstr>
      <vt:lpstr>Recreational mac-8c9a</vt:lpstr>
      <vt:lpstr>Recreational mac-6</vt:lpstr>
      <vt:lpstr>Recreational mac-7,8a-e</vt:lpstr>
      <vt:lpstr>Recreational mac-3&amp;4</vt:lpstr>
      <vt:lpstr>Recreational mac-1,2,5,14</vt:lpstr>
      <vt:lpstr>Commercial mac-8c9a</vt:lpstr>
      <vt:lpstr>Commercial mac-6</vt:lpstr>
      <vt:lpstr>Commercial mac-7,8a-e</vt:lpstr>
      <vt:lpstr>Commercial mac-1,2,5,14</vt:lpstr>
      <vt:lpstr>Commercial mac-3&amp;4</vt:lpstr>
      <vt:lpstr>Discard mortality</vt:lpstr>
      <vt:lpstr>Discard rate</vt:lpstr>
      <vt:lpstr>Portugal calculation</vt:lpstr>
      <vt:lpstr>England landings</vt:lpstr>
      <vt:lpstr>English charter boat</vt:lpstr>
      <vt:lpstr>English private + shore</vt:lpstr>
      <vt:lpstr>England combinded</vt:lpstr>
      <vt:lpstr>France angler population</vt:lpstr>
      <vt:lpstr>France landings</vt:lpstr>
      <vt:lpstr>Sweden landings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Zachary Radford (Cefas)</dc:creator>
  <cp:lastModifiedBy>Zachary Radford (Cefas)</cp:lastModifiedBy>
  <dcterms:created xsi:type="dcterms:W3CDTF">2017-03-31T15:18:26Z</dcterms:created>
  <dcterms:modified xsi:type="dcterms:W3CDTF">2018-08-08T08:45:29Z</dcterms:modified>
</cp:coreProperties>
</file>