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ZR00\OneDrive - CEFAS\MRF impact submission docs\Resubmitted\Supplementary\"/>
    </mc:Choice>
  </mc:AlternateContent>
  <xr:revisionPtr revIDLastSave="219" documentId="11_A8491F5C5CC8B761F10BEEE7BB172B1528EF9298" xr6:coauthVersionLast="33" xr6:coauthVersionMax="33" xr10:uidLastSave="{002301DC-8716-4A45-8899-09D991F9ECD1}"/>
  <bookViews>
    <workbookView xWindow="6735" yWindow="2070" windowWidth="14145" windowHeight="7350" activeTab="1" xr2:uid="{00000000-000D-0000-FFFF-FFFF00000000}"/>
  </bookViews>
  <sheets>
    <sheet name="Cod-347d" sheetId="5" r:id="rId1"/>
    <sheet name="Cod-7e-k" sheetId="4" r:id="rId2"/>
    <sheet name="Cod-2224" sheetId="17" r:id="rId3"/>
    <sheet name="Cod-2532" sheetId="18" r:id="rId4"/>
    <sheet name="Country recreational landings" sheetId="1" r:id="rId5"/>
    <sheet name="Baltic recreational landings" sheetId="16" r:id="rId6"/>
    <sheet name="Country commercial landings" sheetId="2" r:id="rId7"/>
    <sheet name="Discard Mortality" sheetId="3" r:id="rId8"/>
    <sheet name="Discard rate" sheetId="7" r:id="rId9"/>
    <sheet name="Denmark recreation calculations" sheetId="6" r:id="rId10"/>
    <sheet name="English charter boats" sheetId="10" r:id="rId11"/>
    <sheet name="English boat + shore" sheetId="13" r:id="rId12"/>
    <sheet name="English combined" sheetId="12" r:id="rId13"/>
    <sheet name="Sweden landings" sheetId="14" r:id="rId14"/>
  </sheets>
  <calcPr calcId="179016"/>
  <pivotCaches>
    <pivotCache cacheId="0" r:id="rId15"/>
    <pivotCache cacheId="1" r:id="rId16"/>
    <pivotCache cacheId="2" r:id="rId1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4" l="1"/>
  <c r="B45" i="17" l="1"/>
  <c r="E44" i="17"/>
  <c r="D18" i="17"/>
  <c r="C28" i="17"/>
  <c r="C51" i="17"/>
  <c r="F18" i="17"/>
  <c r="E28" i="17"/>
  <c r="B6" i="17"/>
  <c r="D16" i="17"/>
  <c r="C26" i="17"/>
  <c r="F16" i="17"/>
  <c r="E26" i="17"/>
  <c r="D17" i="17"/>
  <c r="C27" i="17"/>
  <c r="B42" i="17"/>
  <c r="F17" i="17"/>
  <c r="E27" i="17"/>
  <c r="C42" i="17"/>
  <c r="E2" i="7"/>
  <c r="B5" i="17"/>
  <c r="F43" i="17"/>
  <c r="G43" i="17"/>
  <c r="B7" i="17"/>
  <c r="F44" i="17"/>
  <c r="B2" i="17"/>
  <c r="B16" i="17"/>
  <c r="C5" i="17"/>
  <c r="A28" i="17"/>
  <c r="A51" i="17"/>
  <c r="A56" i="4"/>
  <c r="A57" i="4"/>
  <c r="A53" i="4"/>
  <c r="A28" i="5"/>
  <c r="A65" i="5"/>
  <c r="A29" i="5"/>
  <c r="A66" i="5"/>
  <c r="A30" i="5"/>
  <c r="A31" i="5"/>
  <c r="A68" i="5"/>
  <c r="A33" i="5"/>
  <c r="A34" i="5"/>
  <c r="A71" i="5"/>
  <c r="A36" i="5"/>
  <c r="A73" i="5"/>
  <c r="B64" i="5"/>
  <c r="C64" i="5"/>
  <c r="D64" i="5"/>
  <c r="E64" i="5"/>
  <c r="F64" i="5"/>
  <c r="A64" i="5"/>
  <c r="C8" i="18"/>
  <c r="B8" i="18"/>
  <c r="F52" i="18"/>
  <c r="G52" i="18"/>
  <c r="B7" i="5"/>
  <c r="F58" i="5"/>
  <c r="B7" i="4"/>
  <c r="F48" i="4"/>
  <c r="E48" i="4"/>
  <c r="B6" i="5"/>
  <c r="C6" i="17"/>
  <c r="V24" i="13"/>
  <c r="V28" i="13"/>
  <c r="V35" i="13"/>
  <c r="V25" i="13"/>
  <c r="K21" i="10"/>
  <c r="B3" i="12"/>
  <c r="B6" i="18"/>
  <c r="F49" i="18"/>
  <c r="G49" i="18"/>
  <c r="C7" i="18"/>
  <c r="B7" i="18"/>
  <c r="I66" i="18"/>
  <c r="I67" i="18"/>
  <c r="I72" i="18"/>
  <c r="J72" i="18"/>
  <c r="I68" i="18"/>
  <c r="I69" i="18"/>
  <c r="I70" i="18"/>
  <c r="I71" i="18"/>
  <c r="C52" i="18"/>
  <c r="A28" i="18"/>
  <c r="A47" i="18"/>
  <c r="A29" i="18"/>
  <c r="A48" i="18"/>
  <c r="A30" i="18"/>
  <c r="A49" i="18"/>
  <c r="A31" i="18"/>
  <c r="A50" i="18"/>
  <c r="A32" i="18"/>
  <c r="A51" i="18"/>
  <c r="A27" i="18"/>
  <c r="A46" i="18"/>
  <c r="B38" i="18"/>
  <c r="G16" i="18"/>
  <c r="G17" i="18"/>
  <c r="G18" i="18"/>
  <c r="G19" i="18"/>
  <c r="G20" i="18"/>
  <c r="G15" i="18"/>
  <c r="F16" i="18"/>
  <c r="F17" i="18"/>
  <c r="F18" i="18"/>
  <c r="F19" i="18"/>
  <c r="F20" i="18"/>
  <c r="F15" i="18"/>
  <c r="E16" i="18"/>
  <c r="E17" i="18"/>
  <c r="E18" i="18"/>
  <c r="E19" i="18"/>
  <c r="E20" i="18"/>
  <c r="E15" i="18"/>
  <c r="D16" i="18"/>
  <c r="C28" i="18"/>
  <c r="B47" i="18"/>
  <c r="D47" i="18"/>
  <c r="K47" i="18"/>
  <c r="I47" i="18"/>
  <c r="D17" i="18"/>
  <c r="C29" i="18"/>
  <c r="D15" i="18"/>
  <c r="C27" i="18"/>
  <c r="B46" i="18"/>
  <c r="D18" i="18"/>
  <c r="C30" i="18"/>
  <c r="B49" i="18"/>
  <c r="D19" i="18"/>
  <c r="C31" i="18"/>
  <c r="B50" i="18"/>
  <c r="D50" i="18"/>
  <c r="C20" i="18"/>
  <c r="B32" i="18"/>
  <c r="C18" i="18"/>
  <c r="B16" i="18"/>
  <c r="C16" i="18"/>
  <c r="B28" i="18"/>
  <c r="H16" i="18"/>
  <c r="B17" i="18"/>
  <c r="C17" i="18"/>
  <c r="B29" i="18"/>
  <c r="H17" i="18"/>
  <c r="B18" i="18"/>
  <c r="B30" i="18"/>
  <c r="H18" i="18"/>
  <c r="B19" i="18"/>
  <c r="C19" i="18"/>
  <c r="B31" i="18"/>
  <c r="H19" i="18"/>
  <c r="B20" i="18"/>
  <c r="H20" i="18"/>
  <c r="B15" i="18"/>
  <c r="H15" i="18"/>
  <c r="C15" i="18"/>
  <c r="B27" i="18"/>
  <c r="B5" i="18"/>
  <c r="B4" i="18"/>
  <c r="B3" i="18"/>
  <c r="B2" i="18"/>
  <c r="C6" i="18"/>
  <c r="D20" i="18"/>
  <c r="A27" i="17"/>
  <c r="A42" i="17"/>
  <c r="A43" i="17"/>
  <c r="A26" i="17"/>
  <c r="A41" i="17"/>
  <c r="B17" i="17"/>
  <c r="C17" i="17"/>
  <c r="B27" i="17"/>
  <c r="B50" i="17"/>
  <c r="G27" i="17"/>
  <c r="E17" i="17"/>
  <c r="D27" i="17"/>
  <c r="G17" i="17"/>
  <c r="H17" i="17"/>
  <c r="B18" i="17"/>
  <c r="C18" i="17"/>
  <c r="B28" i="17"/>
  <c r="B51" i="17"/>
  <c r="E18" i="17"/>
  <c r="H28" i="17"/>
  <c r="G18" i="17"/>
  <c r="H18" i="17"/>
  <c r="H16" i="17"/>
  <c r="G16" i="17"/>
  <c r="F26" i="17"/>
  <c r="E16" i="17"/>
  <c r="C16" i="17"/>
  <c r="B26" i="17"/>
  <c r="B49" i="17"/>
  <c r="B3" i="17"/>
  <c r="C7" i="17"/>
  <c r="B19" i="14"/>
  <c r="C2" i="14"/>
  <c r="F27" i="17"/>
  <c r="H27" i="17"/>
  <c r="B24" i="5"/>
  <c r="C24" i="5"/>
  <c r="D24" i="5"/>
  <c r="E24" i="5"/>
  <c r="F24" i="5"/>
  <c r="G24" i="5"/>
  <c r="H24" i="5"/>
  <c r="G32" i="10"/>
  <c r="K20" i="10"/>
  <c r="K6" i="10"/>
  <c r="L21" i="10"/>
  <c r="C3" i="12"/>
  <c r="K22" i="10"/>
  <c r="B4" i="12"/>
  <c r="Y22" i="13"/>
  <c r="Y21" i="13"/>
  <c r="Y23" i="13"/>
  <c r="X25" i="13"/>
  <c r="Y25" i="13"/>
  <c r="Y45" i="13"/>
  <c r="M22" i="10"/>
  <c r="N22" i="10"/>
  <c r="E4" i="12"/>
  <c r="W21" i="13"/>
  <c r="W22" i="13"/>
  <c r="W23" i="13"/>
  <c r="W25" i="13"/>
  <c r="W44" i="13"/>
  <c r="X24" i="13"/>
  <c r="M21" i="10"/>
  <c r="D3" i="12"/>
  <c r="Y44" i="13"/>
  <c r="W45" i="13"/>
  <c r="D4" i="12"/>
  <c r="W46" i="13"/>
  <c r="W47" i="13"/>
  <c r="Y46" i="13"/>
  <c r="A10" i="12"/>
  <c r="A11" i="12"/>
  <c r="A9" i="12"/>
  <c r="H2" i="1"/>
  <c r="D21" i="5"/>
  <c r="I4" i="1"/>
  <c r="X48" i="13"/>
  <c r="Y48" i="13"/>
  <c r="V48" i="13"/>
  <c r="W48" i="13"/>
  <c r="X47" i="13"/>
  <c r="V47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23" i="13"/>
  <c r="B4" i="13"/>
  <c r="D4" i="13"/>
  <c r="B5" i="13"/>
  <c r="D5" i="13"/>
  <c r="B6" i="13"/>
  <c r="D6" i="13"/>
  <c r="B7" i="13"/>
  <c r="D7" i="13"/>
  <c r="B8" i="13"/>
  <c r="D8" i="13"/>
  <c r="B9" i="13"/>
  <c r="D9" i="13"/>
  <c r="B10" i="13"/>
  <c r="D10" i="13"/>
  <c r="B11" i="13"/>
  <c r="D11" i="13"/>
  <c r="B12" i="13"/>
  <c r="D12" i="13"/>
  <c r="B13" i="13"/>
  <c r="D13" i="13"/>
  <c r="B14" i="13"/>
  <c r="D14" i="13"/>
  <c r="B15" i="13"/>
  <c r="D15" i="13"/>
  <c r="B3" i="13"/>
  <c r="D3" i="13"/>
  <c r="K4" i="13"/>
  <c r="M4" i="13"/>
  <c r="K5" i="13"/>
  <c r="M5" i="13"/>
  <c r="K6" i="13"/>
  <c r="M6" i="13"/>
  <c r="K7" i="13"/>
  <c r="M7" i="13"/>
  <c r="K8" i="13"/>
  <c r="M8" i="13"/>
  <c r="K9" i="13"/>
  <c r="M9" i="13"/>
  <c r="K10" i="13"/>
  <c r="M10" i="13"/>
  <c r="K11" i="13"/>
  <c r="M11" i="13"/>
  <c r="K12" i="13"/>
  <c r="M12" i="13"/>
  <c r="K13" i="13"/>
  <c r="M13" i="13"/>
  <c r="K14" i="13"/>
  <c r="M14" i="13"/>
  <c r="K15" i="13"/>
  <c r="M15" i="13"/>
  <c r="K3" i="13"/>
  <c r="M3" i="13"/>
  <c r="O32" i="10"/>
  <c r="M20" i="10"/>
  <c r="D8" i="10"/>
  <c r="E18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31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31" i="10"/>
  <c r="C8" i="10"/>
  <c r="E8" i="10"/>
  <c r="E4" i="10"/>
  <c r="E2" i="10"/>
  <c r="E3" i="10"/>
  <c r="E5" i="10"/>
  <c r="E6" i="10"/>
  <c r="E7" i="10"/>
  <c r="C14" i="10"/>
  <c r="B14" i="10"/>
  <c r="F15" i="10"/>
  <c r="F16" i="10"/>
  <c r="F19" i="10"/>
  <c r="E17" i="10"/>
  <c r="B18" i="10"/>
  <c r="B17" i="10"/>
  <c r="E19" i="10"/>
  <c r="E16" i="10"/>
  <c r="C16" i="10"/>
  <c r="C15" i="10"/>
  <c r="J48" i="4"/>
  <c r="J58" i="5"/>
  <c r="E58" i="5"/>
  <c r="D7" i="2"/>
  <c r="E15" i="4"/>
  <c r="D15" i="4"/>
  <c r="D15" i="5"/>
  <c r="G28" i="5"/>
  <c r="C15" i="5"/>
  <c r="C3" i="1"/>
  <c r="B25" i="4"/>
  <c r="B53" i="4"/>
  <c r="B15" i="4"/>
  <c r="F4" i="6"/>
  <c r="C5" i="4"/>
  <c r="C5" i="5"/>
  <c r="D12" i="2"/>
  <c r="E51" i="5"/>
  <c r="F51" i="5"/>
  <c r="G51" i="5"/>
  <c r="D11" i="2"/>
  <c r="D10" i="2"/>
  <c r="D9" i="2"/>
  <c r="D6" i="2"/>
  <c r="D4" i="2"/>
  <c r="D2" i="2"/>
  <c r="A2" i="7"/>
  <c r="B5" i="4"/>
  <c r="A44" i="4"/>
  <c r="E44" i="4"/>
  <c r="F44" i="4"/>
  <c r="G44" i="4"/>
  <c r="B5" i="5"/>
  <c r="A55" i="5"/>
  <c r="E55" i="5"/>
  <c r="F55" i="5"/>
  <c r="B18" i="5"/>
  <c r="A50" i="5"/>
  <c r="E50" i="5"/>
  <c r="F50" i="5"/>
  <c r="G50" i="5"/>
  <c r="A32" i="5"/>
  <c r="A53" i="5"/>
  <c r="A35" i="5"/>
  <c r="A56" i="5"/>
  <c r="J56" i="5"/>
  <c r="A57" i="5"/>
  <c r="E57" i="5"/>
  <c r="F57" i="5"/>
  <c r="G57" i="5"/>
  <c r="A49" i="5"/>
  <c r="E49" i="5"/>
  <c r="F49" i="5"/>
  <c r="G49" i="5"/>
  <c r="H16" i="5"/>
  <c r="H17" i="5"/>
  <c r="H18" i="5"/>
  <c r="H19" i="5"/>
  <c r="H20" i="5"/>
  <c r="H21" i="5"/>
  <c r="H22" i="5"/>
  <c r="H23" i="5"/>
  <c r="H15" i="5"/>
  <c r="G16" i="5"/>
  <c r="G17" i="5"/>
  <c r="G18" i="5"/>
  <c r="G20" i="5"/>
  <c r="G21" i="5"/>
  <c r="G22" i="5"/>
  <c r="F35" i="5"/>
  <c r="G23" i="5"/>
  <c r="G15" i="5"/>
  <c r="F16" i="5"/>
  <c r="F17" i="5"/>
  <c r="H30" i="5"/>
  <c r="F18" i="5"/>
  <c r="H31" i="5"/>
  <c r="F20" i="5"/>
  <c r="H33" i="5"/>
  <c r="F21" i="5"/>
  <c r="H34" i="5"/>
  <c r="F22" i="5"/>
  <c r="E35" i="5"/>
  <c r="C56" i="5"/>
  <c r="F23" i="5"/>
  <c r="H36" i="5"/>
  <c r="F15" i="5"/>
  <c r="H28" i="5"/>
  <c r="E16" i="5"/>
  <c r="D29" i="5"/>
  <c r="E17" i="5"/>
  <c r="E18" i="5"/>
  <c r="E20" i="5"/>
  <c r="E21" i="5"/>
  <c r="E22" i="5"/>
  <c r="D35" i="5"/>
  <c r="E23" i="5"/>
  <c r="E15" i="5"/>
  <c r="D16" i="5"/>
  <c r="C29" i="5"/>
  <c r="D18" i="5"/>
  <c r="G31" i="5"/>
  <c r="D20" i="5"/>
  <c r="G33" i="5"/>
  <c r="D22" i="5"/>
  <c r="C35" i="5"/>
  <c r="B56" i="5"/>
  <c r="D23" i="5"/>
  <c r="G36" i="5"/>
  <c r="C16" i="5"/>
  <c r="B29" i="5"/>
  <c r="B66" i="5"/>
  <c r="C17" i="5"/>
  <c r="B30" i="5"/>
  <c r="B67" i="5"/>
  <c r="C18" i="5"/>
  <c r="B31" i="5"/>
  <c r="C19" i="5"/>
  <c r="B32" i="5"/>
  <c r="B69" i="5"/>
  <c r="C22" i="5"/>
  <c r="B35" i="5"/>
  <c r="B72" i="5"/>
  <c r="C20" i="5"/>
  <c r="B33" i="5"/>
  <c r="B70" i="5"/>
  <c r="C21" i="5"/>
  <c r="B34" i="5"/>
  <c r="B71" i="5"/>
  <c r="C23" i="5"/>
  <c r="B36" i="5"/>
  <c r="B73" i="5"/>
  <c r="B28" i="5"/>
  <c r="B65" i="5"/>
  <c r="B16" i="5"/>
  <c r="B17" i="5"/>
  <c r="B19" i="5"/>
  <c r="B20" i="5"/>
  <c r="B21" i="5"/>
  <c r="B22" i="5"/>
  <c r="B23" i="5"/>
  <c r="B15" i="5"/>
  <c r="A43" i="4"/>
  <c r="J43" i="4"/>
  <c r="A45" i="4"/>
  <c r="J45" i="4"/>
  <c r="A46" i="4"/>
  <c r="J46" i="4"/>
  <c r="A42" i="4"/>
  <c r="E42" i="4"/>
  <c r="F42" i="4"/>
  <c r="G29" i="5"/>
  <c r="J44" i="4"/>
  <c r="J42" i="4"/>
  <c r="E43" i="4"/>
  <c r="F43" i="4"/>
  <c r="E56" i="5"/>
  <c r="F56" i="5"/>
  <c r="G56" i="5"/>
  <c r="J57" i="5"/>
  <c r="C7" i="5"/>
  <c r="C6" i="5"/>
  <c r="C7" i="4"/>
  <c r="C6" i="4"/>
  <c r="B6" i="4"/>
  <c r="B28" i="4"/>
  <c r="B56" i="4"/>
  <c r="G17" i="4"/>
  <c r="G19" i="4"/>
  <c r="G18" i="4"/>
  <c r="G15" i="4"/>
  <c r="F17" i="4"/>
  <c r="F19" i="4"/>
  <c r="F18" i="4"/>
  <c r="F15" i="4"/>
  <c r="E17" i="4"/>
  <c r="E19" i="4"/>
  <c r="E18" i="4"/>
  <c r="D17" i="4"/>
  <c r="C27" i="4"/>
  <c r="D19" i="4"/>
  <c r="D18" i="4"/>
  <c r="H18" i="4"/>
  <c r="C18" i="4"/>
  <c r="B18" i="4"/>
  <c r="C16" i="4"/>
  <c r="C17" i="4"/>
  <c r="C19" i="4"/>
  <c r="B26" i="4"/>
  <c r="B54" i="4"/>
  <c r="B27" i="4"/>
  <c r="B55" i="4"/>
  <c r="B29" i="4"/>
  <c r="B57" i="4"/>
  <c r="H16" i="4"/>
  <c r="H17" i="4"/>
  <c r="H19" i="4"/>
  <c r="H15" i="4"/>
  <c r="B19" i="4"/>
  <c r="B17" i="4"/>
  <c r="B16" i="4"/>
  <c r="C15" i="4"/>
  <c r="H29" i="5"/>
  <c r="G26" i="17"/>
  <c r="Y24" i="13"/>
  <c r="Y52" i="13"/>
  <c r="Y59" i="13"/>
  <c r="A67" i="5"/>
  <c r="A51" i="5"/>
  <c r="F41" i="17"/>
  <c r="G41" i="17"/>
  <c r="A70" i="5"/>
  <c r="A54" i="5"/>
  <c r="J54" i="5"/>
  <c r="Y47" i="13"/>
  <c r="X28" i="13"/>
  <c r="X35" i="13"/>
  <c r="AG21" i="13"/>
  <c r="D9" i="12"/>
  <c r="X51" i="13"/>
  <c r="X58" i="13"/>
  <c r="X53" i="13"/>
  <c r="X60" i="13"/>
  <c r="X30" i="13"/>
  <c r="X37" i="13"/>
  <c r="AG23" i="13"/>
  <c r="D11" i="12"/>
  <c r="X29" i="13"/>
  <c r="X36" i="13"/>
  <c r="AG22" i="13"/>
  <c r="D10" i="12"/>
  <c r="D16" i="12"/>
  <c r="F5" i="1"/>
  <c r="X52" i="13"/>
  <c r="X59" i="13"/>
  <c r="Y29" i="13"/>
  <c r="Y36" i="13"/>
  <c r="AH22" i="13"/>
  <c r="E10" i="12"/>
  <c r="E16" i="12"/>
  <c r="G5" i="1"/>
  <c r="G16" i="4"/>
  <c r="F29" i="4"/>
  <c r="Y28" i="13"/>
  <c r="Y51" i="13"/>
  <c r="Y58" i="13"/>
  <c r="Y53" i="13"/>
  <c r="Y30" i="13"/>
  <c r="Y37" i="13"/>
  <c r="E54" i="5"/>
  <c r="F54" i="5"/>
  <c r="J51" i="5"/>
  <c r="I8" i="14"/>
  <c r="I7" i="14"/>
  <c r="H13" i="1"/>
  <c r="D17" i="5"/>
  <c r="G30" i="5"/>
  <c r="E53" i="5"/>
  <c r="F53" i="5"/>
  <c r="G53" i="5"/>
  <c r="J53" i="5"/>
  <c r="D15" i="12"/>
  <c r="J5" i="1"/>
  <c r="Y60" i="13"/>
  <c r="AH23" i="13"/>
  <c r="E11" i="12"/>
  <c r="Y35" i="13"/>
  <c r="AH21" i="13"/>
  <c r="E9" i="12"/>
  <c r="E15" i="12"/>
  <c r="K5" i="1"/>
  <c r="G19" i="5"/>
  <c r="F32" i="5"/>
  <c r="F16" i="4"/>
  <c r="E26" i="4"/>
  <c r="B3" i="4"/>
  <c r="G34" i="5"/>
  <c r="C34" i="5"/>
  <c r="C71" i="5"/>
  <c r="G44" i="17"/>
  <c r="F46" i="18"/>
  <c r="G46" i="18"/>
  <c r="W24" i="13"/>
  <c r="V52" i="13"/>
  <c r="V59" i="13"/>
  <c r="V53" i="13"/>
  <c r="V60" i="13"/>
  <c r="J49" i="5"/>
  <c r="E45" i="4"/>
  <c r="F45" i="4"/>
  <c r="G45" i="4"/>
  <c r="C17" i="10"/>
  <c r="B15" i="10"/>
  <c r="B19" i="10"/>
  <c r="C19" i="10"/>
  <c r="F14" i="10"/>
  <c r="F18" i="10"/>
  <c r="N21" i="10"/>
  <c r="E3" i="12"/>
  <c r="F47" i="18"/>
  <c r="G47" i="18"/>
  <c r="F51" i="18"/>
  <c r="G51" i="18"/>
  <c r="F49" i="17"/>
  <c r="C49" i="17"/>
  <c r="E49" i="17"/>
  <c r="G49" i="17"/>
  <c r="H49" i="17"/>
  <c r="D49" i="17"/>
  <c r="F42" i="17"/>
  <c r="G42" i="17"/>
  <c r="C29" i="17"/>
  <c r="G58" i="5"/>
  <c r="V29" i="13"/>
  <c r="V36" i="13"/>
  <c r="AE22" i="13"/>
  <c r="B10" i="12"/>
  <c r="B16" i="12"/>
  <c r="D5" i="1"/>
  <c r="J50" i="5"/>
  <c r="A52" i="5"/>
  <c r="C18" i="10"/>
  <c r="B16" i="10"/>
  <c r="E15" i="10"/>
  <c r="F17" i="10"/>
  <c r="E14" i="10"/>
  <c r="F48" i="18"/>
  <c r="G48" i="18"/>
  <c r="L22" i="10"/>
  <c r="C4" i="12"/>
  <c r="V51" i="13"/>
  <c r="V58" i="13"/>
  <c r="AE21" i="13"/>
  <c r="B9" i="12"/>
  <c r="B15" i="12"/>
  <c r="H5" i="1"/>
  <c r="V30" i="13"/>
  <c r="V37" i="13"/>
  <c r="AE23" i="13"/>
  <c r="B11" i="12"/>
  <c r="J55" i="5"/>
  <c r="E46" i="4"/>
  <c r="F46" i="4"/>
  <c r="G46" i="4"/>
  <c r="F50" i="18"/>
  <c r="G50" i="18"/>
  <c r="C50" i="17"/>
  <c r="E50" i="17"/>
  <c r="F50" i="17"/>
  <c r="G48" i="4"/>
  <c r="E29" i="17"/>
  <c r="C36" i="5"/>
  <c r="C73" i="5"/>
  <c r="D56" i="5"/>
  <c r="K56" i="5"/>
  <c r="I56" i="5"/>
  <c r="C28" i="5"/>
  <c r="G43" i="4"/>
  <c r="G42" i="4"/>
  <c r="G54" i="5"/>
  <c r="G55" i="5"/>
  <c r="F47" i="4"/>
  <c r="C32" i="18"/>
  <c r="B51" i="18"/>
  <c r="B4" i="17"/>
  <c r="G28" i="17"/>
  <c r="A34" i="17"/>
  <c r="H26" i="17"/>
  <c r="B34" i="17"/>
  <c r="C41" i="17"/>
  <c r="C43" i="17"/>
  <c r="E51" i="17"/>
  <c r="G51" i="17"/>
  <c r="D42" i="17"/>
  <c r="K42" i="17"/>
  <c r="I42" i="17"/>
  <c r="B41" i="17"/>
  <c r="D26" i="17"/>
  <c r="D50" i="17"/>
  <c r="B43" i="17"/>
  <c r="D28" i="17"/>
  <c r="D51" i="17"/>
  <c r="C38" i="18"/>
  <c r="A38" i="18"/>
  <c r="B48" i="18"/>
  <c r="K50" i="18"/>
  <c r="I50" i="18"/>
  <c r="D49" i="18"/>
  <c r="G50" i="17"/>
  <c r="D51" i="18"/>
  <c r="D46" i="18"/>
  <c r="H47" i="18"/>
  <c r="F26" i="4"/>
  <c r="F55" i="4"/>
  <c r="E55" i="4"/>
  <c r="G55" i="4"/>
  <c r="B55" i="5"/>
  <c r="F25" i="4"/>
  <c r="F53" i="4"/>
  <c r="F57" i="4"/>
  <c r="E29" i="4"/>
  <c r="E57" i="4"/>
  <c r="G57" i="4"/>
  <c r="B44" i="4"/>
  <c r="C30" i="5"/>
  <c r="C67" i="5"/>
  <c r="C66" i="5"/>
  <c r="B50" i="5"/>
  <c r="B57" i="5"/>
  <c r="C54" i="4"/>
  <c r="B68" i="5"/>
  <c r="F31" i="5"/>
  <c r="L56" i="5"/>
  <c r="F72" i="5"/>
  <c r="D66" i="5"/>
  <c r="C43" i="4"/>
  <c r="F69" i="5"/>
  <c r="D69" i="5"/>
  <c r="H35" i="5"/>
  <c r="F33" i="5"/>
  <c r="F70" i="5"/>
  <c r="E25" i="4"/>
  <c r="F28" i="4"/>
  <c r="F56" i="4"/>
  <c r="G35" i="5"/>
  <c r="D19" i="5"/>
  <c r="J52" i="5"/>
  <c r="E52" i="5"/>
  <c r="F52" i="5"/>
  <c r="G52" i="5"/>
  <c r="W29" i="13"/>
  <c r="W36" i="13"/>
  <c r="W51" i="13"/>
  <c r="W58" i="13"/>
  <c r="W52" i="13"/>
  <c r="W59" i="13"/>
  <c r="W28" i="13"/>
  <c r="W35" i="13"/>
  <c r="W53" i="13"/>
  <c r="W60" i="13"/>
  <c r="H50" i="17"/>
  <c r="E47" i="4"/>
  <c r="D16" i="4"/>
  <c r="C26" i="4"/>
  <c r="B43" i="4"/>
  <c r="W30" i="13"/>
  <c r="W37" i="13"/>
  <c r="AF23" i="13"/>
  <c r="C11" i="12"/>
  <c r="F19" i="5"/>
  <c r="C65" i="5"/>
  <c r="B49" i="5"/>
  <c r="C37" i="5"/>
  <c r="G47" i="4"/>
  <c r="H51" i="17"/>
  <c r="K52" i="17"/>
  <c r="C34" i="17"/>
  <c r="D34" i="17"/>
  <c r="D43" i="17"/>
  <c r="H50" i="18"/>
  <c r="C44" i="17"/>
  <c r="K51" i="18"/>
  <c r="I51" i="18"/>
  <c r="D48" i="18"/>
  <c r="D52" i="18"/>
  <c r="B52" i="18"/>
  <c r="H68" i="18"/>
  <c r="K46" i="18"/>
  <c r="I46" i="18"/>
  <c r="D41" i="17"/>
  <c r="B44" i="17"/>
  <c r="K49" i="18"/>
  <c r="I49" i="18"/>
  <c r="F28" i="17"/>
  <c r="F51" i="17"/>
  <c r="K43" i="17"/>
  <c r="I43" i="17"/>
  <c r="H42" i="17"/>
  <c r="B51" i="5"/>
  <c r="C46" i="4"/>
  <c r="F68" i="5"/>
  <c r="D43" i="4"/>
  <c r="E53" i="4"/>
  <c r="G53" i="4"/>
  <c r="C42" i="4"/>
  <c r="E28" i="4"/>
  <c r="H56" i="5"/>
  <c r="AF22" i="13"/>
  <c r="C10" i="12"/>
  <c r="C16" i="12"/>
  <c r="E5" i="1"/>
  <c r="AF21" i="13"/>
  <c r="C9" i="12"/>
  <c r="C15" i="12"/>
  <c r="I5" i="1"/>
  <c r="H32" i="5"/>
  <c r="E32" i="5"/>
  <c r="C53" i="5"/>
  <c r="G32" i="5"/>
  <c r="C32" i="5"/>
  <c r="B53" i="5"/>
  <c r="D53" i="5"/>
  <c r="H51" i="18"/>
  <c r="H43" i="17"/>
  <c r="H49" i="18"/>
  <c r="K52" i="18"/>
  <c r="I52" i="18"/>
  <c r="K48" i="18"/>
  <c r="I48" i="18"/>
  <c r="H46" i="18"/>
  <c r="D44" i="17"/>
  <c r="K41" i="17"/>
  <c r="I41" i="17"/>
  <c r="H70" i="18"/>
  <c r="H67" i="18"/>
  <c r="H69" i="18"/>
  <c r="H71" i="18"/>
  <c r="H66" i="18"/>
  <c r="C45" i="4"/>
  <c r="E56" i="4"/>
  <c r="G56" i="4"/>
  <c r="K43" i="4"/>
  <c r="I43" i="4"/>
  <c r="L43" i="17"/>
  <c r="L53" i="5"/>
  <c r="K53" i="5"/>
  <c r="E19" i="5"/>
  <c r="B2" i="5"/>
  <c r="B3" i="5"/>
  <c r="E16" i="4"/>
  <c r="B2" i="4"/>
  <c r="H48" i="18"/>
  <c r="K44" i="17"/>
  <c r="I44" i="17"/>
  <c r="L42" i="17"/>
  <c r="L41" i="17"/>
  <c r="L44" i="17"/>
  <c r="H52" i="18"/>
  <c r="H41" i="17"/>
  <c r="H43" i="4"/>
  <c r="D34" i="5"/>
  <c r="D71" i="5"/>
  <c r="D36" i="5"/>
  <c r="C69" i="5"/>
  <c r="D28" i="5"/>
  <c r="D30" i="5"/>
  <c r="E72" i="5"/>
  <c r="G72" i="5"/>
  <c r="E69" i="5"/>
  <c r="G69" i="5"/>
  <c r="E33" i="5"/>
  <c r="E31" i="5"/>
  <c r="D27" i="4"/>
  <c r="D54" i="4"/>
  <c r="D32" i="5"/>
  <c r="D72" i="5"/>
  <c r="C72" i="5"/>
  <c r="H72" i="5"/>
  <c r="B4" i="5"/>
  <c r="D33" i="5"/>
  <c r="D31" i="5"/>
  <c r="D25" i="4"/>
  <c r="D26" i="4"/>
  <c r="D55" i="4"/>
  <c r="C55" i="4"/>
  <c r="H55" i="4"/>
  <c r="B4" i="4"/>
  <c r="D28" i="4"/>
  <c r="D29" i="4"/>
  <c r="I53" i="5"/>
  <c r="H53" i="5"/>
  <c r="H44" i="17"/>
  <c r="D57" i="4"/>
  <c r="C29" i="4"/>
  <c r="C25" i="4"/>
  <c r="D53" i="4"/>
  <c r="E70" i="5"/>
  <c r="G70" i="5"/>
  <c r="C54" i="5"/>
  <c r="D65" i="5"/>
  <c r="F28" i="5"/>
  <c r="D56" i="4"/>
  <c r="C28" i="4"/>
  <c r="D68" i="5"/>
  <c r="C31" i="5"/>
  <c r="F54" i="4"/>
  <c r="E54" i="4"/>
  <c r="G54" i="4"/>
  <c r="H54" i="4"/>
  <c r="H69" i="5"/>
  <c r="C33" i="5"/>
  <c r="D70" i="5"/>
  <c r="F27" i="4"/>
  <c r="E27" i="4"/>
  <c r="D73" i="5"/>
  <c r="F36" i="5"/>
  <c r="F34" i="5"/>
  <c r="F29" i="5"/>
  <c r="E68" i="5"/>
  <c r="G68" i="5"/>
  <c r="C52" i="5"/>
  <c r="F30" i="5"/>
  <c r="D67" i="5"/>
  <c r="F71" i="5"/>
  <c r="E34" i="5"/>
  <c r="F65" i="5"/>
  <c r="E28" i="5"/>
  <c r="F73" i="5"/>
  <c r="E36" i="5"/>
  <c r="B54" i="5"/>
  <c r="D54" i="5"/>
  <c r="C70" i="5"/>
  <c r="H70" i="5"/>
  <c r="B42" i="4"/>
  <c r="C53" i="4"/>
  <c r="H53" i="4"/>
  <c r="D34" i="4"/>
  <c r="A34" i="4"/>
  <c r="C34" i="4"/>
  <c r="E30" i="5"/>
  <c r="F67" i="5"/>
  <c r="B52" i="5"/>
  <c r="C68" i="5"/>
  <c r="H68" i="5"/>
  <c r="A43" i="5"/>
  <c r="C43" i="5"/>
  <c r="B45" i="4"/>
  <c r="D45" i="4"/>
  <c r="C56" i="4"/>
  <c r="H56" i="4"/>
  <c r="K58" i="4"/>
  <c r="C57" i="4"/>
  <c r="H57" i="4"/>
  <c r="B46" i="4"/>
  <c r="D46" i="4"/>
  <c r="C30" i="4"/>
  <c r="D30" i="4"/>
  <c r="F66" i="5"/>
  <c r="E29" i="5"/>
  <c r="C44" i="4"/>
  <c r="B34" i="4"/>
  <c r="E30" i="4"/>
  <c r="L54" i="5"/>
  <c r="K54" i="5"/>
  <c r="I54" i="5"/>
  <c r="K45" i="4"/>
  <c r="I45" i="4"/>
  <c r="D52" i="5"/>
  <c r="B58" i="5"/>
  <c r="C49" i="5"/>
  <c r="E65" i="5"/>
  <c r="G65" i="5"/>
  <c r="H65" i="5"/>
  <c r="E37" i="5"/>
  <c r="D44" i="4"/>
  <c r="C47" i="4"/>
  <c r="C48" i="4"/>
  <c r="K46" i="4"/>
  <c r="I46" i="4"/>
  <c r="C50" i="5"/>
  <c r="D50" i="5"/>
  <c r="E66" i="5"/>
  <c r="G66" i="5"/>
  <c r="H66" i="5"/>
  <c r="B43" i="5"/>
  <c r="E67" i="5"/>
  <c r="G67" i="5"/>
  <c r="H67" i="5"/>
  <c r="C51" i="5"/>
  <c r="D51" i="5"/>
  <c r="E73" i="5"/>
  <c r="G73" i="5"/>
  <c r="H73" i="5"/>
  <c r="C57" i="5"/>
  <c r="D57" i="5"/>
  <c r="E71" i="5"/>
  <c r="G71" i="5"/>
  <c r="H71" i="5"/>
  <c r="C55" i="5"/>
  <c r="D55" i="5"/>
  <c r="D42" i="4"/>
  <c r="B47" i="4"/>
  <c r="B48" i="4"/>
  <c r="L44" i="4"/>
  <c r="K44" i="4"/>
  <c r="I44" i="4"/>
  <c r="H46" i="4"/>
  <c r="L52" i="5"/>
  <c r="K52" i="5"/>
  <c r="I52" i="5"/>
  <c r="H54" i="5"/>
  <c r="L57" i="5"/>
  <c r="K57" i="5"/>
  <c r="I57" i="5"/>
  <c r="H74" i="5"/>
  <c r="K74" i="5"/>
  <c r="K42" i="4"/>
  <c r="I42" i="4"/>
  <c r="H42" i="4"/>
  <c r="D47" i="4"/>
  <c r="L42" i="4"/>
  <c r="L55" i="5"/>
  <c r="K55" i="5"/>
  <c r="I55" i="5"/>
  <c r="K51" i="5"/>
  <c r="I51" i="5"/>
  <c r="L51" i="5"/>
  <c r="L50" i="5"/>
  <c r="K50" i="5"/>
  <c r="I50" i="5"/>
  <c r="D49" i="5"/>
  <c r="C58" i="5"/>
  <c r="H45" i="4"/>
  <c r="H55" i="5"/>
  <c r="D48" i="4"/>
  <c r="L43" i="4"/>
  <c r="K47" i="4"/>
  <c r="I47" i="4"/>
  <c r="L45" i="4"/>
  <c r="L47" i="4"/>
  <c r="L46" i="4"/>
  <c r="H57" i="5"/>
  <c r="H52" i="5"/>
  <c r="H44" i="4"/>
  <c r="K49" i="5"/>
  <c r="I49" i="5"/>
  <c r="D58" i="5"/>
  <c r="L49" i="5"/>
  <c r="H51" i="5"/>
  <c r="H50" i="5"/>
  <c r="H49" i="5"/>
  <c r="H47" i="4"/>
  <c r="K48" i="4"/>
  <c r="I48" i="4"/>
  <c r="H48" i="4"/>
  <c r="K58" i="5"/>
  <c r="I58" i="5"/>
  <c r="L58" i="5"/>
  <c r="H58" i="5"/>
</calcChain>
</file>

<file path=xl/sharedStrings.xml><?xml version="1.0" encoding="utf-8"?>
<sst xmlns="http://schemas.openxmlformats.org/spreadsheetml/2006/main" count="1224" uniqueCount="279">
  <si>
    <t>Parameters</t>
  </si>
  <si>
    <t>Value</t>
  </si>
  <si>
    <t>Source</t>
  </si>
  <si>
    <t>Average Retained weight</t>
  </si>
  <si>
    <t>Average released Weight</t>
  </si>
  <si>
    <t>Average Release Probability (#)</t>
  </si>
  <si>
    <t>Commercial discard rate</t>
  </si>
  <si>
    <t>Recreational Discard Mortality</t>
  </si>
  <si>
    <t>Commercial Discard Mortality</t>
  </si>
  <si>
    <t>Total commercial discards</t>
  </si>
  <si>
    <t>Init data</t>
  </si>
  <si>
    <t>Country</t>
  </si>
  <si>
    <t>Year</t>
  </si>
  <si>
    <t>Angler Numbers</t>
  </si>
  <si>
    <t>Retained weight</t>
  </si>
  <si>
    <t>Retained Number</t>
  </si>
  <si>
    <t>Released weight</t>
  </si>
  <si>
    <t>Released Number</t>
  </si>
  <si>
    <t>Notes</t>
  </si>
  <si>
    <t>Bias</t>
  </si>
  <si>
    <t>Germany</t>
  </si>
  <si>
    <t>Denmark</t>
  </si>
  <si>
    <t>Sweden</t>
  </si>
  <si>
    <t>Norway</t>
  </si>
  <si>
    <t>England</t>
  </si>
  <si>
    <t>Scotland</t>
  </si>
  <si>
    <t>Belgium</t>
  </si>
  <si>
    <t>Netherlands</t>
  </si>
  <si>
    <t>France</t>
  </si>
  <si>
    <t>Norway Tourism</t>
  </si>
  <si>
    <t>Reconstruction</t>
  </si>
  <si>
    <t>Calculations</t>
  </si>
  <si>
    <t>Angler numbers</t>
  </si>
  <si>
    <t>Reconstructed retained?</t>
  </si>
  <si>
    <t>Reconstructed released?</t>
  </si>
  <si>
    <t>Retained Wt</t>
  </si>
  <si>
    <t>Retained # calculation</t>
  </si>
  <si>
    <t>Released # calculation</t>
  </si>
  <si>
    <t>None</t>
  </si>
  <si>
    <t>Avg</t>
  </si>
  <si>
    <t>Prop</t>
  </si>
  <si>
    <t>Calculation from papers weights in denmark recreational sheet</t>
  </si>
  <si>
    <t>EN</t>
  </si>
  <si>
    <t>% of total weight reconstructed</t>
  </si>
  <si>
    <t>Released Weight</t>
  </si>
  <si>
    <t>Total weight</t>
  </si>
  <si>
    <t>Summary with post release mortalities</t>
  </si>
  <si>
    <t>Recreational</t>
  </si>
  <si>
    <t>Commercial</t>
  </si>
  <si>
    <t>% of catch</t>
  </si>
  <si>
    <t>Kept</t>
  </si>
  <si>
    <t>Released mortality</t>
  </si>
  <si>
    <t>Removal</t>
  </si>
  <si>
    <t>Landings</t>
  </si>
  <si>
    <t>Discard mortality</t>
  </si>
  <si>
    <t>Total removal</t>
  </si>
  <si>
    <t>ICES estimate landings + discard</t>
  </si>
  <si>
    <t>Leave-one-out (* = countries used in leave-one-out procedure)</t>
  </si>
  <si>
    <t>Dead releases</t>
  </si>
  <si>
    <t>England*</t>
  </si>
  <si>
    <t>Netherlands*</t>
  </si>
  <si>
    <t>Upper confidence limit</t>
  </si>
  <si>
    <t>Lower confidence limit</t>
  </si>
  <si>
    <t>Result</t>
  </si>
  <si>
    <t>Total (LOO)</t>
  </si>
  <si>
    <t>Likely wrong as only based on England</t>
  </si>
  <si>
    <t>Commercial Discard rate</t>
  </si>
  <si>
    <t>ICES 2017 assessment</t>
  </si>
  <si>
    <t>Channel Islands</t>
  </si>
  <si>
    <t>Ireland</t>
  </si>
  <si>
    <t>Wales</t>
  </si>
  <si>
    <t>Y</t>
  </si>
  <si>
    <t>N</t>
  </si>
  <si>
    <t>Total</t>
  </si>
  <si>
    <t>2012 landings</t>
  </si>
  <si>
    <t>France*</t>
  </si>
  <si>
    <t>Total Commercial discards</t>
  </si>
  <si>
    <t>Reconstructed from province CPUE</t>
  </si>
  <si>
    <t>Denmark*</t>
  </si>
  <si>
    <t>Germany*</t>
  </si>
  <si>
    <t>Average Release Probability (weight)</t>
  </si>
  <si>
    <t>Estonia</t>
  </si>
  <si>
    <t>Finland</t>
  </si>
  <si>
    <t>Latvia</t>
  </si>
  <si>
    <t>Lithuania</t>
  </si>
  <si>
    <t>Poland</t>
  </si>
  <si>
    <t>NA</t>
  </si>
  <si>
    <t>SE</t>
  </si>
  <si>
    <t>LT</t>
  </si>
  <si>
    <t xml:space="preserve"> </t>
  </si>
  <si>
    <t>Number of anglers</t>
  </si>
  <si>
    <t>C-Ret-Wt</t>
  </si>
  <si>
    <t>C-Ret-No</t>
  </si>
  <si>
    <t>C-Rel-Wt</t>
  </si>
  <si>
    <t>C-Rel-No</t>
  </si>
  <si>
    <t>N-Ret-Wt</t>
  </si>
  <si>
    <t>N-Ret-No</t>
  </si>
  <si>
    <t>N-Rel-Wt</t>
  </si>
  <si>
    <t>N-Rel-No</t>
  </si>
  <si>
    <t>2014-2015</t>
  </si>
  <si>
    <t>Persoon (2015)</t>
  </si>
  <si>
    <t>Sparrevohn et al. (2012)</t>
  </si>
  <si>
    <t>Armstrong et al. (2013)</t>
  </si>
  <si>
    <t>Herfaut et al. (2013)</t>
  </si>
  <si>
    <t>Strehlow et al. (2012) - Angler number from Hyder et al (2018) supplementary material</t>
  </si>
  <si>
    <t>2010/2011</t>
  </si>
  <si>
    <t>(van der Hammen and de Graaf, 2013,2015,2016)</t>
  </si>
  <si>
    <t>2009-2011</t>
  </si>
  <si>
    <t>Vølstad et al. (2011)</t>
  </si>
  <si>
    <t>Hyder et al. (2018)</t>
  </si>
  <si>
    <t>Eastern-Ret-Wt</t>
  </si>
  <si>
    <t>Eastern-Ret-No</t>
  </si>
  <si>
    <t>Eastern-Rel-Wt</t>
  </si>
  <si>
    <t>Eastern-Rel-No</t>
  </si>
  <si>
    <t>Western-Ret-Wt</t>
  </si>
  <si>
    <t>Western-Ret-No</t>
  </si>
  <si>
    <t>Western-Rel-Wt</t>
  </si>
  <si>
    <t>Western-Rel-No</t>
  </si>
  <si>
    <t>WGRFS (2016)</t>
  </si>
  <si>
    <t>Cod-7e-k</t>
  </si>
  <si>
    <t>Cod-347d</t>
  </si>
  <si>
    <t>WGCSE (2017)</t>
  </si>
  <si>
    <t>WGNSSK (2017)</t>
  </si>
  <si>
    <t>MMO (2016)</t>
  </si>
  <si>
    <t>C-Source</t>
  </si>
  <si>
    <t>R-Source</t>
  </si>
  <si>
    <t>Recreational Baltic Sea</t>
  </si>
  <si>
    <t>Depestele et al. (2014)</t>
  </si>
  <si>
    <t>Cappizano et al. (2016)</t>
  </si>
  <si>
    <t>Welterbach &amp; Strehlow (2013)</t>
  </si>
  <si>
    <t>Celtic Sea</t>
  </si>
  <si>
    <t>North Sea</t>
  </si>
  <si>
    <t>Wbalt</t>
  </si>
  <si>
    <t>WGBFAS (2017)</t>
  </si>
  <si>
    <t>Method</t>
  </si>
  <si>
    <t>CNS</t>
  </si>
  <si>
    <t>Skagerrak</t>
  </si>
  <si>
    <t>Limfjorden</t>
  </si>
  <si>
    <t>Kattegat</t>
  </si>
  <si>
    <t>Passive gear</t>
  </si>
  <si>
    <t>Angling license</t>
  </si>
  <si>
    <t>Region</t>
  </si>
  <si>
    <t>ICES area</t>
  </si>
  <si>
    <t>Init No. of boats</t>
  </si>
  <si>
    <t>No. of boats in pop</t>
  </si>
  <si>
    <t>Proportion represented</t>
  </si>
  <si>
    <t>Central North Sea</t>
  </si>
  <si>
    <t>27.4.b</t>
  </si>
  <si>
    <t>Southern North Sea</t>
  </si>
  <si>
    <t>27.4.c</t>
  </si>
  <si>
    <t>Irish Sea</t>
  </si>
  <si>
    <t>27.7.a</t>
  </si>
  <si>
    <t>Avg ret</t>
  </si>
  <si>
    <t>Avg rel</t>
  </si>
  <si>
    <t>Eastern channel</t>
  </si>
  <si>
    <t>27.7.d</t>
  </si>
  <si>
    <t>From study</t>
  </si>
  <si>
    <t>Western Channel</t>
  </si>
  <si>
    <t>27.7.e</t>
  </si>
  <si>
    <t>From actual values</t>
  </si>
  <si>
    <t>27.7.f</t>
  </si>
  <si>
    <t>kept (wt)</t>
  </si>
  <si>
    <t>kept (#)</t>
  </si>
  <si>
    <t>rse</t>
  </si>
  <si>
    <t>Released (wt)</t>
  </si>
  <si>
    <t>released (#)</t>
  </si>
  <si>
    <t>Ignore</t>
  </si>
  <si>
    <t>Kept wt</t>
  </si>
  <si>
    <t>kept #</t>
  </si>
  <si>
    <t>Released wt</t>
  </si>
  <si>
    <t>Released #</t>
  </si>
  <si>
    <t>North</t>
  </si>
  <si>
    <t>Celtic</t>
  </si>
  <si>
    <t xml:space="preserve">4B </t>
  </si>
  <si>
    <t>Central north sea</t>
  </si>
  <si>
    <t>4C</t>
  </si>
  <si>
    <t>7e</t>
  </si>
  <si>
    <t>7d</t>
  </si>
  <si>
    <t>Eastern Channel</t>
  </si>
  <si>
    <t>7f</t>
  </si>
  <si>
    <t>Total kept catch weight</t>
  </si>
  <si>
    <t>Total released catch weight</t>
  </si>
  <si>
    <t>Species</t>
  </si>
  <si>
    <t>Area 4b</t>
  </si>
  <si>
    <t>Area 4c</t>
  </si>
  <si>
    <t>Area VIId</t>
  </si>
  <si>
    <t>Area VIIe</t>
  </si>
  <si>
    <t>Area VIIf</t>
  </si>
  <si>
    <t>bass</t>
  </si>
  <si>
    <t>cod</t>
  </si>
  <si>
    <t>conger</t>
  </si>
  <si>
    <t>dab</t>
  </si>
  <si>
    <t>dogfish</t>
  </si>
  <si>
    <t>Eur eel</t>
  </si>
  <si>
    <t>flounder</t>
  </si>
  <si>
    <t>mackerel</t>
  </si>
  <si>
    <t>turbot&amp;brill</t>
  </si>
  <si>
    <t>other</t>
  </si>
  <si>
    <t>plaice</t>
  </si>
  <si>
    <t>ling</t>
  </si>
  <si>
    <t>pollack</t>
  </si>
  <si>
    <t>saithe</t>
  </si>
  <si>
    <t>seabream</t>
  </si>
  <si>
    <t>skates_rays</t>
  </si>
  <si>
    <t>smooth hound</t>
  </si>
  <si>
    <t>tope</t>
  </si>
  <si>
    <t>whiting</t>
  </si>
  <si>
    <t>bib</t>
  </si>
  <si>
    <t>wrasse</t>
  </si>
  <si>
    <t>Shore</t>
  </si>
  <si>
    <t>Boat</t>
  </si>
  <si>
    <t>IFCA Region</t>
  </si>
  <si>
    <t>Effort</t>
  </si>
  <si>
    <t>CPUE</t>
  </si>
  <si>
    <t>Catch (#)</t>
  </si>
  <si>
    <t>CPUE #</t>
  </si>
  <si>
    <t>NW</t>
  </si>
  <si>
    <t>CO</t>
  </si>
  <si>
    <t>DS&amp;A</t>
  </si>
  <si>
    <t>DS&amp;B</t>
  </si>
  <si>
    <t>SO</t>
  </si>
  <si>
    <t>Row Labels</t>
  </si>
  <si>
    <t>Sum of Kept-wt</t>
  </si>
  <si>
    <t>Sum of Rel-wt</t>
  </si>
  <si>
    <t>SU</t>
  </si>
  <si>
    <t>cod-347d</t>
  </si>
  <si>
    <t>KE</t>
  </si>
  <si>
    <t>cod-7e-k</t>
  </si>
  <si>
    <t>EA-1</t>
  </si>
  <si>
    <t>cod-scow</t>
  </si>
  <si>
    <t>EA-2</t>
  </si>
  <si>
    <t>Grand Total</t>
  </si>
  <si>
    <t>EA-3</t>
  </si>
  <si>
    <t>Average weights shore</t>
  </si>
  <si>
    <t>EA-4</t>
  </si>
  <si>
    <t>Released</t>
  </si>
  <si>
    <t>NE</t>
  </si>
  <si>
    <t>NM</t>
  </si>
  <si>
    <t>Combined</t>
  </si>
  <si>
    <t>Unraised catch</t>
  </si>
  <si>
    <t>Raised catch</t>
  </si>
  <si>
    <t>Stock</t>
  </si>
  <si>
    <t>Rel wt</t>
  </si>
  <si>
    <t>Rel #</t>
  </si>
  <si>
    <t>Quarter</t>
  </si>
  <si>
    <t>Kept -CPUE</t>
  </si>
  <si>
    <t>Kept-wt</t>
  </si>
  <si>
    <t>Rel-CPUE</t>
  </si>
  <si>
    <t>Rel-wt</t>
  </si>
  <si>
    <t>Q1</t>
  </si>
  <si>
    <t>Q2</t>
  </si>
  <si>
    <t>Uses median from method 1 &amp; 2</t>
  </si>
  <si>
    <t>Q3</t>
  </si>
  <si>
    <t>Total from study</t>
  </si>
  <si>
    <t>Q4</t>
  </si>
  <si>
    <t>Proportions</t>
  </si>
  <si>
    <t>K&amp;E</t>
  </si>
  <si>
    <t>Charter</t>
  </si>
  <si>
    <t>Ecoregion</t>
  </si>
  <si>
    <t>Retained</t>
  </si>
  <si>
    <t>#</t>
  </si>
  <si>
    <t>North sea</t>
  </si>
  <si>
    <t>Celtic sea</t>
  </si>
  <si>
    <t>Private</t>
  </si>
  <si>
    <t>Anglers</t>
  </si>
  <si>
    <t>Sweden (Whole)</t>
  </si>
  <si>
    <t>Karlsson et al. (2016)</t>
  </si>
  <si>
    <t>Sea area</t>
  </si>
  <si>
    <t>Norrlandskusten</t>
  </si>
  <si>
    <t>Baltic</t>
  </si>
  <si>
    <t>S.Ostkusten, Öland o Gotland</t>
  </si>
  <si>
    <t>Sum of Anglers</t>
  </si>
  <si>
    <t>Sydkusten</t>
  </si>
  <si>
    <t>3a</t>
  </si>
  <si>
    <t>Västkusten</t>
  </si>
  <si>
    <t>S.Götalands inland</t>
  </si>
  <si>
    <t>Götaland o Svealands slättbyggd</t>
  </si>
  <si>
    <t>N.Götaland o Svealands inland</t>
  </si>
  <si>
    <t>Norrlands inland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</si>
</sst>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0.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4" fillId="5" borderId="0" applyNumberFormat="0" applyBorder="0" applyAlignment="0" applyProtection="0"/>
    <xf numFmtId="0" fontId="5" fillId="8" borderId="2" applyNumberFormat="0" applyAlignment="0" applyProtection="0"/>
  </cellStyleXfs>
  <cellXfs count="74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10" fontId="0" fillId="0" borderId="0" xfId="0" applyNumberFormat="1"/>
    <xf numFmtId="3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Fill="1"/>
    <xf numFmtId="10" fontId="1" fillId="6" borderId="0" xfId="0" applyNumberFormat="1" applyFont="1" applyFill="1"/>
    <xf numFmtId="0" fontId="1" fillId="6" borderId="0" xfId="0" applyFont="1" applyFill="1"/>
    <xf numFmtId="0" fontId="0" fillId="6" borderId="0" xfId="0" applyFill="1"/>
    <xf numFmtId="0" fontId="0" fillId="7" borderId="0" xfId="0" applyFill="1"/>
    <xf numFmtId="0" fontId="2" fillId="3" borderId="0" xfId="1"/>
    <xf numFmtId="3" fontId="2" fillId="3" borderId="0" xfId="1" applyNumberFormat="1"/>
    <xf numFmtId="0" fontId="4" fillId="5" borderId="0" xfId="3"/>
    <xf numFmtId="3" fontId="4" fillId="5" borderId="0" xfId="3" applyNumberFormat="1"/>
    <xf numFmtId="0" fontId="0" fillId="0" borderId="0" xfId="0" pivotButton="1"/>
    <xf numFmtId="0" fontId="0" fillId="0" borderId="0" xfId="0" applyNumberFormat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top"/>
    </xf>
    <xf numFmtId="0" fontId="0" fillId="0" borderId="0" xfId="0" applyFont="1" applyBorder="1"/>
    <xf numFmtId="0" fontId="5" fillId="8" borderId="2" xfId="4"/>
    <xf numFmtId="0" fontId="5" fillId="8" borderId="2" xfId="4" applyAlignment="1">
      <alignment horizontal="left"/>
    </xf>
    <xf numFmtId="2" fontId="0" fillId="0" borderId="3" xfId="0" applyNumberFormat="1" applyBorder="1"/>
    <xf numFmtId="0" fontId="6" fillId="0" borderId="0" xfId="0" applyFont="1"/>
    <xf numFmtId="3" fontId="6" fillId="0" borderId="0" xfId="0" applyNumberFormat="1" applyFont="1"/>
    <xf numFmtId="10" fontId="6" fillId="0" borderId="0" xfId="0" applyNumberFormat="1" applyFont="1"/>
    <xf numFmtId="3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7" fillId="0" borderId="0" xfId="0" applyFont="1"/>
    <xf numFmtId="0" fontId="8" fillId="0" borderId="0" xfId="0" applyFont="1"/>
    <xf numFmtId="0" fontId="9" fillId="5" borderId="0" xfId="3" applyFont="1"/>
    <xf numFmtId="2" fontId="9" fillId="5" borderId="0" xfId="3" applyNumberFormat="1" applyFont="1"/>
    <xf numFmtId="10" fontId="9" fillId="5" borderId="0" xfId="3" applyNumberFormat="1" applyFont="1"/>
    <xf numFmtId="0" fontId="10" fillId="0" borderId="0" xfId="0" applyFont="1"/>
    <xf numFmtId="0" fontId="0" fillId="0" borderId="0" xfId="0" applyFont="1"/>
    <xf numFmtId="2" fontId="0" fillId="0" borderId="0" xfId="0" applyNumberFormat="1"/>
    <xf numFmtId="2" fontId="0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6" fillId="0" borderId="0" xfId="0" quotePrefix="1" applyFont="1"/>
    <xf numFmtId="0" fontId="6" fillId="0" borderId="0" xfId="0" applyFont="1" applyAlignment="1"/>
    <xf numFmtId="4" fontId="6" fillId="0" borderId="0" xfId="0" applyNumberFormat="1" applyFont="1"/>
    <xf numFmtId="0" fontId="3" fillId="4" borderId="1" xfId="2" applyFont="1"/>
    <xf numFmtId="3" fontId="6" fillId="0" borderId="0" xfId="0" applyNumberFormat="1" applyFont="1" applyAlignment="1">
      <alignment horizontal="left"/>
    </xf>
    <xf numFmtId="2" fontId="6" fillId="0" borderId="0" xfId="0" applyNumberFormat="1" applyFont="1"/>
    <xf numFmtId="2" fontId="6" fillId="0" borderId="0" xfId="0" applyNumberFormat="1" applyFont="1" applyFill="1"/>
    <xf numFmtId="4" fontId="9" fillId="5" borderId="0" xfId="3" applyNumberFormat="1" applyFont="1"/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" fillId="2" borderId="0" xfId="0" applyFont="1" applyFill="1"/>
    <xf numFmtId="2" fontId="1" fillId="2" borderId="0" xfId="0" applyNumberFormat="1" applyFont="1" applyFill="1"/>
    <xf numFmtId="10" fontId="1" fillId="2" borderId="0" xfId="0" applyNumberFormat="1" applyFont="1" applyFill="1"/>
    <xf numFmtId="165" fontId="6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5" fillId="8" borderId="2" xfId="4" applyAlignment="1">
      <alignment horizontal="center"/>
    </xf>
  </cellXfs>
  <cellStyles count="5">
    <cellStyle name="Bad" xfId="1" builtinId="27"/>
    <cellStyle name="Check Cell" xfId="2" builtinId="23"/>
    <cellStyle name="Good" xfId="3" builtinId="26"/>
    <cellStyle name="Normal" xfId="0" builtinId="0"/>
    <cellStyle name="Output" xfId="4" builtinId="2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achary Radford (Cefas)" refreshedDate="42849.700439236112" createdVersion="6" refreshedVersion="6" minRefreshableVersion="3" recordCount="52" xr:uid="{00000000-000A-0000-FFFF-FFFF00000000}">
  <cacheSource type="worksheet">
    <worksheetSource ref="A22:H74" sheet="English boat + shore"/>
  </cacheSource>
  <cacheFields count="8">
    <cacheField name="Region" numFmtId="0">
      <sharedItems containsBlank="1"/>
    </cacheField>
    <cacheField name="Quarter" numFmtId="0">
      <sharedItems/>
    </cacheField>
    <cacheField name="Effort" numFmtId="0">
      <sharedItems containsSemiMixedTypes="0" containsString="0" containsNumber="1" containsInteger="1" minValue="0" maxValue="32851"/>
    </cacheField>
    <cacheField name="Kept -CPUE" numFmtId="0">
      <sharedItems containsSemiMixedTypes="0" containsString="0" containsNumber="1" minValue="0" maxValue="2.1379999999999999"/>
    </cacheField>
    <cacheField name="Kept-wt" numFmtId="0">
      <sharedItems containsSemiMixedTypes="0" containsString="0" containsNumber="1" minValue="0" maxValue="3.275334"/>
    </cacheField>
    <cacheField name="Rel-CPUE" numFmtId="0">
      <sharedItems containsSemiMixedTypes="0" containsString="0" containsNumber="1" minValue="0" maxValue="9.6000000000000002E-2"/>
    </cacheField>
    <cacheField name="Rel-wt" numFmtId="0">
      <sharedItems containsSemiMixedTypes="0" containsString="0" containsNumber="1" minValue="0" maxValue="0.85534199999999994"/>
    </cacheField>
    <cacheField name="Stock" numFmtId="0">
      <sharedItems count="3">
        <s v="cod-scow"/>
        <s v="cod-iris"/>
        <s v="cod-347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achary Radford (Cefas)" refreshedDate="42849.700513773147" createdVersion="6" refreshedVersion="6" minRefreshableVersion="3" recordCount="52" xr:uid="{00000000-000A-0000-FFFF-FFFF01000000}">
  <cacheSource type="worksheet">
    <worksheetSource ref="J22:Q74" sheet="English boat + shore"/>
  </cacheSource>
  <cacheFields count="8">
    <cacheField name="Region" numFmtId="0">
      <sharedItems containsBlank="1"/>
    </cacheField>
    <cacheField name="Quarter" numFmtId="0">
      <sharedItems/>
    </cacheField>
    <cacheField name="Effort" numFmtId="0">
      <sharedItems containsSemiMixedTypes="0" containsString="0" containsNumber="1" containsInteger="1" minValue="0" maxValue="30409"/>
    </cacheField>
    <cacheField name="Kept -CPUE" numFmtId="0">
      <sharedItems containsSemiMixedTypes="0" containsString="0" containsNumber="1" minValue="0" maxValue="11.294"/>
    </cacheField>
    <cacheField name="Kept-wt" numFmtId="0">
      <sharedItems containsSemiMixedTypes="0" containsString="0" containsNumber="1" minValue="0" maxValue="11.093992"/>
    </cacheField>
    <cacheField name="Rel-CPUE" numFmtId="0">
      <sharedItems containsSemiMixedTypes="0" containsString="0" containsNumber="1" minValue="0" maxValue="4.3540000000000001"/>
    </cacheField>
    <cacheField name="Rel-wt" numFmtId="0">
      <sharedItems containsSemiMixedTypes="0" containsString="0" containsNumber="1" minValue="0" maxValue="11.093992"/>
    </cacheField>
    <cacheField name="Stock" numFmtId="0">
      <sharedItems count="3">
        <s v="cod-scow"/>
        <s v="cod-iris"/>
        <s v="cod-347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achary Radford (Cefas)" refreshedDate="42850.601127083333" createdVersion="6" refreshedVersion="6" minRefreshableVersion="3" recordCount="8" xr:uid="{00000000-000A-0000-FFFF-FFFF02000000}">
  <cacheSource type="worksheet">
    <worksheetSource ref="A4:C12" sheet="Sweden landings"/>
  </cacheSource>
  <cacheFields count="3">
    <cacheField name="Region" numFmtId="0">
      <sharedItems/>
    </cacheField>
    <cacheField name="Anglers" numFmtId="3">
      <sharedItems containsSemiMixedTypes="0" containsString="0" containsNumber="1" containsInteger="1" minValue="78717" maxValue="456045"/>
    </cacheField>
    <cacheField name="Sea area" numFmtId="0">
      <sharedItems count="2">
        <s v="Baltic"/>
        <s v="3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">
  <r>
    <s v="NW"/>
    <s v="Q1"/>
    <n v="10160"/>
    <n v="0"/>
    <n v="0"/>
    <n v="4.0000000000000001E-3"/>
    <n v="4.0640000000000003E-2"/>
    <x v="0"/>
  </r>
  <r>
    <m/>
    <s v="Q2"/>
    <n v="13362"/>
    <n v="0"/>
    <n v="0"/>
    <n v="0"/>
    <n v="0"/>
    <x v="0"/>
  </r>
  <r>
    <m/>
    <s v="Q3"/>
    <n v="16708"/>
    <n v="8.1000000000000003E-2"/>
    <n v="1.353348"/>
    <n v="0"/>
    <n v="0"/>
    <x v="0"/>
  </r>
  <r>
    <m/>
    <s v="Q4"/>
    <n v="20196"/>
    <n v="0.107"/>
    <n v="2.1609719999999997"/>
    <n v="3.2000000000000001E-2"/>
    <n v="0.64627200000000007"/>
    <x v="0"/>
  </r>
  <r>
    <s v="CO"/>
    <s v="Q1"/>
    <n v="6359"/>
    <n v="0"/>
    <n v="0"/>
    <n v="0"/>
    <n v="0"/>
    <x v="1"/>
  </r>
  <r>
    <m/>
    <s v="Q2"/>
    <n v="5792"/>
    <n v="0"/>
    <n v="0"/>
    <n v="0"/>
    <n v="0"/>
    <x v="1"/>
  </r>
  <r>
    <m/>
    <s v="Q3"/>
    <n v="9760"/>
    <n v="0"/>
    <n v="0"/>
    <n v="0"/>
    <n v="0"/>
    <x v="1"/>
  </r>
  <r>
    <m/>
    <s v="Q4"/>
    <n v="7098"/>
    <n v="0"/>
    <n v="0"/>
    <n v="0"/>
    <n v="0"/>
    <x v="1"/>
  </r>
  <r>
    <s v="DS&amp;A"/>
    <s v="Q1"/>
    <n v="11867"/>
    <n v="0"/>
    <n v="0"/>
    <n v="0"/>
    <n v="0"/>
    <x v="1"/>
  </r>
  <r>
    <m/>
    <s v="Q2"/>
    <n v="11496"/>
    <n v="0"/>
    <n v="0"/>
    <n v="0"/>
    <n v="0"/>
    <x v="1"/>
  </r>
  <r>
    <m/>
    <s v="Q3"/>
    <n v="18412"/>
    <n v="0"/>
    <n v="0"/>
    <n v="0"/>
    <n v="0"/>
    <x v="1"/>
  </r>
  <r>
    <m/>
    <s v="Q4"/>
    <n v="3767"/>
    <n v="0"/>
    <n v="0"/>
    <n v="0"/>
    <n v="0"/>
    <x v="1"/>
  </r>
  <r>
    <s v="DS&amp;B"/>
    <s v="Q1"/>
    <n v="3754"/>
    <n v="0.13100000000000001"/>
    <n v="0.49177399999999999"/>
    <n v="9.6000000000000002E-2"/>
    <n v="0.36038400000000004"/>
    <x v="1"/>
  </r>
  <r>
    <m/>
    <s v="Q2"/>
    <n v="5422"/>
    <n v="1.7999999999999999E-2"/>
    <n v="9.7595999999999988E-2"/>
    <n v="0"/>
    <n v="0"/>
    <x v="1"/>
  </r>
  <r>
    <m/>
    <s v="Q3"/>
    <n v="3615"/>
    <n v="0"/>
    <n v="0"/>
    <n v="0"/>
    <n v="0"/>
    <x v="1"/>
  </r>
  <r>
    <m/>
    <s v="Q4"/>
    <n v="7014"/>
    <n v="0"/>
    <n v="0"/>
    <n v="8.9999999999999993E-3"/>
    <n v="6.3126000000000002E-2"/>
    <x v="1"/>
  </r>
  <r>
    <s v="SO"/>
    <s v="Q1"/>
    <n v="11712"/>
    <n v="0"/>
    <n v="0"/>
    <n v="0"/>
    <n v="0"/>
    <x v="1"/>
  </r>
  <r>
    <m/>
    <s v="Q2"/>
    <n v="17664"/>
    <n v="0"/>
    <n v="0"/>
    <n v="0"/>
    <n v="0"/>
    <x v="1"/>
  </r>
  <r>
    <m/>
    <s v="Q3"/>
    <n v="17674"/>
    <n v="0"/>
    <n v="0"/>
    <n v="0"/>
    <n v="0"/>
    <x v="1"/>
  </r>
  <r>
    <m/>
    <s v="Q4"/>
    <n v="11135"/>
    <n v="0"/>
    <n v="0"/>
    <n v="0"/>
    <n v="0"/>
    <x v="1"/>
  </r>
  <r>
    <s v="SU"/>
    <s v="Q1"/>
    <n v="10501"/>
    <n v="0"/>
    <n v="0"/>
    <n v="0"/>
    <n v="0"/>
    <x v="2"/>
  </r>
  <r>
    <m/>
    <s v="Q2"/>
    <n v="9707"/>
    <n v="0"/>
    <n v="0"/>
    <n v="0"/>
    <n v="0"/>
    <x v="2"/>
  </r>
  <r>
    <m/>
    <s v="Q3"/>
    <n v="32851"/>
    <n v="0"/>
    <n v="0"/>
    <n v="0"/>
    <n v="0"/>
    <x v="2"/>
  </r>
  <r>
    <m/>
    <s v="Q4"/>
    <n v="1217"/>
    <n v="0"/>
    <n v="0"/>
    <n v="0"/>
    <n v="0"/>
    <x v="2"/>
  </r>
  <r>
    <s v="K&amp;E"/>
    <s v="Q1"/>
    <n v="17851"/>
    <n v="2.4E-2"/>
    <n v="0.42842400000000003"/>
    <n v="1.4999999999999999E-2"/>
    <n v="0.26776499999999998"/>
    <x v="2"/>
  </r>
  <r>
    <m/>
    <s v="Q2"/>
    <n v="15600"/>
    <n v="2.1000000000000001E-2"/>
    <n v="0.3276"/>
    <n v="6.0000000000000001E-3"/>
    <n v="9.3600000000000003E-2"/>
    <x v="2"/>
  </r>
  <r>
    <m/>
    <s v="Q3"/>
    <n v="20430"/>
    <n v="0"/>
    <n v="0"/>
    <n v="0"/>
    <n v="0"/>
    <x v="2"/>
  </r>
  <r>
    <m/>
    <s v="Q4"/>
    <n v="12058"/>
    <n v="0"/>
    <n v="0"/>
    <n v="0"/>
    <n v="0"/>
    <x v="2"/>
  </r>
  <r>
    <s v="EA-1"/>
    <s v="Q1"/>
    <n v="0"/>
    <n v="0"/>
    <n v="0"/>
    <n v="0"/>
    <n v="0"/>
    <x v="2"/>
  </r>
  <r>
    <m/>
    <s v="Q2"/>
    <n v="1318"/>
    <n v="2.1379999999999999"/>
    <n v="2.8178839999999998"/>
    <n v="0"/>
    <n v="0"/>
    <x v="2"/>
  </r>
  <r>
    <m/>
    <s v="Q3"/>
    <n v="1079"/>
    <n v="0.24399999999999999"/>
    <n v="0.26327600000000001"/>
    <n v="0"/>
    <n v="0"/>
    <x v="2"/>
  </r>
  <r>
    <m/>
    <s v="Q4"/>
    <n v="940"/>
    <n v="0"/>
    <n v="0"/>
    <n v="0"/>
    <n v="0"/>
    <x v="2"/>
  </r>
  <r>
    <s v="EA-2"/>
    <s v="Q1"/>
    <n v="910"/>
    <n v="0"/>
    <n v="0"/>
    <n v="0"/>
    <n v="0"/>
    <x v="2"/>
  </r>
  <r>
    <m/>
    <s v="Q2"/>
    <n v="3094"/>
    <n v="0"/>
    <n v="0"/>
    <n v="0"/>
    <n v="0"/>
    <x v="2"/>
  </r>
  <r>
    <m/>
    <s v="Q3"/>
    <n v="4385"/>
    <n v="0"/>
    <n v="0"/>
    <n v="0"/>
    <n v="0"/>
    <x v="2"/>
  </r>
  <r>
    <m/>
    <s v="Q4"/>
    <n v="140"/>
    <n v="0"/>
    <n v="0"/>
    <n v="0"/>
    <n v="0"/>
    <x v="2"/>
  </r>
  <r>
    <s v="EA-3"/>
    <s v="Q1"/>
    <n v="3822"/>
    <n v="0"/>
    <n v="0"/>
    <n v="0"/>
    <n v="0"/>
    <x v="2"/>
  </r>
  <r>
    <m/>
    <s v="Q2"/>
    <n v="1752"/>
    <n v="0"/>
    <n v="0"/>
    <n v="1E-3"/>
    <n v="1.7520000000000001E-3"/>
    <x v="2"/>
  </r>
  <r>
    <m/>
    <s v="Q3"/>
    <n v="2214"/>
    <n v="0"/>
    <n v="0"/>
    <n v="0"/>
    <n v="0"/>
    <x v="2"/>
  </r>
  <r>
    <m/>
    <s v="Q4"/>
    <n v="4623"/>
    <n v="0"/>
    <n v="0"/>
    <n v="0"/>
    <n v="0"/>
    <x v="2"/>
  </r>
  <r>
    <s v="EA-4"/>
    <s v="Q1"/>
    <n v="0"/>
    <n v="0"/>
    <n v="0"/>
    <n v="0"/>
    <n v="0"/>
    <x v="2"/>
  </r>
  <r>
    <m/>
    <s v="Q2"/>
    <n v="341"/>
    <n v="0"/>
    <n v="0"/>
    <n v="0"/>
    <n v="0"/>
    <x v="2"/>
  </r>
  <r>
    <m/>
    <s v="Q3"/>
    <n v="1881"/>
    <n v="0"/>
    <n v="0"/>
    <n v="2.8000000000000001E-2"/>
    <n v="5.2668E-2"/>
    <x v="2"/>
  </r>
  <r>
    <m/>
    <s v="Q4"/>
    <n v="182"/>
    <n v="0"/>
    <n v="0"/>
    <n v="0"/>
    <n v="0"/>
    <x v="2"/>
  </r>
  <r>
    <s v="NE"/>
    <s v="Q1"/>
    <n v="13181"/>
    <n v="0"/>
    <n v="0"/>
    <n v="0"/>
    <n v="0"/>
    <x v="2"/>
  </r>
  <r>
    <m/>
    <s v="Q2"/>
    <n v="16072"/>
    <n v="0"/>
    <n v="0"/>
    <n v="0"/>
    <n v="0"/>
    <x v="2"/>
  </r>
  <r>
    <m/>
    <s v="Q3"/>
    <n v="9562"/>
    <n v="0"/>
    <n v="0"/>
    <n v="0"/>
    <n v="0"/>
    <x v="2"/>
  </r>
  <r>
    <m/>
    <s v="Q4"/>
    <n v="18401"/>
    <n v="5.2999999999999999E-2"/>
    <n v="0.97525299999999993"/>
    <n v="3.7999999999999999E-2"/>
    <n v="0.69923799999999992"/>
    <x v="2"/>
  </r>
  <r>
    <s v="NM"/>
    <s v="Q1"/>
    <n v="20862"/>
    <n v="0.157"/>
    <n v="3.275334"/>
    <n v="4.1000000000000002E-2"/>
    <n v="0.85534199999999994"/>
    <x v="2"/>
  </r>
  <r>
    <m/>
    <s v="Q2"/>
    <n v="13202"/>
    <n v="0"/>
    <n v="0"/>
    <n v="5.0000000000000001E-3"/>
    <n v="6.6009999999999999E-2"/>
    <x v="2"/>
  </r>
  <r>
    <m/>
    <s v="Q3"/>
    <n v="10888"/>
    <n v="0.04"/>
    <n v="0.43551999999999996"/>
    <n v="2.5999999999999999E-2"/>
    <n v="0.28308799999999995"/>
    <x v="2"/>
  </r>
  <r>
    <m/>
    <s v="Q4"/>
    <n v="3445"/>
    <n v="9.2999999999999999E-2"/>
    <n v="0.32038499999999998"/>
    <n v="0"/>
    <n v="0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">
  <r>
    <s v="NW"/>
    <s v="Q1"/>
    <n v="4550"/>
    <n v="0"/>
    <n v="0"/>
    <n v="0"/>
    <n v="0"/>
    <x v="0"/>
  </r>
  <r>
    <m/>
    <s v="Q2"/>
    <n v="2427"/>
    <n v="0"/>
    <n v="0"/>
    <n v="0"/>
    <n v="0"/>
    <x v="0"/>
  </r>
  <r>
    <m/>
    <s v="Q3"/>
    <n v="1740"/>
    <n v="2.2280000000000002"/>
    <n v="3.8767200000000002"/>
    <n v="3.1320000000000001"/>
    <n v="5.4496799999999999"/>
    <x v="0"/>
  </r>
  <r>
    <m/>
    <s v="Q4"/>
    <n v="2548"/>
    <n v="4.3540000000000001"/>
    <n v="11.093992"/>
    <n v="4.3540000000000001"/>
    <n v="11.093992"/>
    <x v="0"/>
  </r>
  <r>
    <s v="CO"/>
    <s v="Q1"/>
    <n v="0"/>
    <n v="0"/>
    <n v="0"/>
    <n v="0"/>
    <n v="0"/>
    <x v="1"/>
  </r>
  <r>
    <m/>
    <s v="Q2"/>
    <n v="0"/>
    <n v="0"/>
    <n v="0"/>
    <n v="0"/>
    <n v="0"/>
    <x v="1"/>
  </r>
  <r>
    <m/>
    <s v="Q3"/>
    <n v="7394"/>
    <n v="0.79200000000000004"/>
    <n v="5.8560480000000004"/>
    <n v="0"/>
    <n v="0"/>
    <x v="1"/>
  </r>
  <r>
    <m/>
    <s v="Q4"/>
    <n v="0"/>
    <n v="0"/>
    <n v="0"/>
    <n v="0"/>
    <n v="0"/>
    <x v="1"/>
  </r>
  <r>
    <s v="DS&amp;A"/>
    <s v="Q1"/>
    <n v="865"/>
    <n v="0"/>
    <n v="0"/>
    <n v="0"/>
    <n v="0"/>
    <x v="1"/>
  </r>
  <r>
    <m/>
    <s v="Q2"/>
    <n v="0"/>
    <n v="0"/>
    <n v="0"/>
    <n v="0"/>
    <n v="0"/>
    <x v="1"/>
  </r>
  <r>
    <m/>
    <s v="Q3"/>
    <n v="28407"/>
    <n v="0"/>
    <n v="0"/>
    <n v="0"/>
    <n v="0"/>
    <x v="1"/>
  </r>
  <r>
    <m/>
    <s v="Q4"/>
    <n v="0"/>
    <n v="0"/>
    <n v="0"/>
    <n v="0"/>
    <n v="0"/>
    <x v="1"/>
  </r>
  <r>
    <s v="DS&amp;B"/>
    <s v="Q1"/>
    <n v="0"/>
    <n v="0"/>
    <n v="0"/>
    <n v="0"/>
    <n v="0"/>
    <x v="1"/>
  </r>
  <r>
    <m/>
    <s v="Q2"/>
    <n v="0"/>
    <n v="0"/>
    <n v="0"/>
    <n v="0"/>
    <n v="0"/>
    <x v="1"/>
  </r>
  <r>
    <m/>
    <s v="Q3"/>
    <n v="0"/>
    <n v="0"/>
    <n v="0"/>
    <n v="0"/>
    <n v="0"/>
    <x v="1"/>
  </r>
  <r>
    <m/>
    <s v="Q4"/>
    <n v="0"/>
    <n v="0"/>
    <n v="0"/>
    <n v="0"/>
    <n v="0"/>
    <x v="1"/>
  </r>
  <r>
    <s v="SO"/>
    <s v="Q1"/>
    <n v="2032"/>
    <n v="0"/>
    <n v="0"/>
    <n v="0"/>
    <n v="0"/>
    <x v="1"/>
  </r>
  <r>
    <m/>
    <s v="Q2"/>
    <n v="3422"/>
    <n v="0"/>
    <n v="0"/>
    <n v="0"/>
    <n v="0"/>
    <x v="1"/>
  </r>
  <r>
    <m/>
    <s v="Q3"/>
    <n v="13832"/>
    <n v="0.189"/>
    <n v="2.6142479999999999"/>
    <n v="5.0000000000000001E-3"/>
    <n v="6.9159999999999999E-2"/>
    <x v="1"/>
  </r>
  <r>
    <m/>
    <s v="Q4"/>
    <n v="5506"/>
    <n v="0"/>
    <n v="0"/>
    <n v="0"/>
    <n v="0"/>
    <x v="1"/>
  </r>
  <r>
    <s v="SU"/>
    <s v="Q1"/>
    <n v="1820"/>
    <n v="0"/>
    <n v="0"/>
    <n v="0"/>
    <n v="0"/>
    <x v="2"/>
  </r>
  <r>
    <m/>
    <s v="Q2"/>
    <n v="248"/>
    <n v="0"/>
    <n v="0"/>
    <n v="0"/>
    <n v="0"/>
    <x v="2"/>
  </r>
  <r>
    <m/>
    <s v="Q3"/>
    <n v="3080"/>
    <n v="5.8000000000000003E-2"/>
    <n v="0.17864000000000002"/>
    <n v="2.3E-2"/>
    <n v="7.084E-2"/>
    <x v="2"/>
  </r>
  <r>
    <m/>
    <s v="Q4"/>
    <n v="58"/>
    <n v="0"/>
    <n v="0"/>
    <n v="0"/>
    <n v="0"/>
    <x v="2"/>
  </r>
  <r>
    <s v="K&amp;E"/>
    <s v="Q1"/>
    <n v="0"/>
    <n v="0"/>
    <n v="0"/>
    <n v="0"/>
    <n v="0"/>
    <x v="2"/>
  </r>
  <r>
    <m/>
    <s v="Q2"/>
    <n v="0"/>
    <n v="0"/>
    <n v="0"/>
    <n v="0"/>
    <n v="0"/>
    <x v="2"/>
  </r>
  <r>
    <m/>
    <s v="Q3"/>
    <n v="30409"/>
    <n v="8.9999999999999993E-3"/>
    <n v="0.27368100000000001"/>
    <n v="0"/>
    <n v="0"/>
    <x v="2"/>
  </r>
  <r>
    <m/>
    <s v="Q4"/>
    <n v="2002"/>
    <n v="0"/>
    <n v="0"/>
    <n v="0"/>
    <n v="0"/>
    <x v="2"/>
  </r>
  <r>
    <s v="EA-1"/>
    <s v="Q1"/>
    <n v="0"/>
    <n v="0"/>
    <n v="0"/>
    <n v="0"/>
    <n v="0"/>
    <x v="2"/>
  </r>
  <r>
    <m/>
    <s v="Q2"/>
    <n v="0"/>
    <n v="0"/>
    <n v="0"/>
    <n v="0"/>
    <n v="0"/>
    <x v="2"/>
  </r>
  <r>
    <m/>
    <s v="Q3"/>
    <n v="0"/>
    <n v="0"/>
    <n v="0"/>
    <n v="0"/>
    <n v="0"/>
    <x v="2"/>
  </r>
  <r>
    <m/>
    <s v="Q4"/>
    <n v="0"/>
    <n v="0"/>
    <n v="0"/>
    <n v="0"/>
    <n v="0"/>
    <x v="2"/>
  </r>
  <r>
    <s v="EA-2"/>
    <s v="Q1"/>
    <n v="0"/>
    <n v="0"/>
    <n v="0"/>
    <n v="0"/>
    <n v="0"/>
    <x v="2"/>
  </r>
  <r>
    <m/>
    <s v="Q2"/>
    <n v="0"/>
    <n v="0"/>
    <n v="0"/>
    <n v="0"/>
    <n v="0"/>
    <x v="2"/>
  </r>
  <r>
    <m/>
    <s v="Q3"/>
    <n v="57"/>
    <n v="0"/>
    <n v="0"/>
    <n v="0"/>
    <n v="0"/>
    <x v="2"/>
  </r>
  <r>
    <m/>
    <s v="Q4"/>
    <n v="0"/>
    <n v="0"/>
    <n v="0"/>
    <n v="0"/>
    <n v="0"/>
    <x v="2"/>
  </r>
  <r>
    <s v="EA-3"/>
    <s v="Q1"/>
    <n v="0"/>
    <n v="0"/>
    <n v="0"/>
    <n v="0"/>
    <n v="0"/>
    <x v="2"/>
  </r>
  <r>
    <m/>
    <s v="Q2"/>
    <n v="0"/>
    <n v="0"/>
    <n v="0"/>
    <n v="0"/>
    <n v="0"/>
    <x v="2"/>
  </r>
  <r>
    <m/>
    <s v="Q3"/>
    <n v="0"/>
    <n v="0"/>
    <n v="0"/>
    <n v="0"/>
    <n v="0"/>
    <x v="2"/>
  </r>
  <r>
    <m/>
    <s v="Q4"/>
    <n v="0"/>
    <n v="0"/>
    <n v="0"/>
    <n v="0"/>
    <n v="0"/>
    <x v="2"/>
  </r>
  <r>
    <s v="EA-4"/>
    <s v="Q1"/>
    <n v="0"/>
    <n v="0"/>
    <n v="0"/>
    <n v="0"/>
    <n v="0"/>
    <x v="2"/>
  </r>
  <r>
    <m/>
    <s v="Q2"/>
    <n v="0"/>
    <n v="0"/>
    <n v="0"/>
    <n v="0"/>
    <n v="0"/>
    <x v="2"/>
  </r>
  <r>
    <m/>
    <s v="Q3"/>
    <n v="0"/>
    <n v="0"/>
    <n v="0"/>
    <n v="0"/>
    <n v="0"/>
    <x v="2"/>
  </r>
  <r>
    <m/>
    <s v="Q4"/>
    <n v="546"/>
    <n v="2.339"/>
    <n v="1.277094"/>
    <n v="0"/>
    <n v="0"/>
    <x v="2"/>
  </r>
  <r>
    <s v="NE"/>
    <s v="Q1"/>
    <n v="0"/>
    <n v="0"/>
    <n v="0"/>
    <n v="0"/>
    <n v="0"/>
    <x v="2"/>
  </r>
  <r>
    <m/>
    <s v="Q2"/>
    <n v="3397"/>
    <n v="0"/>
    <n v="0"/>
    <n v="0"/>
    <n v="0"/>
    <x v="2"/>
  </r>
  <r>
    <m/>
    <s v="Q3"/>
    <n v="3581"/>
    <n v="1.151"/>
    <n v="4.1217309999999996"/>
    <n v="9.7000000000000003E-2"/>
    <n v="0.34735700000000003"/>
    <x v="2"/>
  </r>
  <r>
    <m/>
    <s v="Q4"/>
    <n v="478"/>
    <n v="11.294"/>
    <n v="5.3985320000000003"/>
    <n v="0"/>
    <n v="0"/>
    <x v="2"/>
  </r>
  <r>
    <s v="NM"/>
    <s v="Q1"/>
    <n v="152"/>
    <n v="0"/>
    <n v="0"/>
    <n v="0.372"/>
    <n v="5.6543999999999997E-2"/>
    <x v="2"/>
  </r>
  <r>
    <m/>
    <s v="Q2"/>
    <n v="0"/>
    <n v="0"/>
    <n v="0"/>
    <n v="0"/>
    <n v="0"/>
    <x v="2"/>
  </r>
  <r>
    <m/>
    <s v="Q3"/>
    <n v="2427"/>
    <n v="0.16900000000000001"/>
    <n v="0.410163"/>
    <n v="0.36299999999999999"/>
    <n v="0.88100099999999992"/>
    <x v="2"/>
  </r>
  <r>
    <m/>
    <s v="Q4"/>
    <n v="91"/>
    <n v="0"/>
    <n v="0"/>
    <n v="0.74299999999999999"/>
    <n v="6.7613000000000006E-2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s v="Norrlandskusten"/>
    <n v="179188"/>
    <x v="0"/>
  </r>
  <r>
    <s v="S.Ostkusten, Öland o Gotland"/>
    <n v="347230"/>
    <x v="0"/>
  </r>
  <r>
    <s v="Sydkusten"/>
    <n v="78717"/>
    <x v="0"/>
  </r>
  <r>
    <s v="Västkusten"/>
    <n v="167208"/>
    <x v="1"/>
  </r>
  <r>
    <s v="S.Götalands inland"/>
    <n v="147194"/>
    <x v="1"/>
  </r>
  <r>
    <s v="Götaland o Svealands slättbyggd"/>
    <n v="456045"/>
    <x v="1"/>
  </r>
  <r>
    <s v="N.Götaland o Svealands inland"/>
    <n v="97612"/>
    <x v="1"/>
  </r>
  <r>
    <s v="Norrlands inland"/>
    <n v="10076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1000000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S7:U11" firstHeaderRow="0" firstDataRow="1" firstDataCol="1"/>
  <pivotFields count="8">
    <pivotField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dataField="1" subtotalTop="0" showAll="0"/>
    <pivotField axis="axisRow" subtotalTop="0" showAll="0">
      <items count="4">
        <item x="2"/>
        <item n="cod-7e-k" x="1"/>
        <item x="0"/>
        <item t="default"/>
      </items>
    </pivotField>
  </pivotFields>
  <rowFields count="1">
    <field x="7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Kept-wt" fld="4" baseField="0" baseItem="0"/>
    <dataField name="Sum of Rel-wt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O7:Q11" firstHeaderRow="0" firstDataRow="1" firstDataCol="1"/>
  <pivotFields count="8">
    <pivotField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dataField="1" subtotalTop="0" showAll="0"/>
    <pivotField axis="axisRow" subtotalTop="0" showAll="0">
      <items count="4">
        <item x="2"/>
        <item n="cod-7e-k" x="1"/>
        <item x="0"/>
        <item t="default"/>
      </items>
    </pivotField>
  </pivotFields>
  <rowFields count="1">
    <field x="7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Kept-wt" fld="4" baseField="0" baseItem="0"/>
    <dataField name="Sum of Rel-wt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6:H9" firstHeaderRow="1" firstDataRow="1" firstDataCol="1"/>
  <pivotFields count="3">
    <pivotField subtotalTop="0" showAll="0"/>
    <pivotField dataField="1" numFmtId="3" subtotalTop="0" showAll="0"/>
    <pivotField axis="axisRow" subtotalTop="0" showAll="0">
      <items count="3">
        <item x="1"/>
        <item x="0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 of Anglers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M87"/>
  <sheetViews>
    <sheetView topLeftCell="E44" zoomScale="55" zoomScaleNormal="55" workbookViewId="0">
      <selection activeCell="G82" sqref="G82"/>
    </sheetView>
  </sheetViews>
  <sheetFormatPr defaultColWidth="9.140625" defaultRowHeight="15" x14ac:dyDescent="0.25"/>
  <cols>
    <col min="1" max="1" width="34.7109375" style="40" bestFit="1" customWidth="1"/>
    <col min="2" max="2" width="17.42578125" style="40" bestFit="1" customWidth="1"/>
    <col min="3" max="3" width="19.7109375" style="40" bestFit="1" customWidth="1"/>
    <col min="4" max="4" width="15.7109375" style="40" bestFit="1" customWidth="1"/>
    <col min="5" max="5" width="25.28515625" style="40" bestFit="1" customWidth="1"/>
    <col min="6" max="6" width="17" style="40" bestFit="1" customWidth="1"/>
    <col min="7" max="7" width="33" style="40" customWidth="1"/>
    <col min="8" max="8" width="39.42578125" style="40" bestFit="1" customWidth="1"/>
    <col min="9" max="9" width="23.28515625" style="40" bestFit="1" customWidth="1"/>
    <col min="10" max="10" width="23.28515625" style="40" customWidth="1"/>
    <col min="11" max="11" width="23.42578125" style="40" bestFit="1" customWidth="1"/>
    <col min="12" max="12" width="70.5703125" style="40" bestFit="1" customWidth="1"/>
    <col min="13" max="13" width="7.42578125" style="40" customWidth="1"/>
    <col min="14" max="14" width="20.85546875" style="40" bestFit="1" customWidth="1"/>
    <col min="15" max="16384" width="9.140625" style="40"/>
  </cols>
  <sheetData>
    <row r="1" spans="1:10" x14ac:dyDescent="0.25">
      <c r="A1" s="27" t="s">
        <v>0</v>
      </c>
      <c r="B1" s="27" t="s">
        <v>1</v>
      </c>
      <c r="C1" s="27" t="s">
        <v>2</v>
      </c>
      <c r="D1" s="27"/>
      <c r="E1" s="27"/>
      <c r="F1" s="27"/>
      <c r="G1" s="27"/>
      <c r="H1" s="27"/>
      <c r="I1" s="27"/>
      <c r="J1" s="27"/>
    </row>
    <row r="2" spans="1:10" x14ac:dyDescent="0.25">
      <c r="A2" s="27" t="s">
        <v>3</v>
      </c>
      <c r="B2" s="27">
        <f>(SUMIFS('Country recreational landings'!H2:H14,'Country recreational landings'!H2:H14,"&lt;&gt;NA",'Country recreational landings'!I2:I14,"&lt;&gt;NA")/SUMIFS('Country recreational landings'!I2:I14,'Country recreational landings'!I2:I14,"&lt;&gt;NA",'Country recreational landings'!H2:H14,"&lt;&gt;NA"))*1000</f>
        <v>1.7702581363213556</v>
      </c>
      <c r="C2" s="27"/>
      <c r="D2" s="27"/>
      <c r="E2" s="27"/>
      <c r="F2" s="27"/>
      <c r="G2" s="27"/>
      <c r="H2" s="27"/>
      <c r="I2" s="27"/>
      <c r="J2" s="27"/>
    </row>
    <row r="3" spans="1:10" x14ac:dyDescent="0.25">
      <c r="A3" s="27" t="s">
        <v>4</v>
      </c>
      <c r="B3" s="27">
        <f>(SUMIFS('Country recreational landings'!J3:J15,'Country recreational landings'!J3:J15,"&lt;&gt;NA",'Country recreational landings'!K3:K15,"&lt;&gt;NA")/SUMIFS('Country recreational landings'!I3:I15,'Country recreational landings'!K3:K15,"&lt;&gt;NA",'Country recreational landings'!J3:J15,"&lt;&gt;NA"))*1000</f>
        <v>0.15421826060896987</v>
      </c>
      <c r="C3" s="27"/>
      <c r="D3" s="27"/>
      <c r="E3" s="27"/>
      <c r="F3" s="27"/>
      <c r="G3" s="27"/>
      <c r="H3" s="27"/>
      <c r="I3" s="27"/>
      <c r="J3" s="27"/>
    </row>
    <row r="4" spans="1:10" x14ac:dyDescent="0.25">
      <c r="A4" s="27" t="s">
        <v>5</v>
      </c>
      <c r="B4" s="27">
        <f>(G19+G22)/(G19+G22+E19+E22)</f>
        <v>0.25303071274122629</v>
      </c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27" t="s">
        <v>6</v>
      </c>
      <c r="B5" s="27">
        <f>'Discard rate'!C2</f>
        <v>0.233194817892935</v>
      </c>
      <c r="C5" s="27" t="str">
        <f>'Discard rate'!D2</f>
        <v>WGNSSK (2017)</v>
      </c>
      <c r="D5" s="27"/>
      <c r="E5" s="27"/>
      <c r="F5" s="27"/>
      <c r="G5" s="27"/>
      <c r="H5" s="27"/>
      <c r="I5" s="27"/>
      <c r="J5" s="27"/>
    </row>
    <row r="6" spans="1:10" x14ac:dyDescent="0.25">
      <c r="A6" s="27" t="s">
        <v>7</v>
      </c>
      <c r="B6" s="27">
        <f>'Discard Mortality'!C2</f>
        <v>0.16500000000000001</v>
      </c>
      <c r="C6" s="27" t="str">
        <f>'Discard Mortality'!D2</f>
        <v>Cappizano et al. (2016)</v>
      </c>
      <c r="D6" s="27"/>
      <c r="E6" s="27"/>
      <c r="F6" s="27"/>
      <c r="G6" s="27"/>
      <c r="H6" s="27"/>
      <c r="I6" s="27"/>
      <c r="J6" s="27"/>
    </row>
    <row r="7" spans="1:10" x14ac:dyDescent="0.25">
      <c r="A7" s="27" t="s">
        <v>8</v>
      </c>
      <c r="B7" s="27">
        <f>'Discard Mortality'!A2</f>
        <v>0.31</v>
      </c>
      <c r="C7" s="27" t="str">
        <f>'Discard Mortality'!B2</f>
        <v>Depestele et al. (2014)</v>
      </c>
      <c r="D7" s="27"/>
      <c r="E7" s="27"/>
      <c r="F7" s="27"/>
      <c r="G7" s="27"/>
      <c r="H7" s="27"/>
      <c r="I7" s="27"/>
      <c r="J7" s="27"/>
    </row>
    <row r="8" spans="1:10" x14ac:dyDescent="0.25">
      <c r="A8" s="41" t="s">
        <v>9</v>
      </c>
      <c r="B8" s="27">
        <v>8689</v>
      </c>
      <c r="C8" s="27"/>
      <c r="D8" s="27"/>
      <c r="E8" s="27"/>
      <c r="F8" s="27"/>
      <c r="G8" s="27"/>
      <c r="H8" s="27"/>
      <c r="I8" s="27"/>
      <c r="J8" s="27"/>
    </row>
    <row r="13" spans="1:10" x14ac:dyDescent="0.25">
      <c r="A13" s="66" t="s">
        <v>10</v>
      </c>
      <c r="B13" s="66"/>
      <c r="C13" s="66"/>
      <c r="D13" s="66"/>
      <c r="E13" s="66"/>
      <c r="F13" s="66"/>
      <c r="G13" s="66"/>
      <c r="H13" s="66"/>
      <c r="I13" s="27"/>
      <c r="J13" s="27"/>
    </row>
    <row r="14" spans="1:10" x14ac:dyDescent="0.25">
      <c r="A14" s="27" t="s">
        <v>11</v>
      </c>
      <c r="B14" s="27" t="s">
        <v>12</v>
      </c>
      <c r="C14" s="27" t="s">
        <v>13</v>
      </c>
      <c r="D14" s="27" t="s">
        <v>14</v>
      </c>
      <c r="E14" s="27" t="s">
        <v>15</v>
      </c>
      <c r="F14" s="27" t="s">
        <v>16</v>
      </c>
      <c r="G14" s="27" t="s">
        <v>17</v>
      </c>
      <c r="H14" s="27" t="s">
        <v>2</v>
      </c>
      <c r="I14" s="27" t="s">
        <v>18</v>
      </c>
      <c r="J14" s="27" t="s">
        <v>19</v>
      </c>
    </row>
    <row r="15" spans="1:10" x14ac:dyDescent="0.25">
      <c r="A15" s="63" t="s">
        <v>20</v>
      </c>
      <c r="B15" s="27">
        <f>VLOOKUP($A15,'Country recreational landings'!$A$1:$L$14,2,FALSE)</f>
        <v>2007</v>
      </c>
      <c r="C15" s="28">
        <f>VLOOKUP(A15,'Country recreational landings'!$A$1:$L$14,3,FALSE)</f>
        <v>32000</v>
      </c>
      <c r="D15" s="27">
        <f>VLOOKUP($A15,'Country recreational landings'!$A$1:$L$14,8,FALSE)</f>
        <v>30</v>
      </c>
      <c r="E15" s="27" t="str">
        <f>VLOOKUP($A15,'Country recreational landings'!$A$1:$L$14,9,FALSE)</f>
        <v>NA</v>
      </c>
      <c r="F15" s="27" t="str">
        <f>VLOOKUP($A15,'Country recreational landings'!$A$1:$L$14,10,FALSE)</f>
        <v>NA</v>
      </c>
      <c r="G15" s="27" t="str">
        <f>VLOOKUP($A15,'Country recreational landings'!$A$1:$L$14,11,FALSE)</f>
        <v>NA</v>
      </c>
      <c r="H15" s="27" t="str">
        <f>VLOOKUP($A15,'Country recreational landings'!$A$1:$L$14,12,FALSE)</f>
        <v>Strehlow et al. (2012) - Angler number from Hyder et al (2018) supplementary material</v>
      </c>
      <c r="I15" s="27"/>
      <c r="J15" s="27"/>
    </row>
    <row r="16" spans="1:10" x14ac:dyDescent="0.25">
      <c r="A16" s="63" t="s">
        <v>21</v>
      </c>
      <c r="B16" s="27">
        <f>VLOOKUP($A16,'Country recreational landings'!$A$1:$L$14,2,FALSE)</f>
        <v>2015</v>
      </c>
      <c r="C16" s="28">
        <f>VLOOKUP(A16,'Country recreational landings'!$A$1:$L$14,3,FALSE)</f>
        <v>386000</v>
      </c>
      <c r="D16" s="27">
        <f>VLOOKUP($A16,'Country recreational landings'!$A$1:$L$14,8,FALSE)</f>
        <v>523</v>
      </c>
      <c r="E16" s="27">
        <f>VLOOKUP($A16,'Country recreational landings'!$A$1:$L$14,9,FALSE)</f>
        <v>348667</v>
      </c>
      <c r="F16" s="27" t="str">
        <f>VLOOKUP($A16,'Country recreational landings'!$A$1:$L$14,10,FALSE)</f>
        <v>NA</v>
      </c>
      <c r="G16" s="27" t="str">
        <f>VLOOKUP($A16,'Country recreational landings'!$A$1:$L$14,11,FALSE)</f>
        <v>NA</v>
      </c>
      <c r="H16" s="27" t="str">
        <f>VLOOKUP($A16,'Country recreational landings'!$A$1:$L$14,12,FALSE)</f>
        <v>Sparrevohn et al. (2012)</v>
      </c>
      <c r="I16" s="27"/>
      <c r="J16" s="27"/>
    </row>
    <row r="17" spans="1:13" x14ac:dyDescent="0.25">
      <c r="A17" s="63" t="s">
        <v>22</v>
      </c>
      <c r="B17" s="27">
        <f>VLOOKUP($A17,'Country recreational landings'!$A$1:$L$14,2,FALSE)</f>
        <v>2015</v>
      </c>
      <c r="C17" s="28">
        <f>VLOOKUP(A17,'Country recreational landings'!$A$1:$L$14,3,FALSE)</f>
        <v>565634</v>
      </c>
      <c r="D17" s="27">
        <f>VLOOKUP($A17,'Country recreational landings'!$A$1:$L$14,8,FALSE)</f>
        <v>795</v>
      </c>
      <c r="E17" s="27" t="str">
        <f>VLOOKUP($A17,'Country recreational landings'!$A$1:$L$14,9,FALSE)</f>
        <v>NA</v>
      </c>
      <c r="F17" s="27" t="str">
        <f>VLOOKUP($A17,'Country recreational landings'!$A$1:$L$14,10,FALSE)</f>
        <v>NA</v>
      </c>
      <c r="G17" s="27" t="str">
        <f>VLOOKUP($A17,'Country recreational landings'!$A$1:$L$14,11,FALSE)</f>
        <v>NA</v>
      </c>
      <c r="H17" s="27" t="str">
        <f>VLOOKUP($A17,'Country recreational landings'!$A$1:$L$14,12,FALSE)</f>
        <v>Hyder et al. (2018)</v>
      </c>
      <c r="I17" s="27"/>
      <c r="J17" s="27"/>
      <c r="K17" s="27"/>
      <c r="L17" s="27"/>
      <c r="M17" s="27"/>
    </row>
    <row r="18" spans="1:13" x14ac:dyDescent="0.25">
      <c r="A18" s="63" t="s">
        <v>23</v>
      </c>
      <c r="B18" s="27">
        <f>VLOOKUP($A18,'Country recreational landings'!$A$1:$L$14,2,FALSE)</f>
        <v>2012</v>
      </c>
      <c r="C18" s="28">
        <f>VLOOKUP(A18,'Country recreational landings'!$A$1:$L$14,3,FALSE)</f>
        <v>1285163</v>
      </c>
      <c r="D18" s="27" t="str">
        <f>VLOOKUP($A18,'Country recreational landings'!$A$1:$L$14,8,FALSE)</f>
        <v>NA</v>
      </c>
      <c r="E18" s="27" t="str">
        <f>VLOOKUP($A18,'Country recreational landings'!$A$1:$L$14,9,FALSE)</f>
        <v>NA</v>
      </c>
      <c r="F18" s="27" t="str">
        <f>VLOOKUP($A18,'Country recreational landings'!$A$1:$L$14,10,FALSE)</f>
        <v>NA</v>
      </c>
      <c r="G18" s="27" t="str">
        <f>VLOOKUP($A18,'Country recreational landings'!$A$1:$L$14,11,FALSE)</f>
        <v>NA</v>
      </c>
      <c r="H18" s="27" t="str">
        <f>VLOOKUP($A18,'Country recreational landings'!$A$1:$L$14,12,FALSE)</f>
        <v>NA</v>
      </c>
      <c r="I18" s="27"/>
      <c r="J18" s="27"/>
      <c r="K18" s="27"/>
      <c r="L18" s="27"/>
      <c r="M18" s="27"/>
    </row>
    <row r="19" spans="1:13" x14ac:dyDescent="0.25">
      <c r="A19" s="63" t="s">
        <v>24</v>
      </c>
      <c r="B19" s="27">
        <f>VLOOKUP($A19,'Country recreational landings'!$A$1:$L$14,2,FALSE)</f>
        <v>2012</v>
      </c>
      <c r="C19" s="28">
        <f>VLOOKUP(A19,'Country recreational landings'!$A$1:$L$14,3,FALSE)</f>
        <v>884000</v>
      </c>
      <c r="D19" s="27">
        <f>VLOOKUP($A19,'Country recreational landings'!$A$1:$L$14,8,FALSE)</f>
        <v>280.47000000000003</v>
      </c>
      <c r="E19" s="27">
        <f>VLOOKUP($A19,'Country recreational landings'!$A$1:$L$14,9,FALSE)</f>
        <v>227126</v>
      </c>
      <c r="F19" s="27">
        <f>VLOOKUP($A19,'Country recreational landings'!$A$1:$L$14,10,FALSE)</f>
        <v>43.3</v>
      </c>
      <c r="G19" s="27">
        <f>VLOOKUP($A19,'Country recreational landings'!$A$1:$L$14,11,FALSE)</f>
        <v>85455</v>
      </c>
      <c r="H19" s="27" t="str">
        <f>VLOOKUP($A19,'Country recreational landings'!$A$1:$L$14,12,FALSE)</f>
        <v>Armstrong et al. (2013)</v>
      </c>
      <c r="I19" s="27"/>
      <c r="J19" s="27"/>
      <c r="K19" s="27"/>
      <c r="L19" s="27"/>
      <c r="M19" s="27"/>
    </row>
    <row r="20" spans="1:13" x14ac:dyDescent="0.25">
      <c r="A20" s="63" t="s">
        <v>25</v>
      </c>
      <c r="B20" s="27">
        <f>VLOOKUP($A20,'Country recreational landings'!$A$1:$L$14,2,FALSE)</f>
        <v>2012</v>
      </c>
      <c r="C20" s="28">
        <f>VLOOKUP(A20,'Country recreational landings'!$A$1:$L$14,3,FALSE)</f>
        <v>125188</v>
      </c>
      <c r="D20" s="27" t="str">
        <f>VLOOKUP($A20,'Country recreational landings'!$A$1:$L$14,8,FALSE)</f>
        <v>NA</v>
      </c>
      <c r="E20" s="27" t="str">
        <f>VLOOKUP($A20,'Country recreational landings'!$A$1:$L$14,9,FALSE)</f>
        <v>NA</v>
      </c>
      <c r="F20" s="27" t="str">
        <f>VLOOKUP($A20,'Country recreational landings'!$A$1:$L$14,10,FALSE)</f>
        <v>NA</v>
      </c>
      <c r="G20" s="27" t="str">
        <f>VLOOKUP($A20,'Country recreational landings'!$A$1:$L$14,11,FALSE)</f>
        <v>NA</v>
      </c>
      <c r="H20" s="27" t="str">
        <f>VLOOKUP($A20,'Country recreational landings'!$A$1:$L$14,12,FALSE)</f>
        <v>NA</v>
      </c>
      <c r="I20" s="27"/>
      <c r="J20" s="27"/>
      <c r="K20" s="27"/>
      <c r="L20" s="27"/>
      <c r="M20" s="27"/>
    </row>
    <row r="21" spans="1:13" x14ac:dyDescent="0.25">
      <c r="A21" s="63" t="s">
        <v>26</v>
      </c>
      <c r="B21" s="27" t="str">
        <f>VLOOKUP($A21,'Country recreational landings'!$A$1:$L$14,2,FALSE)</f>
        <v>2014-2015</v>
      </c>
      <c r="C21" s="28">
        <f>VLOOKUP(A21,'Country recreational landings'!$A$1:$L$14,3,FALSE)</f>
        <v>24409</v>
      </c>
      <c r="D21" s="27">
        <f>VLOOKUP($A21,'Country recreational landings'!$A$1:$L$14,8,FALSE)</f>
        <v>264.5</v>
      </c>
      <c r="E21" s="27" t="str">
        <f>VLOOKUP($A21,'Country recreational landings'!$A$1:$L$14,9,FALSE)</f>
        <v>NA</v>
      </c>
      <c r="F21" s="27" t="str">
        <f>VLOOKUP($A21,'Country recreational landings'!$A$1:$L$14,10,FALSE)</f>
        <v>NA</v>
      </c>
      <c r="G21" s="27" t="str">
        <f>VLOOKUP($A21,'Country recreational landings'!$A$1:$L$14,11,FALSE)</f>
        <v>NA</v>
      </c>
      <c r="H21" s="27" t="str">
        <f>VLOOKUP($A21,'Country recreational landings'!$A$1:$L$14,12,FALSE)</f>
        <v>Persoon (2015)</v>
      </c>
      <c r="I21" s="27"/>
      <c r="J21" s="27"/>
      <c r="K21" s="27"/>
      <c r="L21" s="27"/>
      <c r="M21" s="27"/>
    </row>
    <row r="22" spans="1:13" x14ac:dyDescent="0.25">
      <c r="A22" s="63" t="s">
        <v>27</v>
      </c>
      <c r="B22" s="27" t="str">
        <f>VLOOKUP($A22,'Country recreational landings'!$A$1:$L$14,2,FALSE)</f>
        <v>2010/2011</v>
      </c>
      <c r="C22" s="28">
        <f>VLOOKUP(A22,'Country recreational landings'!$A$1:$L$14,3,FALSE)</f>
        <v>504108</v>
      </c>
      <c r="D22" s="27">
        <f>VLOOKUP($A22,'Country recreational landings'!$A$1:$L$14,8,FALSE)</f>
        <v>1145</v>
      </c>
      <c r="E22" s="27">
        <f>VLOOKUP($A22,'Country recreational landings'!$A$1:$L$14,9,FALSE)</f>
        <v>527000</v>
      </c>
      <c r="F22" s="27">
        <f>VLOOKUP($A22,'Country recreational landings'!$A$1:$L$14,10,FALSE)</f>
        <v>73</v>
      </c>
      <c r="G22" s="27">
        <f>VLOOKUP($A22,'Country recreational landings'!$A$1:$L$14,11,FALSE)</f>
        <v>170000</v>
      </c>
      <c r="H22" s="27" t="str">
        <f>VLOOKUP($A22,'Country recreational landings'!$A$1:$L$14,12,FALSE)</f>
        <v>(van der Hammen and de Graaf, 2013,2015,2016)</v>
      </c>
      <c r="I22" s="27"/>
      <c r="J22" s="27"/>
      <c r="K22" s="27"/>
      <c r="L22" s="27"/>
      <c r="M22" s="27"/>
    </row>
    <row r="23" spans="1:13" x14ac:dyDescent="0.25">
      <c r="A23" s="63" t="s">
        <v>28</v>
      </c>
      <c r="B23" s="27">
        <f>VLOOKUP($A23,'Country recreational landings'!$A$1:$L$14,2,FALSE)</f>
        <v>2006</v>
      </c>
      <c r="C23" s="28">
        <f>VLOOKUP(A23,'Country recreational landings'!$A$1:$L$14,3,FALSE)</f>
        <v>791000</v>
      </c>
      <c r="D23" s="27">
        <f>VLOOKUP($A23,'Country recreational landings'!$A$1:$L$14,8,FALSE)</f>
        <v>189.5</v>
      </c>
      <c r="E23" s="27" t="str">
        <f>VLOOKUP($A23,'Country recreational landings'!$A$1:$L$14,9,FALSE)</f>
        <v>NA</v>
      </c>
      <c r="F23" s="27" t="str">
        <f>VLOOKUP($A23,'Country recreational landings'!$A$1:$L$14,10,FALSE)</f>
        <v>NA</v>
      </c>
      <c r="G23" s="27" t="str">
        <f>VLOOKUP($A23,'Country recreational landings'!$A$1:$L$14,11,FALSE)</f>
        <v>NA</v>
      </c>
      <c r="H23" s="27" t="str">
        <f>VLOOKUP($A23,'Country recreational landings'!$A$1:$L$14,12,FALSE)</f>
        <v>Herfaut et al. (2013)</v>
      </c>
      <c r="I23" s="27"/>
      <c r="J23" s="27"/>
      <c r="K23" s="27"/>
      <c r="L23" s="27"/>
      <c r="M23" s="27"/>
    </row>
    <row r="24" spans="1:13" x14ac:dyDescent="0.25">
      <c r="A24" s="44" t="s">
        <v>29</v>
      </c>
      <c r="B24" s="27" t="str">
        <f>VLOOKUP($A24,'Country recreational landings'!$A$1:$L$14,2,FALSE)</f>
        <v>2009-2011</v>
      </c>
      <c r="C24" s="28" t="str">
        <f>VLOOKUP(A24,'Country recreational landings'!$A$1:$L$14,3,FALSE)</f>
        <v>NA</v>
      </c>
      <c r="D24" s="27">
        <f>VLOOKUP($A24,'Country recreational landings'!$A$1:$L$14,8,FALSE)</f>
        <v>27</v>
      </c>
      <c r="E24" s="27">
        <f>VLOOKUP($A24,'Country recreational landings'!$A$1:$L$14,9,FALSE)</f>
        <v>13129</v>
      </c>
      <c r="F24" s="27" t="str">
        <f>VLOOKUP($A24,'Country recreational landings'!$A$1:$L$14,10,FALSE)</f>
        <v>NA</v>
      </c>
      <c r="G24" s="27" t="str">
        <f>VLOOKUP($A24,'Country recreational landings'!$A$1:$L$14,11,FALSE)</f>
        <v>NA</v>
      </c>
      <c r="H24" s="27" t="str">
        <f>VLOOKUP($A24,'Country recreational landings'!$A$1:$L$14,12,FALSE)</f>
        <v>Vølstad et al. (2011)</v>
      </c>
      <c r="I24" s="27"/>
      <c r="J24" s="27"/>
      <c r="K24" s="27"/>
      <c r="L24" s="27"/>
      <c r="M24" s="27"/>
    </row>
    <row r="25" spans="1:13" x14ac:dyDescent="0.25">
      <c r="A25" s="27"/>
      <c r="B25" s="27"/>
      <c r="C25" s="45"/>
      <c r="D25" s="45"/>
      <c r="E25" s="27"/>
      <c r="F25" s="45"/>
      <c r="G25" s="27"/>
      <c r="H25" s="27"/>
      <c r="I25" s="27"/>
      <c r="J25" s="27"/>
      <c r="K25" s="27"/>
      <c r="L25" s="27"/>
      <c r="M25" s="27"/>
    </row>
    <row r="26" spans="1:13" x14ac:dyDescent="0.25">
      <c r="A26" s="66" t="s">
        <v>30</v>
      </c>
      <c r="B26" s="66"/>
      <c r="C26" s="66"/>
      <c r="D26" s="66"/>
      <c r="E26" s="66"/>
      <c r="F26" s="66"/>
      <c r="G26" s="66" t="s">
        <v>31</v>
      </c>
      <c r="H26" s="66"/>
      <c r="I26" s="66"/>
      <c r="J26" s="66"/>
      <c r="K26" s="66"/>
      <c r="L26" s="66"/>
      <c r="M26" s="46"/>
    </row>
    <row r="27" spans="1:13" x14ac:dyDescent="0.25">
      <c r="A27" s="27" t="s">
        <v>11</v>
      </c>
      <c r="B27" s="27" t="s">
        <v>32</v>
      </c>
      <c r="C27" s="27" t="s">
        <v>14</v>
      </c>
      <c r="D27" s="27" t="s">
        <v>15</v>
      </c>
      <c r="E27" s="27" t="s">
        <v>16</v>
      </c>
      <c r="F27" s="27" t="s">
        <v>17</v>
      </c>
      <c r="G27" s="27" t="s">
        <v>33</v>
      </c>
      <c r="H27" s="27" t="s">
        <v>34</v>
      </c>
      <c r="I27" s="27" t="s">
        <v>35</v>
      </c>
      <c r="J27" s="27" t="s">
        <v>36</v>
      </c>
      <c r="K27" s="27" t="s">
        <v>37</v>
      </c>
      <c r="L27" s="27" t="s">
        <v>18</v>
      </c>
      <c r="M27" s="27" t="s">
        <v>19</v>
      </c>
    </row>
    <row r="28" spans="1:13" x14ac:dyDescent="0.25">
      <c r="A28" s="27" t="str">
        <f t="shared" ref="A28:A36" si="0">A15</f>
        <v>Germany</v>
      </c>
      <c r="B28" s="28">
        <f t="shared" ref="B28:B36" si="1">C15</f>
        <v>32000</v>
      </c>
      <c r="C28" s="47">
        <f>IF($I28 = "None", $D15, IF($I28 = "SE", $B28/$C$17*$D$17, IF($I28 = "Avg", $D28*($B$2/1000),"Help")))</f>
        <v>30</v>
      </c>
      <c r="D28" s="28">
        <f t="shared" ref="D28:D36" si="2">IF($J28 = "SE", $B28/$C$17*$E$17, IF($J28 = "NL", $B28/$C$22*$E$22, IF($J28 = "EN", $B28/$C$19*$E$19, IF($J28 = "Prop", $D28*$B$4, IF($J28 = "Avg", C28/($B$2/1000), IF($J28 = "None", $E15, "Help"))))))</f>
        <v>16946.681042992303</v>
      </c>
      <c r="E28" s="47">
        <f>IF(F15&lt;&gt;"NA",F15,F28*($B$3/1000))</f>
        <v>0.66129264877757055</v>
      </c>
      <c r="F28" s="28">
        <f t="shared" ref="F28:F36" si="3">IF($K28 = "SE", $B28/$C$17*$G$17, IF($K28 = "NL", $B28/$C$22*$G$22, IF($K28 = "EN", $B28/$C$19*$G$19, IF($K28 = "Prop", $D28*$B$4, IF($K28 = "None", $G15, "Help")))))</f>
        <v>4288.0307829065705</v>
      </c>
      <c r="G28" s="27" t="str">
        <f>IF(D15 = "NA", "Y", "N")</f>
        <v>N</v>
      </c>
      <c r="H28" s="27" t="str">
        <f t="shared" ref="H28:H36" si="4">IF(F15 = "NA", "Y", "N")</f>
        <v>Y</v>
      </c>
      <c r="I28" s="27" t="s">
        <v>38</v>
      </c>
      <c r="J28" s="27" t="s">
        <v>39</v>
      </c>
      <c r="K28" s="27" t="s">
        <v>40</v>
      </c>
      <c r="L28" s="27" t="s">
        <v>41</v>
      </c>
      <c r="M28" s="27">
        <v>-1</v>
      </c>
    </row>
    <row r="29" spans="1:13" x14ac:dyDescent="0.25">
      <c r="A29" s="27" t="str">
        <f t="shared" si="0"/>
        <v>Denmark</v>
      </c>
      <c r="B29" s="28">
        <f t="shared" si="1"/>
        <v>386000</v>
      </c>
      <c r="C29" s="47">
        <f>IF($I29 = "None", $D16, IF($I29 = "SE", $B29/$C$17*$D$17, IF($I29 = "Avg", $D29*($B$2/1000),"Help")))</f>
        <v>523</v>
      </c>
      <c r="D29" s="28">
        <f t="shared" si="2"/>
        <v>348667</v>
      </c>
      <c r="E29" s="47">
        <f t="shared" ref="E29:E36" si="5">IF(F16&lt;&gt;"NA",F16,F29*($B$3/1000))</f>
        <v>13.605668471979273</v>
      </c>
      <c r="F29" s="28">
        <f t="shared" si="3"/>
        <v>88223.459519345153</v>
      </c>
      <c r="G29" s="27" t="str">
        <f t="shared" ref="G29:G36" si="6">IF(D16 = "NA", "Y", "N")</f>
        <v>N</v>
      </c>
      <c r="H29" s="27" t="str">
        <f t="shared" si="4"/>
        <v>Y</v>
      </c>
      <c r="I29" s="27" t="s">
        <v>38</v>
      </c>
      <c r="J29" s="27" t="s">
        <v>38</v>
      </c>
      <c r="K29" s="27" t="s">
        <v>40</v>
      </c>
      <c r="L29" s="27"/>
      <c r="M29" s="27">
        <v>0</v>
      </c>
    </row>
    <row r="30" spans="1:13" ht="15.75" thickBot="1" x14ac:dyDescent="0.3">
      <c r="A30" s="27" t="str">
        <f t="shared" si="0"/>
        <v>Sweden</v>
      </c>
      <c r="B30" s="28">
        <f t="shared" si="1"/>
        <v>565634</v>
      </c>
      <c r="C30" s="47">
        <f>IF($I30 = "None", $D17, IF($I30 = "SE", $B30/$C$17*$D$17, IF($I30 = "Avg", $D30*($B$2/1000),"Help")))</f>
        <v>795</v>
      </c>
      <c r="D30" s="28">
        <f t="shared" si="2"/>
        <v>449087.04763929598</v>
      </c>
      <c r="E30" s="47">
        <f t="shared" si="5"/>
        <v>17.524255192605619</v>
      </c>
      <c r="F30" s="28">
        <f t="shared" si="3"/>
        <v>113632.81574702411</v>
      </c>
      <c r="G30" s="27" t="str">
        <f t="shared" si="6"/>
        <v>N</v>
      </c>
      <c r="H30" s="27" t="str">
        <f>IF(F17 = "NA", "Y", "N")</f>
        <v>Y</v>
      </c>
      <c r="I30" s="27" t="s">
        <v>38</v>
      </c>
      <c r="J30" s="27" t="s">
        <v>39</v>
      </c>
      <c r="K30" s="27" t="s">
        <v>40</v>
      </c>
      <c r="L30" s="27"/>
      <c r="M30" s="27">
        <v>0</v>
      </c>
    </row>
    <row r="31" spans="1:13" ht="16.5" thickTop="1" thickBot="1" x14ac:dyDescent="0.3">
      <c r="A31" s="27" t="str">
        <f t="shared" si="0"/>
        <v>Norway</v>
      </c>
      <c r="B31" s="28">
        <f>C18</f>
        <v>1285163</v>
      </c>
      <c r="C31" s="47">
        <f>IF($I31 = "None", $D18, IF($I31 = "SE", $B31/$C$17*$D$17, IF(I31 = "EN", B31/$C$19*$D$19, IF($I31 = "Avg", $D31*($B$2/1000),"Help"))))</f>
        <v>584.53349236196073</v>
      </c>
      <c r="D31" s="28">
        <f t="shared" si="2"/>
        <v>330196.75513348414</v>
      </c>
      <c r="E31" s="47">
        <f t="shared" si="5"/>
        <v>19.159281909654204</v>
      </c>
      <c r="F31" s="28">
        <f t="shared" si="3"/>
        <v>124234.84634049774</v>
      </c>
      <c r="G31" s="27" t="str">
        <f t="shared" si="6"/>
        <v>Y</v>
      </c>
      <c r="H31" s="27" t="str">
        <f t="shared" si="4"/>
        <v>Y</v>
      </c>
      <c r="I31" s="27" t="s">
        <v>39</v>
      </c>
      <c r="J31" s="27" t="s">
        <v>42</v>
      </c>
      <c r="K31" s="27" t="s">
        <v>42</v>
      </c>
      <c r="L31" s="48"/>
      <c r="M31" s="27">
        <v>0</v>
      </c>
    </row>
    <row r="32" spans="1:13" ht="15.75" thickTop="1" x14ac:dyDescent="0.25">
      <c r="A32" s="27" t="str">
        <f t="shared" si="0"/>
        <v>England</v>
      </c>
      <c r="B32" s="28">
        <f t="shared" si="1"/>
        <v>884000</v>
      </c>
      <c r="C32" s="47">
        <f>IF($I32 = "None", $D19, IF($I32 = "SE", $B32/$C$17*$D$17, IF($I32 = "Avg", $D32*($B$2/1000),"Help")))</f>
        <v>280.47000000000003</v>
      </c>
      <c r="D32" s="28">
        <f t="shared" si="2"/>
        <v>227126</v>
      </c>
      <c r="E32" s="47">
        <f t="shared" si="5"/>
        <v>43.3</v>
      </c>
      <c r="F32" s="28">
        <f t="shared" si="3"/>
        <v>85455</v>
      </c>
      <c r="G32" s="27" t="str">
        <f t="shared" si="6"/>
        <v>N</v>
      </c>
      <c r="H32" s="27" t="str">
        <f t="shared" si="4"/>
        <v>N</v>
      </c>
      <c r="I32" s="27" t="s">
        <v>38</v>
      </c>
      <c r="J32" s="27" t="s">
        <v>38</v>
      </c>
      <c r="K32" s="27" t="s">
        <v>38</v>
      </c>
      <c r="L32" s="27"/>
      <c r="M32" s="27">
        <v>0</v>
      </c>
    </row>
    <row r="33" spans="1:13" x14ac:dyDescent="0.25">
      <c r="A33" s="27" t="str">
        <f t="shared" si="0"/>
        <v>Scotland</v>
      </c>
      <c r="B33" s="28">
        <f t="shared" si="1"/>
        <v>125188</v>
      </c>
      <c r="C33" s="47">
        <f>IF($I33 = "None", $D20, IF($I33 = "SE", $B33/$C$17*$D$17, IF($I33 = "Avg", $D33*($B$2/1000),"Help")))</f>
        <v>56.939531282653746</v>
      </c>
      <c r="D33" s="28">
        <f t="shared" si="2"/>
        <v>32164.535846153845</v>
      </c>
      <c r="E33" s="47">
        <f t="shared" si="5"/>
        <v>1.8663097083450044</v>
      </c>
      <c r="F33" s="28">
        <f t="shared" si="3"/>
        <v>12101.742692307693</v>
      </c>
      <c r="G33" s="27" t="str">
        <f t="shared" si="6"/>
        <v>Y</v>
      </c>
      <c r="H33" s="27" t="str">
        <f t="shared" si="4"/>
        <v>Y</v>
      </c>
      <c r="I33" s="27" t="s">
        <v>39</v>
      </c>
      <c r="J33" s="27" t="s">
        <v>42</v>
      </c>
      <c r="K33" s="27" t="s">
        <v>42</v>
      </c>
      <c r="L33" s="27"/>
      <c r="M33" s="27">
        <v>0</v>
      </c>
    </row>
    <row r="34" spans="1:13" x14ac:dyDescent="0.25">
      <c r="A34" s="27" t="str">
        <f t="shared" si="0"/>
        <v>Belgium</v>
      </c>
      <c r="B34" s="28">
        <f t="shared" si="1"/>
        <v>24409</v>
      </c>
      <c r="C34" s="47">
        <f>IF($I34 = "None", $D21, IF($I34 = "SE", $B34/$C$17*$D$17, IF($I34 = "Avg", $D34*($B$2/1000),"Help")))</f>
        <v>264.5</v>
      </c>
      <c r="D34" s="28">
        <f t="shared" si="2"/>
        <v>149413.23786238211</v>
      </c>
      <c r="E34" s="47">
        <f t="shared" si="5"/>
        <v>5.8303968533889128</v>
      </c>
      <c r="F34" s="28">
        <f t="shared" si="3"/>
        <v>37806.138069292923</v>
      </c>
      <c r="G34" s="27" t="str">
        <f t="shared" si="6"/>
        <v>N</v>
      </c>
      <c r="H34" s="27" t="str">
        <f t="shared" si="4"/>
        <v>Y</v>
      </c>
      <c r="I34" s="27" t="s">
        <v>38</v>
      </c>
      <c r="J34" s="27" t="s">
        <v>39</v>
      </c>
      <c r="K34" s="27" t="s">
        <v>40</v>
      </c>
      <c r="L34" s="27"/>
      <c r="M34" s="27">
        <v>-1</v>
      </c>
    </row>
    <row r="35" spans="1:13" x14ac:dyDescent="0.25">
      <c r="A35" s="27" t="str">
        <f t="shared" si="0"/>
        <v>Netherlands</v>
      </c>
      <c r="B35" s="28">
        <f t="shared" si="1"/>
        <v>504108</v>
      </c>
      <c r="C35" s="47">
        <f>IF($I35 = "None", $D22, IF($I35 = "SE", $B35/$C$17*$D$17, IF($I35 = "Avg", $D35*($B$2/1000),"Help")))</f>
        <v>1145</v>
      </c>
      <c r="D35" s="28">
        <f t="shared" si="2"/>
        <v>527000</v>
      </c>
      <c r="E35" s="47">
        <f t="shared" si="5"/>
        <v>73</v>
      </c>
      <c r="F35" s="28">
        <f t="shared" si="3"/>
        <v>170000</v>
      </c>
      <c r="G35" s="27" t="str">
        <f t="shared" si="6"/>
        <v>N</v>
      </c>
      <c r="H35" s="27" t="str">
        <f t="shared" si="4"/>
        <v>N</v>
      </c>
      <c r="I35" s="27" t="s">
        <v>38</v>
      </c>
      <c r="J35" s="27" t="s">
        <v>38</v>
      </c>
      <c r="K35" s="27" t="s">
        <v>38</v>
      </c>
      <c r="L35" s="27"/>
      <c r="M35" s="27">
        <v>0</v>
      </c>
    </row>
    <row r="36" spans="1:13" x14ac:dyDescent="0.25">
      <c r="A36" s="27" t="str">
        <f t="shared" si="0"/>
        <v>France</v>
      </c>
      <c r="B36" s="28">
        <f t="shared" si="1"/>
        <v>791000</v>
      </c>
      <c r="C36" s="47">
        <f>IF($I36 = "None", $D23, IF($I36 = "SE", $B36/$C$17*$D$17, IF($I36 = "Avg", $D36*($B$2/1000),"Help")))</f>
        <v>189.5</v>
      </c>
      <c r="D36" s="28">
        <f t="shared" si="2"/>
        <v>107046.53525490138</v>
      </c>
      <c r="E36" s="47">
        <f t="shared" si="5"/>
        <v>4.1771652314449872</v>
      </c>
      <c r="F36" s="28">
        <f t="shared" si="3"/>
        <v>27086.061112026502</v>
      </c>
      <c r="G36" s="27" t="str">
        <f t="shared" si="6"/>
        <v>N</v>
      </c>
      <c r="H36" s="27" t="str">
        <f t="shared" si="4"/>
        <v>Y</v>
      </c>
      <c r="I36" s="27" t="s">
        <v>38</v>
      </c>
      <c r="J36" s="27" t="s">
        <v>39</v>
      </c>
      <c r="K36" s="27" t="s">
        <v>40</v>
      </c>
      <c r="L36" s="27"/>
      <c r="M36" s="27">
        <v>1</v>
      </c>
    </row>
    <row r="37" spans="1:13" x14ac:dyDescent="0.25">
      <c r="A37" s="27"/>
      <c r="B37" s="27"/>
      <c r="C37" s="47">
        <f>C28+C29+C30+C34+C35+C36</f>
        <v>2947</v>
      </c>
      <c r="D37" s="47"/>
      <c r="E37" s="47">
        <f t="shared" ref="E37" si="7">E28+E29+E30+E34+E35+E36</f>
        <v>114.79877839819636</v>
      </c>
      <c r="F37" s="28"/>
      <c r="G37" s="49"/>
      <c r="H37" s="27"/>
      <c r="I37" s="27"/>
      <c r="J37" s="27"/>
      <c r="K37" s="27"/>
      <c r="L37" s="27"/>
      <c r="M37" s="27"/>
    </row>
    <row r="38" spans="1:13" x14ac:dyDescent="0.25">
      <c r="A38" s="27"/>
      <c r="B38" s="27"/>
      <c r="C38" s="47"/>
      <c r="D38" s="47"/>
      <c r="E38" s="47"/>
      <c r="F38" s="27"/>
      <c r="G38" s="27"/>
      <c r="H38" s="27"/>
      <c r="I38" s="27"/>
      <c r="J38" s="27"/>
      <c r="K38" s="27"/>
      <c r="L38" s="27"/>
      <c r="M38" s="27"/>
    </row>
    <row r="39" spans="1:13" x14ac:dyDescent="0.25">
      <c r="A39" s="27"/>
      <c r="B39" s="27"/>
      <c r="C39" s="47"/>
      <c r="D39" s="27"/>
      <c r="E39" s="27"/>
      <c r="F39" s="27"/>
      <c r="G39" s="49"/>
      <c r="H39" s="27"/>
      <c r="I39" s="27"/>
      <c r="J39" s="27"/>
      <c r="K39" s="27"/>
      <c r="L39" s="27"/>
      <c r="M39" s="27"/>
    </row>
    <row r="40" spans="1:13" x14ac:dyDescent="0.25">
      <c r="A40" s="27"/>
      <c r="B40" s="27"/>
      <c r="C40" s="27"/>
      <c r="D40" s="27"/>
      <c r="E40" s="27"/>
      <c r="F40" s="27"/>
      <c r="G40" s="49"/>
      <c r="H40" s="27"/>
      <c r="I40" s="27"/>
      <c r="J40" s="27"/>
      <c r="K40" s="27"/>
      <c r="L40" s="27"/>
      <c r="M40" s="27"/>
    </row>
    <row r="41" spans="1:13" x14ac:dyDescent="0.25">
      <c r="A41" s="66" t="s">
        <v>43</v>
      </c>
      <c r="B41" s="66"/>
      <c r="C41" s="66"/>
      <c r="D41" s="27"/>
      <c r="E41" s="27"/>
      <c r="F41" s="27"/>
      <c r="G41" s="49"/>
      <c r="H41" s="27"/>
      <c r="I41" s="27"/>
      <c r="J41" s="27"/>
      <c r="K41" s="27"/>
      <c r="L41" s="27"/>
      <c r="M41" s="27"/>
    </row>
    <row r="42" spans="1:13" x14ac:dyDescent="0.25">
      <c r="A42" s="27" t="s">
        <v>14</v>
      </c>
      <c r="B42" s="27" t="s">
        <v>44</v>
      </c>
      <c r="C42" s="27" t="s">
        <v>45</v>
      </c>
      <c r="D42" s="27"/>
      <c r="E42" s="27"/>
      <c r="F42" s="27"/>
      <c r="G42" s="49"/>
      <c r="H42" s="27"/>
      <c r="I42" s="27"/>
      <c r="J42" s="27"/>
      <c r="K42" s="27"/>
      <c r="L42" s="27"/>
      <c r="M42" s="27"/>
    </row>
    <row r="43" spans="1:13" x14ac:dyDescent="0.25">
      <c r="A43" s="29">
        <f>SUMIF(G28:G36,"&lt;&gt;N",C28:C36)/SUM(C28:C36)</f>
        <v>0.16580058680738474</v>
      </c>
      <c r="B43" s="29">
        <f>SUMIF(H28:H36,"&lt;&gt;N",E28:E36)/SUM(E28:E36)</f>
        <v>0.35073044505622158</v>
      </c>
      <c r="C43" s="29">
        <f>(SUMIF(G28:G36,"&lt;&gt;N",C28:C36)+SUMIF(H28:H36,"&lt;&gt;N",E28:E36))/SUM(C28:C36,E28:E36)</f>
        <v>0.17398361370260912</v>
      </c>
      <c r="D43" s="29"/>
      <c r="E43" s="27"/>
      <c r="F43" s="27"/>
      <c r="G43" s="49"/>
      <c r="H43" s="27"/>
      <c r="I43" s="27"/>
      <c r="J43" s="27"/>
      <c r="K43" s="27"/>
      <c r="L43" s="27"/>
      <c r="M43" s="27"/>
    </row>
    <row r="44" spans="1:13" x14ac:dyDescent="0.25">
      <c r="A44" s="27"/>
      <c r="B44" s="27"/>
      <c r="C44" s="27"/>
      <c r="D44" s="27"/>
      <c r="E44" s="27"/>
      <c r="F44" s="27"/>
      <c r="G44" s="49"/>
      <c r="H44" s="27"/>
      <c r="I44" s="27"/>
      <c r="J44" s="27"/>
      <c r="K44" s="27"/>
      <c r="L44" s="27"/>
      <c r="M44" s="27"/>
    </row>
    <row r="45" spans="1:13" x14ac:dyDescent="0.25">
      <c r="A45" s="27"/>
      <c r="B45" s="27"/>
      <c r="C45" s="27"/>
      <c r="D45" s="27"/>
      <c r="E45" s="27"/>
      <c r="F45" s="27"/>
      <c r="G45" s="49"/>
      <c r="H45" s="27"/>
      <c r="I45" s="27"/>
      <c r="J45" s="27"/>
      <c r="K45" s="27"/>
      <c r="L45" s="27"/>
      <c r="M45" s="27"/>
    </row>
    <row r="46" spans="1:13" x14ac:dyDescent="0.25">
      <c r="A46" s="66" t="s">
        <v>46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27"/>
    </row>
    <row r="47" spans="1:13" x14ac:dyDescent="0.25">
      <c r="A47" s="27"/>
      <c r="B47" s="66" t="s">
        <v>47</v>
      </c>
      <c r="C47" s="66"/>
      <c r="D47" s="66"/>
      <c r="E47" s="66" t="s">
        <v>48</v>
      </c>
      <c r="F47" s="66"/>
      <c r="G47" s="66"/>
      <c r="H47" s="66" t="s">
        <v>49</v>
      </c>
      <c r="I47" s="66"/>
      <c r="J47" s="62"/>
      <c r="K47" s="27"/>
      <c r="L47" s="27"/>
      <c r="M47" s="27"/>
    </row>
    <row r="48" spans="1:13" x14ac:dyDescent="0.25">
      <c r="A48" s="27" t="s">
        <v>11</v>
      </c>
      <c r="B48" s="27" t="s">
        <v>50</v>
      </c>
      <c r="C48" s="27" t="s">
        <v>51</v>
      </c>
      <c r="D48" s="27" t="s">
        <v>52</v>
      </c>
      <c r="E48" s="27" t="s">
        <v>53</v>
      </c>
      <c r="F48" s="27" t="s">
        <v>54</v>
      </c>
      <c r="G48" s="27" t="s">
        <v>52</v>
      </c>
      <c r="H48" s="27" t="s">
        <v>47</v>
      </c>
      <c r="I48" s="27" t="s">
        <v>48</v>
      </c>
      <c r="J48" s="27" t="s">
        <v>2</v>
      </c>
      <c r="K48" s="27" t="s">
        <v>55</v>
      </c>
      <c r="L48" s="27" t="s">
        <v>19</v>
      </c>
      <c r="M48" s="27"/>
    </row>
    <row r="49" spans="1:12" x14ac:dyDescent="0.25">
      <c r="A49" s="27" t="str">
        <f t="shared" ref="A49:A57" si="8">A28</f>
        <v>Germany</v>
      </c>
      <c r="B49" s="50">
        <f t="shared" ref="B49:B57" si="9">C28</f>
        <v>30</v>
      </c>
      <c r="C49" s="50">
        <f>E28*$B$6</f>
        <v>0.10911328704829915</v>
      </c>
      <c r="D49" s="50">
        <f>B49+C49</f>
        <v>30.109113287048299</v>
      </c>
      <c r="E49" s="28">
        <f>VLOOKUP($A49,'Country commercial landings'!$A$1:$E$13,4,FALSE)</f>
        <v>2463</v>
      </c>
      <c r="F49" s="50">
        <f>E49*($B$5*$B$7)</f>
        <v>178.05123930579268</v>
      </c>
      <c r="G49" s="50">
        <f>E49+F49</f>
        <v>2641.0512393057925</v>
      </c>
      <c r="H49" s="29">
        <f t="shared" ref="H49:H57" si="10">D49/K49</f>
        <v>1.127192280232147E-2</v>
      </c>
      <c r="I49" s="29">
        <f t="shared" ref="I49:I57" si="11">G49/K49</f>
        <v>0.98872807719767852</v>
      </c>
      <c r="J49" s="27" t="str">
        <f>VLOOKUP($A49,'Country commercial landings'!$A$1:$F$13,5,FALSE)</f>
        <v>WGNSSK (2017)</v>
      </c>
      <c r="K49" s="47">
        <f t="shared" ref="K49:K57" si="12">G49+D49</f>
        <v>2671.1603525928408</v>
      </c>
      <c r="L49" s="27">
        <f>(D49*M28)</f>
        <v>-30.109113287048299</v>
      </c>
    </row>
    <row r="50" spans="1:12" x14ac:dyDescent="0.25">
      <c r="A50" s="27" t="str">
        <f t="shared" si="8"/>
        <v>Denmark</v>
      </c>
      <c r="B50" s="50">
        <f t="shared" si="9"/>
        <v>523</v>
      </c>
      <c r="C50" s="50">
        <f t="shared" ref="C50:C56" si="13">E29*$B$6</f>
        <v>2.2449352978765802</v>
      </c>
      <c r="D50" s="50">
        <f t="shared" ref="D50:D57" si="14">B50+C50</f>
        <v>525.24493529787662</v>
      </c>
      <c r="E50" s="28">
        <f>VLOOKUP($A50,'Country commercial landings'!$A$1:$E$13,4,FALSE)</f>
        <v>7981</v>
      </c>
      <c r="F50" s="50">
        <f>E50*($B$5*$B$7)</f>
        <v>576.94963089708949</v>
      </c>
      <c r="G50" s="50">
        <f t="shared" ref="G50:G57" si="15">E50+F50</f>
        <v>8557.9496308970902</v>
      </c>
      <c r="H50" s="29">
        <f t="shared" si="10"/>
        <v>5.7826013906240314E-2</v>
      </c>
      <c r="I50" s="29">
        <f t="shared" si="11"/>
        <v>0.94217398609375969</v>
      </c>
      <c r="J50" s="27" t="str">
        <f>VLOOKUP($A50,'Country commercial landings'!$A$1:$F$13,5,FALSE)</f>
        <v>WGNSSK (2017)</v>
      </c>
      <c r="K50" s="47">
        <f t="shared" si="12"/>
        <v>9083.1945661949667</v>
      </c>
      <c r="L50" s="27">
        <f t="shared" ref="L50:L56" si="16">(D50*M29)</f>
        <v>0</v>
      </c>
    </row>
    <row r="51" spans="1:12" x14ac:dyDescent="0.25">
      <c r="A51" s="27" t="str">
        <f t="shared" si="8"/>
        <v>Sweden</v>
      </c>
      <c r="B51" s="50">
        <f t="shared" si="9"/>
        <v>795</v>
      </c>
      <c r="C51" s="51">
        <f t="shared" si="13"/>
        <v>2.8915021067799271</v>
      </c>
      <c r="D51" s="50">
        <f t="shared" si="14"/>
        <v>797.89150210677997</v>
      </c>
      <c r="E51" s="28">
        <f>VLOOKUP($A51,'Country commercial landings'!$A$1:$E$13,4,FALSE)</f>
        <v>992</v>
      </c>
      <c r="F51" s="50">
        <f t="shared" ref="F51:F57" si="17">E51*($B$5*$B$7)</f>
        <v>71.712070398435372</v>
      </c>
      <c r="G51" s="50">
        <f t="shared" si="15"/>
        <v>1063.7120703984353</v>
      </c>
      <c r="H51" s="29">
        <f t="shared" si="10"/>
        <v>0.42860441067645444</v>
      </c>
      <c r="I51" s="29">
        <f t="shared" si="11"/>
        <v>0.57139558932354562</v>
      </c>
      <c r="J51" s="27" t="str">
        <f>VLOOKUP($A51,'Country commercial landings'!$A$1:$F$13,5,FALSE)</f>
        <v>WGNSSK (2017)</v>
      </c>
      <c r="K51" s="47">
        <f t="shared" si="12"/>
        <v>1861.6035725052152</v>
      </c>
      <c r="L51" s="27">
        <f t="shared" si="16"/>
        <v>0</v>
      </c>
    </row>
    <row r="52" spans="1:12" x14ac:dyDescent="0.25">
      <c r="A52" s="27" t="str">
        <f t="shared" si="8"/>
        <v>Norway</v>
      </c>
      <c r="B52" s="50">
        <f t="shared" si="9"/>
        <v>584.53349236196073</v>
      </c>
      <c r="C52" s="51">
        <f t="shared" si="13"/>
        <v>3.1612815150929441</v>
      </c>
      <c r="D52" s="50">
        <f t="shared" si="14"/>
        <v>587.69477387705365</v>
      </c>
      <c r="E52" s="28">
        <f>VLOOKUP($A52,'Country commercial landings'!$A$1:$E$13,4,FALSE)</f>
        <v>5216</v>
      </c>
      <c r="F52" s="50">
        <f t="shared" si="17"/>
        <v>377.06669274016019</v>
      </c>
      <c r="G52" s="50">
        <f t="shared" si="15"/>
        <v>5593.0666927401599</v>
      </c>
      <c r="H52" s="29">
        <f t="shared" si="10"/>
        <v>9.5084525919862786E-2</v>
      </c>
      <c r="I52" s="29">
        <f t="shared" si="11"/>
        <v>0.90491547408013717</v>
      </c>
      <c r="J52" s="27" t="str">
        <f>VLOOKUP($A52,'Country commercial landings'!$A$1:$F$13,5,FALSE)</f>
        <v>WGNSSK (2017)</v>
      </c>
      <c r="K52" s="47">
        <f t="shared" si="12"/>
        <v>6180.761466617214</v>
      </c>
      <c r="L52" s="27">
        <f t="shared" si="16"/>
        <v>0</v>
      </c>
    </row>
    <row r="53" spans="1:12" x14ac:dyDescent="0.25">
      <c r="A53" s="27" t="str">
        <f t="shared" si="8"/>
        <v>England</v>
      </c>
      <c r="B53" s="50">
        <f t="shared" si="9"/>
        <v>280.47000000000003</v>
      </c>
      <c r="C53" s="50">
        <f t="shared" si="13"/>
        <v>7.1444999999999999</v>
      </c>
      <c r="D53" s="50">
        <f t="shared" si="14"/>
        <v>287.61450000000002</v>
      </c>
      <c r="E53" s="28">
        <f>VLOOKUP($A53,'Country commercial landings'!$A$1:$E$13,4,FALSE)</f>
        <v>1479.58</v>
      </c>
      <c r="F53" s="50">
        <f t="shared" si="17"/>
        <v>106.95942048398892</v>
      </c>
      <c r="G53" s="50">
        <f t="shared" si="15"/>
        <v>1586.5394204839888</v>
      </c>
      <c r="H53" s="29">
        <f t="shared" si="10"/>
        <v>0.15346364930673642</v>
      </c>
      <c r="I53" s="29">
        <f t="shared" si="11"/>
        <v>0.84653635069326361</v>
      </c>
      <c r="J53" s="27" t="str">
        <f>VLOOKUP($A53,'Country commercial landings'!$A$1:$F$13,5,FALSE)</f>
        <v>MMO (2016)</v>
      </c>
      <c r="K53" s="47">
        <f t="shared" si="12"/>
        <v>1874.1539204839887</v>
      </c>
      <c r="L53" s="27">
        <f t="shared" si="16"/>
        <v>0</v>
      </c>
    </row>
    <row r="54" spans="1:12" x14ac:dyDescent="0.25">
      <c r="A54" s="27" t="str">
        <f t="shared" si="8"/>
        <v>Scotland</v>
      </c>
      <c r="B54" s="50">
        <f t="shared" si="9"/>
        <v>56.939531282653746</v>
      </c>
      <c r="C54" s="50">
        <f t="shared" si="13"/>
        <v>0.30794110187692575</v>
      </c>
      <c r="D54" s="50">
        <f t="shared" si="14"/>
        <v>57.247472384530674</v>
      </c>
      <c r="E54" s="28">
        <f>VLOOKUP($A54,'Country commercial landings'!$A$1:$E$13,4,FALSE)</f>
        <v>10565</v>
      </c>
      <c r="F54" s="50">
        <f t="shared" si="17"/>
        <v>763.74800782204613</v>
      </c>
      <c r="G54" s="50">
        <f t="shared" si="15"/>
        <v>11328.748007822047</v>
      </c>
      <c r="H54" s="29">
        <f t="shared" si="10"/>
        <v>5.0278846925637484E-3</v>
      </c>
      <c r="I54" s="29">
        <f t="shared" si="11"/>
        <v>0.99497211530743634</v>
      </c>
      <c r="J54" s="27" t="str">
        <f>VLOOKUP($A54,'Country commercial landings'!$A$1:$F$13,5,FALSE)</f>
        <v>WGNSSK (2017)</v>
      </c>
      <c r="K54" s="47">
        <f t="shared" si="12"/>
        <v>11385.995480206577</v>
      </c>
      <c r="L54" s="27">
        <f t="shared" si="16"/>
        <v>0</v>
      </c>
    </row>
    <row r="55" spans="1:12" x14ac:dyDescent="0.25">
      <c r="A55" s="27" t="str">
        <f t="shared" si="8"/>
        <v>Belgium</v>
      </c>
      <c r="B55" s="50">
        <f t="shared" si="9"/>
        <v>264.5</v>
      </c>
      <c r="C55" s="50">
        <f t="shared" si="13"/>
        <v>0.96201548080917065</v>
      </c>
      <c r="D55" s="50">
        <f t="shared" si="14"/>
        <v>265.46201548080916</v>
      </c>
      <c r="E55" s="28">
        <f>VLOOKUP($A55,'Country commercial landings'!$A$1:$E$13,4,FALSE)</f>
        <v>902</v>
      </c>
      <c r="F55" s="50">
        <f t="shared" si="17"/>
        <v>65.205934979222491</v>
      </c>
      <c r="G55" s="50">
        <f t="shared" si="15"/>
        <v>967.20593497922255</v>
      </c>
      <c r="H55" s="29">
        <f t="shared" si="10"/>
        <v>0.21535565630771752</v>
      </c>
      <c r="I55" s="29">
        <f t="shared" si="11"/>
        <v>0.78464434369228242</v>
      </c>
      <c r="J55" s="27" t="str">
        <f>VLOOKUP($A55,'Country commercial landings'!$A$1:$F$13,5,FALSE)</f>
        <v>WGNSSK (2017)</v>
      </c>
      <c r="K55" s="47">
        <f t="shared" si="12"/>
        <v>1232.6679504600318</v>
      </c>
      <c r="L55" s="27">
        <f t="shared" si="16"/>
        <v>-265.46201548080916</v>
      </c>
    </row>
    <row r="56" spans="1:12" x14ac:dyDescent="0.25">
      <c r="A56" s="27" t="str">
        <f t="shared" si="8"/>
        <v>Netherlands</v>
      </c>
      <c r="B56" s="50">
        <f t="shared" si="9"/>
        <v>1145</v>
      </c>
      <c r="C56" s="50">
        <f t="shared" si="13"/>
        <v>12.045</v>
      </c>
      <c r="D56" s="50">
        <f t="shared" si="14"/>
        <v>1157.0450000000001</v>
      </c>
      <c r="E56" s="28">
        <f>VLOOKUP($A56,'Country commercial landings'!$A$1:$E$13,4,FALSE)</f>
        <v>1995</v>
      </c>
      <c r="F56" s="50">
        <f t="shared" si="17"/>
        <v>144.21933512588566</v>
      </c>
      <c r="G56" s="50">
        <f t="shared" si="15"/>
        <v>2139.2193351258857</v>
      </c>
      <c r="H56" s="29">
        <f t="shared" si="10"/>
        <v>0.35101705517673903</v>
      </c>
      <c r="I56" s="29">
        <f t="shared" si="11"/>
        <v>0.64898294482326091</v>
      </c>
      <c r="J56" s="27" t="str">
        <f>VLOOKUP($A56,'Country commercial landings'!$A$1:$F$13,5,FALSE)</f>
        <v>WGNSSK (2017)</v>
      </c>
      <c r="K56" s="47">
        <f t="shared" si="12"/>
        <v>3296.2643351258857</v>
      </c>
      <c r="L56" s="27">
        <f t="shared" si="16"/>
        <v>0</v>
      </c>
    </row>
    <row r="57" spans="1:12" x14ac:dyDescent="0.25">
      <c r="A57" s="27" t="str">
        <f t="shared" si="8"/>
        <v>France</v>
      </c>
      <c r="B57" s="50">
        <f t="shared" si="9"/>
        <v>189.5</v>
      </c>
      <c r="C57" s="50">
        <f>E36*$B$6</f>
        <v>0.6892322631884229</v>
      </c>
      <c r="D57" s="50">
        <f t="shared" si="14"/>
        <v>190.18923226318842</v>
      </c>
      <c r="E57" s="28">
        <f>VLOOKUP($A57,'Country commercial landings'!$A$1:$E$13,4,FALSE)</f>
        <v>1253</v>
      </c>
      <c r="F57" s="50">
        <f t="shared" si="17"/>
        <v>90.579863114152744</v>
      </c>
      <c r="G57" s="50">
        <f t="shared" si="15"/>
        <v>1343.5798631141527</v>
      </c>
      <c r="H57" s="29">
        <f t="shared" si="10"/>
        <v>0.12400121559131928</v>
      </c>
      <c r="I57" s="29">
        <f t="shared" si="11"/>
        <v>0.87599878440868073</v>
      </c>
      <c r="J57" s="27" t="str">
        <f>VLOOKUP($A57,'Country commercial landings'!$A$1:$F$13,5,FALSE)</f>
        <v>WGNSSK (2017)</v>
      </c>
      <c r="K57" s="47">
        <f t="shared" si="12"/>
        <v>1533.769095377341</v>
      </c>
      <c r="L57" s="27">
        <f>(D57*M36)</f>
        <v>190.18923226318842</v>
      </c>
    </row>
    <row r="58" spans="1:12" x14ac:dyDescent="0.25">
      <c r="A58" s="37" t="s">
        <v>56</v>
      </c>
      <c r="B58" s="52">
        <f>SUM(B49:B57)</f>
        <v>3868.9430236446142</v>
      </c>
      <c r="C58" s="52">
        <f>SUM(C49:C57)</f>
        <v>29.555521052672269</v>
      </c>
      <c r="D58" s="52">
        <f t="shared" ref="D58" si="18">SUM(D49:D57)</f>
        <v>3898.4985446972869</v>
      </c>
      <c r="E58" s="37">
        <f>VLOOKUP($A58,'Country commercial landings'!$A$1:$E$14,4,FALSE)</f>
        <v>32696</v>
      </c>
      <c r="F58" s="37">
        <f>B8*$B$7</f>
        <v>2693.59</v>
      </c>
      <c r="G58" s="37">
        <f>E58+F58</f>
        <v>35389.589999999997</v>
      </c>
      <c r="H58" s="39">
        <f>D58/K58</f>
        <v>9.9228511467592581E-2</v>
      </c>
      <c r="I58" s="39">
        <f>G58/K58</f>
        <v>0.90077148853240741</v>
      </c>
      <c r="J58" s="37" t="str">
        <f>VLOOKUP($A58,'Country commercial landings'!$A$1:$F$14,5,FALSE)</f>
        <v>WGNSSK (2017)</v>
      </c>
      <c r="K58" s="52">
        <f>G58+D58</f>
        <v>39288.088544697282</v>
      </c>
      <c r="L58" s="27">
        <f>SUM(L49:L57)/D58</f>
        <v>-2.7031405885224406E-2</v>
      </c>
    </row>
    <row r="61" spans="1:12" x14ac:dyDescent="0.25">
      <c r="A61" s="53"/>
      <c r="B61" s="54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3" spans="1:12" x14ac:dyDescent="0.25">
      <c r="A63" s="65" t="s">
        <v>57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27"/>
    </row>
    <row r="64" spans="1:12" x14ac:dyDescent="0.25">
      <c r="A64" t="str">
        <f>A27</f>
        <v>Country</v>
      </c>
      <c r="B64" t="str">
        <f t="shared" ref="B64:F64" si="19">B27</f>
        <v>Angler numbers</v>
      </c>
      <c r="C64" t="str">
        <f t="shared" si="19"/>
        <v>Retained weight</v>
      </c>
      <c r="D64" t="str">
        <f t="shared" si="19"/>
        <v>Retained Number</v>
      </c>
      <c r="E64" t="str">
        <f t="shared" si="19"/>
        <v>Released weight</v>
      </c>
      <c r="F64" t="str">
        <f t="shared" si="19"/>
        <v>Released Number</v>
      </c>
      <c r="G64" t="s">
        <v>58</v>
      </c>
      <c r="H64" t="s">
        <v>52</v>
      </c>
      <c r="I64"/>
      <c r="J64"/>
      <c r="K64"/>
      <c r="L64" s="27"/>
    </row>
    <row r="65" spans="1:11" x14ac:dyDescent="0.25">
      <c r="A65" t="str">
        <f t="shared" ref="A65:F73" si="20">A28</f>
        <v>Germany</v>
      </c>
      <c r="B65">
        <f t="shared" si="20"/>
        <v>32000</v>
      </c>
      <c r="C65" s="42">
        <f t="shared" si="20"/>
        <v>30</v>
      </c>
      <c r="D65" s="6">
        <f t="shared" si="20"/>
        <v>16946.681042992303</v>
      </c>
      <c r="E65" s="42">
        <f t="shared" si="20"/>
        <v>0.66129264877757055</v>
      </c>
      <c r="F65" s="6">
        <f t="shared" si="20"/>
        <v>4288.0307829065705</v>
      </c>
      <c r="G65" s="42">
        <f>E65*$B$6</f>
        <v>0.10911328704829915</v>
      </c>
      <c r="H65" s="42">
        <f>C65+G65</f>
        <v>30.109113287048299</v>
      </c>
      <c r="I65"/>
      <c r="J65"/>
      <c r="K65"/>
    </row>
    <row r="66" spans="1:11" x14ac:dyDescent="0.25">
      <c r="A66" t="str">
        <f t="shared" si="20"/>
        <v>Denmark</v>
      </c>
      <c r="B66">
        <f t="shared" si="20"/>
        <v>386000</v>
      </c>
      <c r="C66" s="42">
        <f t="shared" si="20"/>
        <v>523</v>
      </c>
      <c r="D66" s="6">
        <f t="shared" si="20"/>
        <v>348667</v>
      </c>
      <c r="E66" s="42">
        <f t="shared" si="20"/>
        <v>13.605668471979273</v>
      </c>
      <c r="F66" s="6">
        <f t="shared" si="20"/>
        <v>88223.459519345153</v>
      </c>
      <c r="G66" s="42">
        <f t="shared" ref="G66:G73" si="21">E66*$B$6</f>
        <v>2.2449352978765802</v>
      </c>
      <c r="H66" s="42">
        <f t="shared" ref="H66:H73" si="22">C66+G66</f>
        <v>525.24493529787662</v>
      </c>
      <c r="I66"/>
      <c r="J66"/>
      <c r="K66"/>
    </row>
    <row r="67" spans="1:11" x14ac:dyDescent="0.25">
      <c r="A67" t="str">
        <f t="shared" si="20"/>
        <v>Sweden</v>
      </c>
      <c r="B67">
        <f t="shared" si="20"/>
        <v>565634</v>
      </c>
      <c r="C67" s="42">
        <f t="shared" si="20"/>
        <v>795</v>
      </c>
      <c r="D67" s="6">
        <f t="shared" si="20"/>
        <v>449087.04763929598</v>
      </c>
      <c r="E67" s="42">
        <f t="shared" si="20"/>
        <v>17.524255192605619</v>
      </c>
      <c r="F67" s="6">
        <f t="shared" si="20"/>
        <v>113632.81574702411</v>
      </c>
      <c r="G67" s="42">
        <f t="shared" si="21"/>
        <v>2.8915021067799271</v>
      </c>
      <c r="H67" s="42">
        <f t="shared" si="22"/>
        <v>797.89150210677997</v>
      </c>
      <c r="I67"/>
      <c r="J67"/>
      <c r="K67"/>
    </row>
    <row r="68" spans="1:11" x14ac:dyDescent="0.25">
      <c r="A68" t="str">
        <f t="shared" si="20"/>
        <v>Norway</v>
      </c>
      <c r="B68">
        <f t="shared" si="20"/>
        <v>1285163</v>
      </c>
      <c r="C68" s="42">
        <f t="shared" si="20"/>
        <v>584.53349236196073</v>
      </c>
      <c r="D68" s="6">
        <f t="shared" si="20"/>
        <v>330196.75513348414</v>
      </c>
      <c r="E68" s="42">
        <f t="shared" si="20"/>
        <v>19.159281909654204</v>
      </c>
      <c r="F68" s="6">
        <f t="shared" si="20"/>
        <v>124234.84634049774</v>
      </c>
      <c r="G68" s="42">
        <f t="shared" si="21"/>
        <v>3.1612815150929441</v>
      </c>
      <c r="H68" s="42">
        <f t="shared" si="22"/>
        <v>587.69477387705365</v>
      </c>
      <c r="I68"/>
      <c r="J68"/>
      <c r="K68"/>
    </row>
    <row r="69" spans="1:11" x14ac:dyDescent="0.25">
      <c r="A69" t="s">
        <v>59</v>
      </c>
      <c r="B69">
        <f t="shared" si="20"/>
        <v>884000</v>
      </c>
      <c r="C69" s="42">
        <f>D69*(B2/1000)</f>
        <v>1635.9720882266445</v>
      </c>
      <c r="D69" s="6">
        <f>B69/B35*D35</f>
        <v>924143.23914716684</v>
      </c>
      <c r="E69" s="42">
        <f>F69*(B3/1000)</f>
        <v>45.974117062843654</v>
      </c>
      <c r="F69" s="6">
        <f>B69/B35*F35</f>
        <v>298110.72230553767</v>
      </c>
      <c r="G69" s="42">
        <f t="shared" si="21"/>
        <v>7.5857293153692034</v>
      </c>
      <c r="H69" s="42">
        <f t="shared" si="22"/>
        <v>1643.5578175420137</v>
      </c>
      <c r="I69"/>
      <c r="J69"/>
      <c r="K69"/>
    </row>
    <row r="70" spans="1:11" x14ac:dyDescent="0.25">
      <c r="A70" t="str">
        <f t="shared" si="20"/>
        <v>Scotland</v>
      </c>
      <c r="B70">
        <f t="shared" si="20"/>
        <v>125188</v>
      </c>
      <c r="C70" s="42">
        <f t="shared" si="20"/>
        <v>56.939531282653746</v>
      </c>
      <c r="D70" s="6">
        <f t="shared" si="20"/>
        <v>32164.535846153845</v>
      </c>
      <c r="E70" s="42">
        <f t="shared" si="20"/>
        <v>1.8663097083450044</v>
      </c>
      <c r="F70" s="6">
        <f t="shared" si="20"/>
        <v>12101.742692307693</v>
      </c>
      <c r="G70" s="42">
        <f t="shared" si="21"/>
        <v>0.30794110187692575</v>
      </c>
      <c r="H70" s="42">
        <f t="shared" si="22"/>
        <v>57.247472384530674</v>
      </c>
      <c r="I70"/>
      <c r="J70"/>
      <c r="K70"/>
    </row>
    <row r="71" spans="1:11" x14ac:dyDescent="0.25">
      <c r="A71" t="str">
        <f t="shared" si="20"/>
        <v>Belgium</v>
      </c>
      <c r="B71">
        <f t="shared" si="20"/>
        <v>24409</v>
      </c>
      <c r="C71" s="42">
        <f t="shared" si="20"/>
        <v>264.5</v>
      </c>
      <c r="D71" s="6">
        <f t="shared" si="20"/>
        <v>149413.23786238211</v>
      </c>
      <c r="E71" s="42">
        <f t="shared" si="20"/>
        <v>5.8303968533889128</v>
      </c>
      <c r="F71" s="6">
        <f t="shared" si="20"/>
        <v>37806.138069292923</v>
      </c>
      <c r="G71" s="42">
        <f t="shared" si="21"/>
        <v>0.96201548080917065</v>
      </c>
      <c r="H71" s="42">
        <f t="shared" si="22"/>
        <v>265.46201548080916</v>
      </c>
      <c r="I71" s="27"/>
      <c r="J71" s="27"/>
      <c r="K71" s="27"/>
    </row>
    <row r="72" spans="1:11" x14ac:dyDescent="0.25">
      <c r="A72" t="s">
        <v>60</v>
      </c>
      <c r="B72">
        <f t="shared" si="20"/>
        <v>504108</v>
      </c>
      <c r="C72" s="42">
        <f>D72*(B3/1000)</f>
        <v>19.974410802773662</v>
      </c>
      <c r="D72" s="6">
        <f>B72/B32*D32</f>
        <v>129520.40000904979</v>
      </c>
      <c r="E72" s="42">
        <f>F72*(B3/1000)</f>
        <v>7.5152702691502666</v>
      </c>
      <c r="F72" s="6">
        <f>B72/B32*F32</f>
        <v>48731.390429864259</v>
      </c>
      <c r="G72" s="42">
        <f t="shared" si="21"/>
        <v>1.240019594409794</v>
      </c>
      <c r="H72" s="42">
        <f t="shared" si="22"/>
        <v>21.214430397183456</v>
      </c>
      <c r="I72" s="27"/>
      <c r="J72" s="27"/>
      <c r="K72" s="27"/>
    </row>
    <row r="73" spans="1:11" x14ac:dyDescent="0.25">
      <c r="A73" t="str">
        <f t="shared" si="20"/>
        <v>France</v>
      </c>
      <c r="B73">
        <f t="shared" si="20"/>
        <v>791000</v>
      </c>
      <c r="C73" s="42">
        <f t="shared" si="20"/>
        <v>189.5</v>
      </c>
      <c r="D73" s="6">
        <f t="shared" si="20"/>
        <v>107046.53525490138</v>
      </c>
      <c r="E73" s="42">
        <f t="shared" si="20"/>
        <v>4.1771652314449872</v>
      </c>
      <c r="F73" s="6">
        <f t="shared" si="20"/>
        <v>27086.061112026502</v>
      </c>
      <c r="G73" s="42">
        <f t="shared" si="21"/>
        <v>0.6892322631884229</v>
      </c>
      <c r="H73" s="42">
        <f t="shared" si="22"/>
        <v>190.18923226318842</v>
      </c>
      <c r="I73" t="s">
        <v>61</v>
      </c>
      <c r="J73" t="s">
        <v>62</v>
      </c>
      <c r="K73" t="s">
        <v>63</v>
      </c>
    </row>
    <row r="74" spans="1:11" x14ac:dyDescent="0.25">
      <c r="A74" s="27"/>
      <c r="B74" s="27"/>
      <c r="C74" s="42"/>
      <c r="D74" s="6"/>
      <c r="E74" s="42"/>
      <c r="F74" s="6"/>
      <c r="G74" t="s">
        <v>64</v>
      </c>
      <c r="H74" s="42">
        <f t="shared" ref="H74" si="23">SUM(H65:H73)</f>
        <v>4118.611292636484</v>
      </c>
      <c r="I74" s="43">
        <v>5426.7099742186238</v>
      </c>
      <c r="J74" s="43">
        <v>2370.2871151759505</v>
      </c>
      <c r="K74" s="27" t="str">
        <f>IF((AND(H74&lt;=I74,H74&gt;=J74)),"Good","Bad")</f>
        <v>Good</v>
      </c>
    </row>
    <row r="79" spans="1:11" x14ac:dyDescent="0.25">
      <c r="A79" s="27"/>
      <c r="B79" s="50"/>
      <c r="C79" s="50"/>
      <c r="D79" s="29"/>
      <c r="E79" s="29"/>
      <c r="F79" s="27"/>
      <c r="G79" s="27"/>
      <c r="H79" s="27"/>
      <c r="I79" s="27"/>
      <c r="J79" s="27"/>
      <c r="K79" s="27"/>
    </row>
    <row r="80" spans="1:11" x14ac:dyDescent="0.25">
      <c r="A80" s="27"/>
      <c r="B80" s="50"/>
      <c r="C80" s="50"/>
      <c r="D80" s="29"/>
      <c r="E80" s="29"/>
      <c r="F80" s="27"/>
      <c r="G80" s="27"/>
      <c r="H80" s="27"/>
      <c r="I80" s="27"/>
      <c r="J80" s="27"/>
      <c r="K80" s="27"/>
    </row>
    <row r="81" spans="2:5" x14ac:dyDescent="0.25">
      <c r="B81" s="50"/>
      <c r="C81" s="50"/>
      <c r="D81" s="29"/>
      <c r="E81" s="29"/>
    </row>
    <row r="82" spans="2:5" x14ac:dyDescent="0.25">
      <c r="B82" s="50"/>
      <c r="C82" s="50"/>
      <c r="D82" s="29"/>
      <c r="E82" s="29"/>
    </row>
    <row r="83" spans="2:5" x14ac:dyDescent="0.25">
      <c r="B83" s="50"/>
      <c r="C83" s="50"/>
      <c r="D83" s="29"/>
      <c r="E83" s="29"/>
    </row>
    <row r="84" spans="2:5" x14ac:dyDescent="0.25">
      <c r="B84" s="50"/>
      <c r="C84" s="50"/>
      <c r="D84" s="29"/>
      <c r="E84" s="29"/>
    </row>
    <row r="85" spans="2:5" x14ac:dyDescent="0.25">
      <c r="B85" s="50"/>
      <c r="C85" s="50"/>
      <c r="D85" s="29"/>
      <c r="E85" s="29"/>
    </row>
    <row r="86" spans="2:5" x14ac:dyDescent="0.25">
      <c r="B86" s="50"/>
      <c r="C86" s="50"/>
      <c r="D86" s="29"/>
      <c r="E86" s="29"/>
    </row>
    <row r="87" spans="2:5" x14ac:dyDescent="0.25">
      <c r="B87" s="50"/>
      <c r="C87" s="50"/>
      <c r="D87" s="29"/>
      <c r="E87" s="29"/>
    </row>
  </sheetData>
  <sortState ref="A79:E87">
    <sortCondition ref="A79"/>
  </sortState>
  <mergeCells count="9">
    <mergeCell ref="A63:K63"/>
    <mergeCell ref="A13:H13"/>
    <mergeCell ref="A41:C41"/>
    <mergeCell ref="A46:L46"/>
    <mergeCell ref="B47:D47"/>
    <mergeCell ref="E47:G47"/>
    <mergeCell ref="H47:I47"/>
    <mergeCell ref="A26:F26"/>
    <mergeCell ref="G26:L26"/>
  </mergeCells>
  <conditionalFormatting sqref="A15:A22">
    <cfRule type="cellIs" dxfId="15" priority="4" operator="equal">
      <formula>"NA"</formula>
    </cfRule>
  </conditionalFormatting>
  <conditionalFormatting sqref="A23">
    <cfRule type="cellIs" dxfId="14" priority="3" operator="equal">
      <formula>"NA"</formula>
    </cfRule>
  </conditionalFormatting>
  <conditionalFormatting sqref="K74">
    <cfRule type="cellIs" dxfId="13" priority="1" operator="equal">
      <formula>"Bad"</formula>
    </cfRule>
    <cfRule type="cellIs" dxfId="12" priority="2" operator="equal">
      <formula>"Good"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F4"/>
  <sheetViews>
    <sheetView workbookViewId="0">
      <selection activeCell="H41" sqref="H41"/>
    </sheetView>
  </sheetViews>
  <sheetFormatPr defaultColWidth="9.140625" defaultRowHeight="15" x14ac:dyDescent="0.25"/>
  <cols>
    <col min="1" max="1" width="14.5703125" bestFit="1" customWidth="1"/>
    <col min="4" max="4" width="10.7109375" bestFit="1" customWidth="1"/>
  </cols>
  <sheetData>
    <row r="1" spans="1:6" x14ac:dyDescent="0.25">
      <c r="A1" t="s">
        <v>134</v>
      </c>
      <c r="B1" t="s">
        <v>135</v>
      </c>
      <c r="C1" t="s">
        <v>136</v>
      </c>
      <c r="D1" t="s">
        <v>137</v>
      </c>
      <c r="E1" t="s">
        <v>138</v>
      </c>
    </row>
    <row r="2" spans="1:6" x14ac:dyDescent="0.25">
      <c r="A2" t="s">
        <v>139</v>
      </c>
      <c r="B2">
        <v>60.3</v>
      </c>
      <c r="C2">
        <v>165.8</v>
      </c>
      <c r="D2">
        <v>3</v>
      </c>
      <c r="E2">
        <v>8.3000000000000007</v>
      </c>
    </row>
    <row r="3" spans="1:6" x14ac:dyDescent="0.25">
      <c r="A3" t="s">
        <v>140</v>
      </c>
      <c r="B3">
        <v>136</v>
      </c>
      <c r="C3">
        <v>120.1</v>
      </c>
      <c r="D3">
        <v>0.9</v>
      </c>
      <c r="E3">
        <v>28.6</v>
      </c>
    </row>
    <row r="4" spans="1:6" x14ac:dyDescent="0.25">
      <c r="E4" t="s">
        <v>73</v>
      </c>
      <c r="F4">
        <f>SUM(B2:E3)</f>
        <v>523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O51"/>
  <sheetViews>
    <sheetView workbookViewId="0">
      <selection activeCell="D21" sqref="D21"/>
    </sheetView>
  </sheetViews>
  <sheetFormatPr defaultColWidth="9.140625" defaultRowHeight="15" x14ac:dyDescent="0.25"/>
  <cols>
    <col min="1" max="1" width="18.5703125" customWidth="1"/>
    <col min="3" max="3" width="15.28515625" customWidth="1"/>
    <col min="4" max="4" width="18" customWidth="1"/>
    <col min="5" max="5" width="22.42578125" customWidth="1"/>
    <col min="6" max="6" width="11.5703125" customWidth="1"/>
    <col min="13" max="14" width="12" bestFit="1" customWidth="1"/>
  </cols>
  <sheetData>
    <row r="1" spans="1:12" x14ac:dyDescent="0.25">
      <c r="A1" t="s">
        <v>141</v>
      </c>
      <c r="B1" t="s">
        <v>142</v>
      </c>
      <c r="C1" t="s">
        <v>143</v>
      </c>
      <c r="D1" t="s">
        <v>144</v>
      </c>
      <c r="E1" t="s">
        <v>145</v>
      </c>
    </row>
    <row r="2" spans="1:12" x14ac:dyDescent="0.25">
      <c r="A2" t="s">
        <v>146</v>
      </c>
      <c r="B2" t="s">
        <v>147</v>
      </c>
      <c r="C2">
        <v>23</v>
      </c>
      <c r="D2">
        <v>62</v>
      </c>
      <c r="E2" s="5">
        <f t="shared" ref="E2:E7" si="0">C2/D2</f>
        <v>0.37096774193548387</v>
      </c>
    </row>
    <row r="3" spans="1:12" x14ac:dyDescent="0.25">
      <c r="A3" t="s">
        <v>148</v>
      </c>
      <c r="B3" t="s">
        <v>149</v>
      </c>
      <c r="C3">
        <v>41</v>
      </c>
      <c r="D3">
        <v>82</v>
      </c>
      <c r="E3" s="5">
        <f t="shared" si="0"/>
        <v>0.5</v>
      </c>
    </row>
    <row r="4" spans="1:12" x14ac:dyDescent="0.25">
      <c r="A4" t="s">
        <v>150</v>
      </c>
      <c r="B4" t="s">
        <v>151</v>
      </c>
      <c r="C4">
        <v>5</v>
      </c>
      <c r="D4">
        <v>9</v>
      </c>
      <c r="E4" s="5">
        <f>C4/D4</f>
        <v>0.55555555555555558</v>
      </c>
      <c r="K4" t="s">
        <v>152</v>
      </c>
      <c r="L4" t="s">
        <v>153</v>
      </c>
    </row>
    <row r="5" spans="1:12" x14ac:dyDescent="0.25">
      <c r="A5" t="s">
        <v>154</v>
      </c>
      <c r="B5" t="s">
        <v>155</v>
      </c>
      <c r="C5">
        <v>41</v>
      </c>
      <c r="D5">
        <v>92</v>
      </c>
      <c r="E5" s="5">
        <f t="shared" si="0"/>
        <v>0.44565217391304346</v>
      </c>
      <c r="J5" t="s">
        <v>156</v>
      </c>
      <c r="K5">
        <v>2.2599999999999998</v>
      </c>
      <c r="L5">
        <v>0.98</v>
      </c>
    </row>
    <row r="6" spans="1:12" x14ac:dyDescent="0.25">
      <c r="A6" t="s">
        <v>157</v>
      </c>
      <c r="B6" t="s">
        <v>158</v>
      </c>
      <c r="C6">
        <v>43</v>
      </c>
      <c r="D6">
        <v>118</v>
      </c>
      <c r="E6" s="5">
        <f t="shared" si="0"/>
        <v>0.36440677966101692</v>
      </c>
      <c r="J6" t="s">
        <v>159</v>
      </c>
      <c r="K6">
        <f>K20/L20*1000</f>
        <v>2.4190203519314197</v>
      </c>
    </row>
    <row r="7" spans="1:12" x14ac:dyDescent="0.25">
      <c r="A7" t="s">
        <v>130</v>
      </c>
      <c r="B7" t="s">
        <v>160</v>
      </c>
      <c r="C7">
        <v>13</v>
      </c>
      <c r="D7">
        <v>36</v>
      </c>
      <c r="E7" s="5">
        <f t="shared" si="0"/>
        <v>0.3611111111111111</v>
      </c>
    </row>
    <row r="8" spans="1:12" x14ac:dyDescent="0.25">
      <c r="A8" s="10" t="s">
        <v>73</v>
      </c>
      <c r="B8" s="11"/>
      <c r="C8" s="10">
        <f>SUM(C2:C7)</f>
        <v>166</v>
      </c>
      <c r="D8" s="10">
        <f>SUM(D2:D7)</f>
        <v>399</v>
      </c>
      <c r="E8" s="9">
        <f>C8/D8</f>
        <v>0.41604010025062654</v>
      </c>
    </row>
    <row r="12" spans="1:12" x14ac:dyDescent="0.25">
      <c r="A12" s="13"/>
      <c r="B12" s="13" t="s">
        <v>161</v>
      </c>
      <c r="C12" s="13" t="s">
        <v>162</v>
      </c>
      <c r="D12" s="13" t="s">
        <v>163</v>
      </c>
      <c r="E12" s="13" t="s">
        <v>164</v>
      </c>
      <c r="F12" s="13" t="s">
        <v>165</v>
      </c>
      <c r="G12" s="13" t="s">
        <v>163</v>
      </c>
    </row>
    <row r="13" spans="1:12" x14ac:dyDescent="0.25">
      <c r="A13" s="13" t="s">
        <v>73</v>
      </c>
      <c r="B13" s="13">
        <v>159.95772077146515</v>
      </c>
      <c r="C13" s="14">
        <v>66125</v>
      </c>
      <c r="D13" s="13">
        <v>0.36</v>
      </c>
      <c r="E13" s="13">
        <v>16.656374520988866</v>
      </c>
      <c r="F13" s="14">
        <v>15729</v>
      </c>
      <c r="G13" s="13">
        <v>0.53</v>
      </c>
    </row>
    <row r="14" spans="1:12" x14ac:dyDescent="0.25">
      <c r="A14" s="13" t="s">
        <v>146</v>
      </c>
      <c r="B14" s="13">
        <f>B13*(D2/D8)</f>
        <v>24.855585683786561</v>
      </c>
      <c r="C14" s="13">
        <f>C13*(D2/D8)</f>
        <v>10275.062656641603</v>
      </c>
      <c r="D14" s="13"/>
      <c r="E14" s="13">
        <f>E13*(D2/D8)</f>
        <v>2.5882085721837336</v>
      </c>
      <c r="F14" s="13">
        <f>F13*(D2/D8)</f>
        <v>2444.1052631578946</v>
      </c>
      <c r="G14" s="13"/>
    </row>
    <row r="15" spans="1:12" x14ac:dyDescent="0.25">
      <c r="A15" s="13" t="s">
        <v>148</v>
      </c>
      <c r="B15" s="13">
        <f>B13*(D3/D8)</f>
        <v>32.873516549524162</v>
      </c>
      <c r="C15" s="13">
        <f>C13*(D3/D8)</f>
        <v>13589.598997493733</v>
      </c>
      <c r="D15" s="13"/>
      <c r="E15" s="13">
        <f>E13*(D3/D8)</f>
        <v>3.4231145632107443</v>
      </c>
      <c r="F15" s="13">
        <f>F13*(D3/D8)</f>
        <v>3232.5263157894733</v>
      </c>
      <c r="G15" s="13"/>
      <c r="H15" t="s">
        <v>166</v>
      </c>
    </row>
    <row r="16" spans="1:12" x14ac:dyDescent="0.25">
      <c r="A16" s="13" t="s">
        <v>150</v>
      </c>
      <c r="B16" s="13">
        <f>B13*(D4/D8)</f>
        <v>3.6080688895819204</v>
      </c>
      <c r="C16" s="13">
        <f>C13*(D4/D8)</f>
        <v>1491.5413533834585</v>
      </c>
      <c r="D16" s="13"/>
      <c r="E16" s="13">
        <f>E13*(D4/D8)</f>
        <v>0.37570769596215486</v>
      </c>
      <c r="F16" s="13">
        <f>F13*(D4/D8)</f>
        <v>354.78947368421052</v>
      </c>
      <c r="G16" s="13"/>
    </row>
    <row r="17" spans="1:15" x14ac:dyDescent="0.25">
      <c r="A17" s="13" t="s">
        <v>154</v>
      </c>
      <c r="B17" s="13">
        <f>B13*(D5/D8)</f>
        <v>36.882481982392967</v>
      </c>
      <c r="C17" s="13">
        <f>C13*(D5/D8)</f>
        <v>15246.867167919798</v>
      </c>
      <c r="D17" s="13"/>
      <c r="E17" s="13">
        <f>E13*(D5/D8)</f>
        <v>3.8405675587242496</v>
      </c>
      <c r="F17" s="13">
        <f>F13*(D5/D8)</f>
        <v>3626.7368421052629</v>
      </c>
      <c r="G17" s="13"/>
    </row>
    <row r="18" spans="1:15" x14ac:dyDescent="0.25">
      <c r="A18" s="13" t="s">
        <v>157</v>
      </c>
      <c r="B18" s="13">
        <f>B13*(D6/D8)</f>
        <v>47.305792107851843</v>
      </c>
      <c r="C18" s="13">
        <f>C13*(D6/D8)</f>
        <v>19555.764411027569</v>
      </c>
      <c r="D18" s="13"/>
      <c r="E18" s="13">
        <f>E13*(D6/D8)</f>
        <v>4.9259453470593639</v>
      </c>
      <c r="F18" s="13">
        <f>F13*(D6/D8)</f>
        <v>4651.6842105263158</v>
      </c>
      <c r="G18" s="13"/>
    </row>
    <row r="19" spans="1:15" x14ac:dyDescent="0.25">
      <c r="A19" s="13" t="s">
        <v>130</v>
      </c>
      <c r="B19" s="13">
        <f>B13*(D7/D8)</f>
        <v>14.432275558327682</v>
      </c>
      <c r="C19" s="13">
        <f>C13*(D7/D8)</f>
        <v>5966.165413533834</v>
      </c>
      <c r="D19" s="13"/>
      <c r="E19" s="13">
        <f>E13*(D7/D8)</f>
        <v>1.5028307838486195</v>
      </c>
      <c r="F19" s="13">
        <f>F13*(D7/D8)</f>
        <v>1419.1578947368421</v>
      </c>
      <c r="G19" s="13"/>
      <c r="J19" s="15"/>
      <c r="K19" s="15" t="s">
        <v>167</v>
      </c>
      <c r="L19" s="15" t="s">
        <v>168</v>
      </c>
      <c r="M19" s="15" t="s">
        <v>169</v>
      </c>
      <c r="N19" s="15" t="s">
        <v>170</v>
      </c>
    </row>
    <row r="20" spans="1:15" x14ac:dyDescent="0.25">
      <c r="C20" s="6"/>
      <c r="J20" s="15" t="s">
        <v>73</v>
      </c>
      <c r="K20" s="15">
        <f>G32</f>
        <v>159.95772077146515</v>
      </c>
      <c r="L20" s="15">
        <v>66125</v>
      </c>
      <c r="M20" s="15">
        <f>O32</f>
        <v>16.656374520988866</v>
      </c>
      <c r="N20" s="16">
        <v>15729</v>
      </c>
      <c r="O20" s="6"/>
    </row>
    <row r="21" spans="1:15" x14ac:dyDescent="0.25">
      <c r="J21" s="15" t="s">
        <v>171</v>
      </c>
      <c r="K21" s="15">
        <f>ROUND(SUM(B32:D32)/1000,2)</f>
        <v>134.78</v>
      </c>
      <c r="L21" s="15">
        <f>ROUND(K21/($K$6/1000),0)</f>
        <v>55717</v>
      </c>
      <c r="M21" s="15">
        <f>ROUND(SUM(J32:L32)/1000,2)</f>
        <v>16.559999999999999</v>
      </c>
      <c r="N21" s="15">
        <f>ROUND(M21/($L$5/1000),0)</f>
        <v>16898</v>
      </c>
    </row>
    <row r="22" spans="1:15" x14ac:dyDescent="0.25">
      <c r="J22" s="15" t="s">
        <v>172</v>
      </c>
      <c r="K22" s="15">
        <f>ROUND(SUM(E32:F32)/1000,2)</f>
        <v>25.18</v>
      </c>
      <c r="L22" s="15">
        <f>ROUND(K22/($K$6/1000),0)</f>
        <v>10409</v>
      </c>
      <c r="M22" s="15">
        <f>ROUND(SUM(M32:N32)/1000,2)</f>
        <v>0.1</v>
      </c>
      <c r="N22" s="15">
        <f>ROUND(M22/($L$5/1000),0)</f>
        <v>102</v>
      </c>
    </row>
    <row r="23" spans="1:15" x14ac:dyDescent="0.25">
      <c r="A23" t="s">
        <v>173</v>
      </c>
      <c r="B23" t="s">
        <v>174</v>
      </c>
    </row>
    <row r="24" spans="1:15" x14ac:dyDescent="0.25">
      <c r="A24" t="s">
        <v>175</v>
      </c>
      <c r="B24" t="s">
        <v>148</v>
      </c>
    </row>
    <row r="25" spans="1:15" x14ac:dyDescent="0.25">
      <c r="A25" t="s">
        <v>176</v>
      </c>
      <c r="B25" t="s">
        <v>157</v>
      </c>
    </row>
    <row r="26" spans="1:15" x14ac:dyDescent="0.25">
      <c r="A26" t="s">
        <v>177</v>
      </c>
      <c r="B26" t="s">
        <v>178</v>
      </c>
    </row>
    <row r="27" spans="1:15" x14ac:dyDescent="0.25">
      <c r="A27" t="s">
        <v>179</v>
      </c>
      <c r="B27" t="s">
        <v>130</v>
      </c>
    </row>
    <row r="29" spans="1:15" x14ac:dyDescent="0.25">
      <c r="A29" s="70" t="s">
        <v>180</v>
      </c>
      <c r="B29" s="70"/>
      <c r="C29" s="70"/>
      <c r="D29" s="70"/>
      <c r="E29" s="70"/>
      <c r="F29" s="70"/>
      <c r="G29" s="70"/>
      <c r="I29" s="70" t="s">
        <v>181</v>
      </c>
      <c r="J29" s="70"/>
      <c r="K29" s="70"/>
      <c r="L29" s="70"/>
      <c r="M29" s="70"/>
      <c r="N29" s="70"/>
      <c r="O29" s="70"/>
    </row>
    <row r="30" spans="1:15" x14ac:dyDescent="0.25">
      <c r="A30" t="s">
        <v>182</v>
      </c>
      <c r="B30" t="s">
        <v>183</v>
      </c>
      <c r="C30" t="s">
        <v>184</v>
      </c>
      <c r="D30" t="s">
        <v>185</v>
      </c>
      <c r="E30" t="s">
        <v>186</v>
      </c>
      <c r="F30" t="s">
        <v>187</v>
      </c>
      <c r="G30" t="s">
        <v>73</v>
      </c>
      <c r="I30" t="s">
        <v>182</v>
      </c>
      <c r="J30" t="s">
        <v>183</v>
      </c>
      <c r="K30" t="s">
        <v>184</v>
      </c>
      <c r="L30" t="s">
        <v>185</v>
      </c>
      <c r="M30" t="s">
        <v>186</v>
      </c>
      <c r="N30" t="s">
        <v>187</v>
      </c>
      <c r="O30" t="s">
        <v>73</v>
      </c>
    </row>
    <row r="31" spans="1:15" x14ac:dyDescent="0.25">
      <c r="A31" t="s">
        <v>188</v>
      </c>
      <c r="B31">
        <v>28.181818181818183</v>
      </c>
      <c r="C31">
        <v>3435.0564705293646</v>
      </c>
      <c r="D31">
        <v>13736.910330958113</v>
      </c>
      <c r="E31">
        <v>13572.001204392922</v>
      </c>
      <c r="F31">
        <v>745.32806324110663</v>
      </c>
      <c r="G31">
        <f>SUM(B31:F31)/1000</f>
        <v>31.517477887303325</v>
      </c>
      <c r="I31" t="s">
        <v>188</v>
      </c>
      <c r="J31">
        <v>0</v>
      </c>
      <c r="K31">
        <v>1026.8588534805467</v>
      </c>
      <c r="L31">
        <v>6350.068337391358</v>
      </c>
      <c r="M31">
        <v>4264.6101995188528</v>
      </c>
      <c r="N31">
        <v>1018.1027667984189</v>
      </c>
      <c r="O31">
        <f>SUM(J31:N31)/1000</f>
        <v>12.659640157189175</v>
      </c>
    </row>
    <row r="32" spans="1:15" x14ac:dyDescent="0.25">
      <c r="A32" s="12" t="s">
        <v>189</v>
      </c>
      <c r="B32" s="12">
        <v>89153.24444444447</v>
      </c>
      <c r="C32" s="12">
        <v>30168.587598577087</v>
      </c>
      <c r="D32" s="12">
        <v>15457.517894864452</v>
      </c>
      <c r="E32" s="12">
        <v>24132.521031207598</v>
      </c>
      <c r="F32" s="12">
        <v>1045.8498023715415</v>
      </c>
      <c r="G32" s="12">
        <f t="shared" ref="G32:G51" si="1">SUM(B32:F32)/1000</f>
        <v>159.95772077146515</v>
      </c>
      <c r="H32" s="12"/>
      <c r="I32" s="12" t="s">
        <v>189</v>
      </c>
      <c r="J32" s="12">
        <v>13485.438383838384</v>
      </c>
      <c r="K32" s="12">
        <v>2479.0635763077735</v>
      </c>
      <c r="L32" s="12">
        <v>596.57210705082605</v>
      </c>
      <c r="M32" s="12">
        <v>22.731283831405136</v>
      </c>
      <c r="N32" s="12">
        <v>72.569169960474312</v>
      </c>
      <c r="O32" s="12">
        <f t="shared" ref="O32:O51" si="2">SUM(J32:N32)/1000</f>
        <v>16.656374520988866</v>
      </c>
    </row>
    <row r="33" spans="1:15" x14ac:dyDescent="0.25">
      <c r="A33" t="s">
        <v>190</v>
      </c>
      <c r="B33">
        <v>0</v>
      </c>
      <c r="C33">
        <v>0</v>
      </c>
      <c r="D33">
        <v>863.83330997115991</v>
      </c>
      <c r="E33">
        <v>4687.978290366349</v>
      </c>
      <c r="F33">
        <v>0</v>
      </c>
      <c r="G33">
        <f t="shared" si="1"/>
        <v>5.5518116003375093</v>
      </c>
      <c r="I33" t="s">
        <v>190</v>
      </c>
      <c r="J33">
        <v>137.77777777777777</v>
      </c>
      <c r="K33">
        <v>0</v>
      </c>
      <c r="L33">
        <v>14317.376673184399</v>
      </c>
      <c r="M33">
        <v>63573.759315311545</v>
      </c>
      <c r="N33">
        <v>6573.4861660079041</v>
      </c>
      <c r="O33">
        <f t="shared" si="2"/>
        <v>84.602399932281628</v>
      </c>
    </row>
    <row r="34" spans="1:15" x14ac:dyDescent="0.25">
      <c r="A34" t="s">
        <v>191</v>
      </c>
      <c r="B34">
        <v>118.26300584258668</v>
      </c>
      <c r="C34">
        <v>12302.915257242745</v>
      </c>
      <c r="D34">
        <v>431.46039845401179</v>
      </c>
      <c r="E34">
        <v>84.29294979723413</v>
      </c>
      <c r="F34">
        <v>0</v>
      </c>
      <c r="G34">
        <f t="shared" si="1"/>
        <v>12.936931611336579</v>
      </c>
      <c r="I34" t="s">
        <v>191</v>
      </c>
      <c r="J34">
        <v>52.460171410280878</v>
      </c>
      <c r="K34">
        <v>205.8685639143884</v>
      </c>
      <c r="L34">
        <v>374.55553952752808</v>
      </c>
      <c r="M34">
        <v>48.032564450474894</v>
      </c>
      <c r="N34">
        <v>0</v>
      </c>
      <c r="O34">
        <f t="shared" si="2"/>
        <v>0.68091683930267233</v>
      </c>
    </row>
    <row r="35" spans="1:15" x14ac:dyDescent="0.25">
      <c r="A35" t="s">
        <v>192</v>
      </c>
      <c r="B35">
        <v>0</v>
      </c>
      <c r="C35">
        <v>3599.4665531190121</v>
      </c>
      <c r="D35">
        <v>1371.4249644454651</v>
      </c>
      <c r="E35">
        <v>2344.2798749985345</v>
      </c>
      <c r="F35">
        <v>2946.6892638235909</v>
      </c>
      <c r="G35">
        <f t="shared" si="1"/>
        <v>10.261860656386604</v>
      </c>
      <c r="I35" t="s">
        <v>192</v>
      </c>
      <c r="J35">
        <v>0</v>
      </c>
      <c r="K35">
        <v>24596.810446104992</v>
      </c>
      <c r="L35">
        <v>8275.7173985071895</v>
      </c>
      <c r="M35">
        <v>12890.75805724396</v>
      </c>
      <c r="N35">
        <v>28557.310765519775</v>
      </c>
      <c r="O35">
        <f t="shared" si="2"/>
        <v>74.320596667375909</v>
      </c>
    </row>
    <row r="36" spans="1:15" x14ac:dyDescent="0.25">
      <c r="A36" t="s">
        <v>193</v>
      </c>
      <c r="B36">
        <v>0</v>
      </c>
      <c r="C36">
        <v>0</v>
      </c>
      <c r="D36">
        <v>0</v>
      </c>
      <c r="E36">
        <v>0</v>
      </c>
      <c r="F36">
        <v>0</v>
      </c>
      <c r="G36">
        <f t="shared" si="1"/>
        <v>0</v>
      </c>
      <c r="I36" t="s">
        <v>193</v>
      </c>
      <c r="J36">
        <v>0</v>
      </c>
      <c r="K36">
        <v>21.99701937406855</v>
      </c>
      <c r="L36">
        <v>0</v>
      </c>
      <c r="M36">
        <v>0</v>
      </c>
      <c r="N36">
        <v>0</v>
      </c>
      <c r="O36">
        <f t="shared" si="2"/>
        <v>2.199701937406855E-2</v>
      </c>
    </row>
    <row r="37" spans="1:15" x14ac:dyDescent="0.25">
      <c r="A37" t="s">
        <v>194</v>
      </c>
      <c r="B37">
        <v>98.239656052151958</v>
      </c>
      <c r="C37">
        <v>0</v>
      </c>
      <c r="D37">
        <v>0</v>
      </c>
      <c r="E37">
        <v>0</v>
      </c>
      <c r="F37">
        <v>0</v>
      </c>
      <c r="G37">
        <f t="shared" si="1"/>
        <v>9.8239656052151958E-2</v>
      </c>
      <c r="I37" t="s">
        <v>194</v>
      </c>
      <c r="J37">
        <v>8.5171717171717169</v>
      </c>
      <c r="K37">
        <v>3.7394932935916541</v>
      </c>
      <c r="L37">
        <v>0</v>
      </c>
      <c r="M37">
        <v>0</v>
      </c>
      <c r="N37">
        <v>0</v>
      </c>
      <c r="O37">
        <f t="shared" si="2"/>
        <v>1.2256665010763371E-2</v>
      </c>
    </row>
    <row r="38" spans="1:15" x14ac:dyDescent="0.25">
      <c r="A38" t="s">
        <v>195</v>
      </c>
      <c r="B38">
        <v>7207.13766233766</v>
      </c>
      <c r="C38">
        <v>25706.487060830041</v>
      </c>
      <c r="D38">
        <v>7899.3829483348827</v>
      </c>
      <c r="E38">
        <v>27201.43309760854</v>
      </c>
      <c r="F38">
        <v>3697.6391783870645</v>
      </c>
      <c r="G38">
        <f t="shared" si="1"/>
        <v>71.712079947498196</v>
      </c>
      <c r="I38" t="s">
        <v>195</v>
      </c>
      <c r="J38">
        <v>2450.7665775958462</v>
      </c>
      <c r="K38">
        <v>12798.599105812218</v>
      </c>
      <c r="L38">
        <v>1396.614845119813</v>
      </c>
      <c r="M38">
        <v>3763.3330961512434</v>
      </c>
      <c r="N38">
        <v>129.0877470355731</v>
      </c>
      <c r="O38">
        <f t="shared" si="2"/>
        <v>20.538401371714695</v>
      </c>
    </row>
    <row r="39" spans="1:15" x14ac:dyDescent="0.25">
      <c r="A39" t="s">
        <v>196</v>
      </c>
      <c r="B39">
        <v>0</v>
      </c>
      <c r="C39">
        <v>81.511912156791809</v>
      </c>
      <c r="D39">
        <v>0</v>
      </c>
      <c r="E39">
        <v>10452.283064860007</v>
      </c>
      <c r="F39">
        <v>0</v>
      </c>
      <c r="G39">
        <f t="shared" si="1"/>
        <v>10.533794977016798</v>
      </c>
      <c r="I39" t="s">
        <v>196</v>
      </c>
      <c r="J39">
        <v>0</v>
      </c>
      <c r="K39">
        <v>81.511912156791809</v>
      </c>
      <c r="L39">
        <v>0</v>
      </c>
      <c r="M39">
        <v>14053.743162084547</v>
      </c>
      <c r="N39">
        <v>0</v>
      </c>
      <c r="O39">
        <f t="shared" si="2"/>
        <v>14.135255074241339</v>
      </c>
    </row>
    <row r="40" spans="1:15" x14ac:dyDescent="0.25">
      <c r="A40" t="s">
        <v>197</v>
      </c>
      <c r="B40">
        <v>0</v>
      </c>
      <c r="C40">
        <v>595.36014346369461</v>
      </c>
      <c r="D40">
        <v>868.74323168994022</v>
      </c>
      <c r="E40">
        <v>5330.3542329414877</v>
      </c>
      <c r="F40">
        <v>51.225296442687743</v>
      </c>
      <c r="G40">
        <f t="shared" si="1"/>
        <v>6.8456829045378109</v>
      </c>
      <c r="I40" t="s">
        <v>197</v>
      </c>
      <c r="J40">
        <v>13.718259122989897</v>
      </c>
      <c r="K40">
        <v>4072.396654331747</v>
      </c>
      <c r="L40">
        <v>919.79391858683391</v>
      </c>
      <c r="M40">
        <v>3977.1633205089415</v>
      </c>
      <c r="N40">
        <v>260.48063241106718</v>
      </c>
      <c r="O40">
        <f t="shared" si="2"/>
        <v>9.2435527849615795</v>
      </c>
    </row>
    <row r="41" spans="1:15" x14ac:dyDescent="0.25">
      <c r="A41" t="s">
        <v>198</v>
      </c>
      <c r="B41">
        <v>0</v>
      </c>
      <c r="C41">
        <v>4373.4396425123969</v>
      </c>
      <c r="D41">
        <v>11949.249331250701</v>
      </c>
      <c r="E41">
        <v>26791.789563979819</v>
      </c>
      <c r="F41">
        <v>0</v>
      </c>
      <c r="G41">
        <f t="shared" si="1"/>
        <v>43.114478537742919</v>
      </c>
      <c r="I41" t="s">
        <v>198</v>
      </c>
      <c r="J41">
        <v>0</v>
      </c>
      <c r="K41">
        <v>25.172218890044238</v>
      </c>
      <c r="L41">
        <v>2900.5400669476385</v>
      </c>
      <c r="M41">
        <v>7435.3835355097317</v>
      </c>
      <c r="N41">
        <v>0</v>
      </c>
      <c r="O41">
        <f t="shared" si="2"/>
        <v>10.361095821347416</v>
      </c>
    </row>
    <row r="42" spans="1:15" x14ac:dyDescent="0.25">
      <c r="A42" t="s">
        <v>199</v>
      </c>
      <c r="B42">
        <v>34134.444444444438</v>
      </c>
      <c r="C42">
        <v>0</v>
      </c>
      <c r="D42">
        <v>293.55719665203759</v>
      </c>
      <c r="E42">
        <v>23023.18906697453</v>
      </c>
      <c r="F42">
        <v>512.42371541501973</v>
      </c>
      <c r="G42">
        <f t="shared" si="1"/>
        <v>57.963614423486028</v>
      </c>
      <c r="I42" t="s">
        <v>199</v>
      </c>
      <c r="J42">
        <v>1396.6909090909091</v>
      </c>
      <c r="K42">
        <v>0</v>
      </c>
      <c r="L42">
        <v>0</v>
      </c>
      <c r="M42">
        <v>153.70420624151964</v>
      </c>
      <c r="N42">
        <v>17.07509881422925</v>
      </c>
      <c r="O42">
        <f t="shared" si="2"/>
        <v>1.5674702141466581</v>
      </c>
    </row>
    <row r="43" spans="1:15" x14ac:dyDescent="0.25">
      <c r="A43" t="s">
        <v>200</v>
      </c>
      <c r="B43">
        <v>2824.4444444444439</v>
      </c>
      <c r="C43">
        <v>2120.8708978391819</v>
      </c>
      <c r="D43">
        <v>18759.312862389372</v>
      </c>
      <c r="E43">
        <v>95155.600304844003</v>
      </c>
      <c r="F43">
        <v>4404.9034503178536</v>
      </c>
      <c r="G43">
        <f t="shared" si="1"/>
        <v>123.26513195983486</v>
      </c>
      <c r="I43" t="s">
        <v>200</v>
      </c>
      <c r="J43">
        <v>0</v>
      </c>
      <c r="K43">
        <v>0</v>
      </c>
      <c r="L43">
        <v>943.98419154304565</v>
      </c>
      <c r="M43">
        <v>5399.7965660973869</v>
      </c>
      <c r="N43">
        <v>4074.545454545454</v>
      </c>
      <c r="O43">
        <f t="shared" si="2"/>
        <v>10.418326212185885</v>
      </c>
    </row>
    <row r="44" spans="1:15" x14ac:dyDescent="0.25">
      <c r="A44" t="s">
        <v>201</v>
      </c>
      <c r="B44">
        <v>1648.072727272727</v>
      </c>
      <c r="C44">
        <v>0</v>
      </c>
      <c r="D44">
        <v>0</v>
      </c>
      <c r="E44">
        <v>214.32130257801893</v>
      </c>
      <c r="F44">
        <v>0</v>
      </c>
      <c r="G44">
        <f t="shared" si="1"/>
        <v>1.862394029850746</v>
      </c>
      <c r="I44" t="s">
        <v>201</v>
      </c>
      <c r="J44">
        <v>0</v>
      </c>
      <c r="K44">
        <v>0</v>
      </c>
      <c r="L44">
        <v>0</v>
      </c>
      <c r="M44">
        <v>57.63907734056987</v>
      </c>
      <c r="N44">
        <v>9.4110372711462436</v>
      </c>
      <c r="O44">
        <f t="shared" si="2"/>
        <v>6.7050114611716116E-2</v>
      </c>
    </row>
    <row r="45" spans="1:15" x14ac:dyDescent="0.25">
      <c r="A45" t="s">
        <v>202</v>
      </c>
      <c r="B45">
        <v>0</v>
      </c>
      <c r="C45">
        <v>31.014570717843309</v>
      </c>
      <c r="D45">
        <v>17219.326333724868</v>
      </c>
      <c r="E45">
        <v>9317.4407025907149</v>
      </c>
      <c r="F45">
        <v>170.75098814229247</v>
      </c>
      <c r="G45">
        <f t="shared" si="1"/>
        <v>26.738532595175716</v>
      </c>
      <c r="I45" t="s">
        <v>202</v>
      </c>
      <c r="J45">
        <v>0</v>
      </c>
      <c r="K45">
        <v>0</v>
      </c>
      <c r="L45">
        <v>5912.8994954273212</v>
      </c>
      <c r="M45">
        <v>4387.8787706712646</v>
      </c>
      <c r="N45">
        <v>70.434782608695642</v>
      </c>
      <c r="O45">
        <f t="shared" si="2"/>
        <v>10.371213048707283</v>
      </c>
    </row>
    <row r="46" spans="1:15" x14ac:dyDescent="0.25">
      <c r="A46" t="s">
        <v>203</v>
      </c>
      <c r="B46">
        <v>417.34141414141419</v>
      </c>
      <c r="C46">
        <v>34032.878398265006</v>
      </c>
      <c r="D46">
        <v>608.87229061015682</v>
      </c>
      <c r="E46">
        <v>268.91620182903665</v>
      </c>
      <c r="F46">
        <v>492.53122529644264</v>
      </c>
      <c r="G46">
        <f t="shared" si="1"/>
        <v>35.820539530142057</v>
      </c>
      <c r="I46" t="s">
        <v>203</v>
      </c>
      <c r="J46">
        <v>139.65656565656565</v>
      </c>
      <c r="K46">
        <v>22230.194155381323</v>
      </c>
      <c r="L46">
        <v>9479.3171788606251</v>
      </c>
      <c r="M46">
        <v>12895.008962029404</v>
      </c>
      <c r="N46">
        <v>5825.2031715415014</v>
      </c>
      <c r="O46">
        <f t="shared" si="2"/>
        <v>50.569380033469415</v>
      </c>
    </row>
    <row r="47" spans="1:15" x14ac:dyDescent="0.25">
      <c r="A47" t="s">
        <v>204</v>
      </c>
      <c r="B47">
        <v>1039.0949494949496</v>
      </c>
      <c r="C47">
        <v>549.92548435171386</v>
      </c>
      <c r="D47">
        <v>2569.6551724137935</v>
      </c>
      <c r="E47">
        <v>0</v>
      </c>
      <c r="F47">
        <v>72.569169960474298</v>
      </c>
      <c r="G47">
        <f t="shared" si="1"/>
        <v>4.2312447762209304</v>
      </c>
      <c r="I47" t="s">
        <v>204</v>
      </c>
      <c r="J47">
        <v>3011.2295938405027</v>
      </c>
      <c r="K47">
        <v>31484.342071824663</v>
      </c>
      <c r="L47">
        <v>25908.564028770797</v>
      </c>
      <c r="M47">
        <v>997.85644011348199</v>
      </c>
      <c r="N47">
        <v>11705.605803889326</v>
      </c>
      <c r="O47">
        <f t="shared" si="2"/>
        <v>73.107597938438758</v>
      </c>
    </row>
    <row r="48" spans="1:15" x14ac:dyDescent="0.25">
      <c r="A48" t="s">
        <v>205</v>
      </c>
      <c r="B48">
        <v>0</v>
      </c>
      <c r="C48">
        <v>0</v>
      </c>
      <c r="D48">
        <v>0</v>
      </c>
      <c r="E48">
        <v>0</v>
      </c>
      <c r="F48">
        <v>239.0513833992095</v>
      </c>
      <c r="G48">
        <f t="shared" si="1"/>
        <v>0.2390513833992095</v>
      </c>
      <c r="I48" t="s">
        <v>205</v>
      </c>
      <c r="J48">
        <v>0</v>
      </c>
      <c r="K48">
        <v>1964.92041728763</v>
      </c>
      <c r="L48">
        <v>24286.850911860744</v>
      </c>
      <c r="M48">
        <v>1637.9104477611938</v>
      </c>
      <c r="N48">
        <v>15356.490118577074</v>
      </c>
      <c r="O48">
        <f t="shared" si="2"/>
        <v>43.246171895486647</v>
      </c>
    </row>
    <row r="49" spans="1:15" x14ac:dyDescent="0.25">
      <c r="A49" t="s">
        <v>206</v>
      </c>
      <c r="B49">
        <v>9555.6843407329525</v>
      </c>
      <c r="C49">
        <v>6034.8328964346001</v>
      </c>
      <c r="D49">
        <v>4087.0788963514806</v>
      </c>
      <c r="E49">
        <v>23101.259680976262</v>
      </c>
      <c r="F49">
        <v>248.33993274887229</v>
      </c>
      <c r="G49">
        <f t="shared" si="1"/>
        <v>43.027195747244171</v>
      </c>
      <c r="I49" t="s">
        <v>206</v>
      </c>
      <c r="J49">
        <v>3395.8676945871844</v>
      </c>
      <c r="K49">
        <v>8817.6188342750502</v>
      </c>
      <c r="L49">
        <v>2387.0995110626727</v>
      </c>
      <c r="M49">
        <v>5730.451708733176</v>
      </c>
      <c r="N49">
        <v>165.78522336537011</v>
      </c>
      <c r="O49">
        <f t="shared" si="2"/>
        <v>20.496822972023452</v>
      </c>
    </row>
    <row r="50" spans="1:15" x14ac:dyDescent="0.25">
      <c r="A50" t="s">
        <v>207</v>
      </c>
      <c r="B50">
        <v>2492.0242424242424</v>
      </c>
      <c r="C50">
        <v>1074.6451230701005</v>
      </c>
      <c r="D50">
        <v>1810.629466394013</v>
      </c>
      <c r="E50">
        <v>3973.8765314755865</v>
      </c>
      <c r="F50">
        <v>196.02213438735174</v>
      </c>
      <c r="G50">
        <f t="shared" si="1"/>
        <v>9.5471974977512932</v>
      </c>
      <c r="I50" t="s">
        <v>207</v>
      </c>
      <c r="J50">
        <v>587.93535353535344</v>
      </c>
      <c r="K50">
        <v>412.61720288386641</v>
      </c>
      <c r="L50">
        <v>4799.2218666390672</v>
      </c>
      <c r="M50">
        <v>12246.668292845487</v>
      </c>
      <c r="N50">
        <v>377.95167149407109</v>
      </c>
      <c r="O50">
        <f t="shared" si="2"/>
        <v>18.424394387397847</v>
      </c>
    </row>
    <row r="51" spans="1:15" x14ac:dyDescent="0.25">
      <c r="A51" t="s">
        <v>208</v>
      </c>
      <c r="B51">
        <v>0</v>
      </c>
      <c r="C51">
        <v>5.4992548435171376</v>
      </c>
      <c r="D51">
        <v>77.868338557993738</v>
      </c>
      <c r="E51">
        <v>93.663500678426061</v>
      </c>
      <c r="F51">
        <v>38.418972332015812</v>
      </c>
      <c r="G51">
        <f t="shared" si="1"/>
        <v>0.21545006641195275</v>
      </c>
      <c r="I51" t="s">
        <v>208</v>
      </c>
      <c r="J51">
        <v>0</v>
      </c>
      <c r="K51">
        <v>0</v>
      </c>
      <c r="L51">
        <v>864.64556814329876</v>
      </c>
      <c r="M51">
        <v>4244.8145126164427</v>
      </c>
      <c r="N51">
        <v>18.822074542292487</v>
      </c>
      <c r="O51">
        <f t="shared" si="2"/>
        <v>5.1282821553020339</v>
      </c>
    </row>
  </sheetData>
  <mergeCells count="2">
    <mergeCell ref="I29:O29"/>
    <mergeCell ref="A29:G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AH74"/>
  <sheetViews>
    <sheetView zoomScale="70" zoomScaleNormal="70" workbookViewId="0">
      <selection activeCell="V29" sqref="V29"/>
    </sheetView>
  </sheetViews>
  <sheetFormatPr defaultColWidth="9.140625" defaultRowHeight="15" x14ac:dyDescent="0.25"/>
  <cols>
    <col min="1" max="1" width="11.5703125" bestFit="1" customWidth="1"/>
    <col min="4" max="4" width="10.85546875" bestFit="1" customWidth="1"/>
    <col min="8" max="8" width="11.5703125" bestFit="1" customWidth="1"/>
    <col min="9" max="9" width="11.5703125" customWidth="1"/>
    <col min="10" max="10" width="11.85546875" bestFit="1" customWidth="1"/>
    <col min="13" max="13" width="10.85546875" bestFit="1" customWidth="1"/>
    <col min="14" max="14" width="9.28515625" bestFit="1" customWidth="1"/>
    <col min="21" max="21" width="16.140625" bestFit="1" customWidth="1"/>
    <col min="24" max="24" width="13.28515625" bestFit="1" customWidth="1"/>
    <col min="25" max="25" width="14.85546875" bestFit="1" customWidth="1"/>
    <col min="26" max="26" width="13.5703125" bestFit="1" customWidth="1"/>
    <col min="28" max="28" width="13.28515625" bestFit="1" customWidth="1"/>
    <col min="29" max="29" width="14.85546875" customWidth="1"/>
    <col min="30" max="30" width="13.5703125" customWidth="1"/>
  </cols>
  <sheetData>
    <row r="1" spans="1:25" x14ac:dyDescent="0.25">
      <c r="A1" s="70" t="s">
        <v>209</v>
      </c>
      <c r="B1" s="70"/>
      <c r="C1" s="70"/>
      <c r="D1" s="70"/>
      <c r="J1" s="70" t="s">
        <v>210</v>
      </c>
      <c r="K1" s="70"/>
      <c r="L1" s="70"/>
      <c r="M1" s="70"/>
    </row>
    <row r="2" spans="1:25" x14ac:dyDescent="0.25">
      <c r="A2" t="s">
        <v>211</v>
      </c>
      <c r="B2" t="s">
        <v>212</v>
      </c>
      <c r="C2" t="s">
        <v>213</v>
      </c>
      <c r="D2" t="s">
        <v>214</v>
      </c>
      <c r="J2" t="s">
        <v>211</v>
      </c>
      <c r="K2" t="s">
        <v>212</v>
      </c>
      <c r="L2" t="s">
        <v>215</v>
      </c>
      <c r="M2" t="s">
        <v>214</v>
      </c>
    </row>
    <row r="3" spans="1:25" x14ac:dyDescent="0.25">
      <c r="A3" t="s">
        <v>216</v>
      </c>
      <c r="B3">
        <f>SUM(C23:C26)</f>
        <v>60426</v>
      </c>
      <c r="C3">
        <v>0.157</v>
      </c>
      <c r="D3">
        <f>ROUND(B3*C3,0)</f>
        <v>9487</v>
      </c>
      <c r="J3" t="s">
        <v>216</v>
      </c>
      <c r="K3">
        <f>SUM(L23:L26)</f>
        <v>11265</v>
      </c>
      <c r="L3">
        <v>1.42</v>
      </c>
      <c r="M3">
        <f>ROUND(K3*L3,0)</f>
        <v>15996</v>
      </c>
    </row>
    <row r="4" spans="1:25" x14ac:dyDescent="0.25">
      <c r="A4" t="s">
        <v>217</v>
      </c>
      <c r="B4">
        <f>SUM(C27:C30)</f>
        <v>29009</v>
      </c>
      <c r="C4">
        <v>0</v>
      </c>
      <c r="D4">
        <f t="shared" ref="D4:D15" si="0">ROUND(B4*C4,0)</f>
        <v>0</v>
      </c>
      <c r="J4" t="s">
        <v>217</v>
      </c>
      <c r="K4">
        <f>SUM(L27:L30)</f>
        <v>7394</v>
      </c>
      <c r="L4">
        <v>0.27300000000000002</v>
      </c>
      <c r="M4">
        <f t="shared" ref="M4:M15" si="1">ROUND(K4*L4,0)</f>
        <v>2019</v>
      </c>
    </row>
    <row r="5" spans="1:25" x14ac:dyDescent="0.25">
      <c r="A5" t="s">
        <v>218</v>
      </c>
      <c r="B5">
        <f>SUM(C31:C34)</f>
        <v>45542</v>
      </c>
      <c r="C5">
        <v>0</v>
      </c>
      <c r="D5">
        <f t="shared" si="0"/>
        <v>0</v>
      </c>
      <c r="J5" t="s">
        <v>218</v>
      </c>
      <c r="K5">
        <f>SUM(L31:L34)</f>
        <v>29272</v>
      </c>
      <c r="L5">
        <v>0</v>
      </c>
      <c r="M5">
        <f t="shared" si="1"/>
        <v>0</v>
      </c>
    </row>
    <row r="6" spans="1:25" x14ac:dyDescent="0.25">
      <c r="A6" t="s">
        <v>219</v>
      </c>
      <c r="B6">
        <f>SUM(C35:C38)</f>
        <v>19805</v>
      </c>
      <c r="C6">
        <v>0.05</v>
      </c>
      <c r="D6">
        <f t="shared" si="0"/>
        <v>990</v>
      </c>
      <c r="J6" t="s">
        <v>219</v>
      </c>
      <c r="K6">
        <f>SUM(L35:L38)</f>
        <v>0</v>
      </c>
      <c r="L6">
        <v>0</v>
      </c>
      <c r="M6">
        <f t="shared" si="1"/>
        <v>0</v>
      </c>
      <c r="O6" s="72" t="s">
        <v>209</v>
      </c>
      <c r="P6" s="72"/>
      <c r="Q6" s="72"/>
      <c r="S6" s="72" t="s">
        <v>210</v>
      </c>
      <c r="T6" s="72"/>
      <c r="U6" s="72"/>
    </row>
    <row r="7" spans="1:25" x14ac:dyDescent="0.25">
      <c r="A7" t="s">
        <v>220</v>
      </c>
      <c r="B7">
        <f>SUM(C39:C42)</f>
        <v>58185</v>
      </c>
      <c r="C7">
        <v>0</v>
      </c>
      <c r="D7">
        <f t="shared" si="0"/>
        <v>0</v>
      </c>
      <c r="J7" t="s">
        <v>220</v>
      </c>
      <c r="K7">
        <f>SUM(L39:L42)</f>
        <v>24792</v>
      </c>
      <c r="L7">
        <v>4.8000000000000001E-2</v>
      </c>
      <c r="M7">
        <f t="shared" si="1"/>
        <v>1190</v>
      </c>
      <c r="O7" s="17" t="s">
        <v>221</v>
      </c>
      <c r="P7" t="s">
        <v>222</v>
      </c>
      <c r="Q7" t="s">
        <v>223</v>
      </c>
      <c r="S7" s="17" t="s">
        <v>221</v>
      </c>
      <c r="T7" t="s">
        <v>222</v>
      </c>
      <c r="U7" t="s">
        <v>223</v>
      </c>
    </row>
    <row r="8" spans="1:25" x14ac:dyDescent="0.25">
      <c r="A8" t="s">
        <v>224</v>
      </c>
      <c r="B8">
        <f>SUM(C43:C46)</f>
        <v>54276</v>
      </c>
      <c r="C8">
        <v>0</v>
      </c>
      <c r="D8">
        <f t="shared" si="0"/>
        <v>0</v>
      </c>
      <c r="J8" t="s">
        <v>224</v>
      </c>
      <c r="K8">
        <f>SUM(L43:L46)</f>
        <v>5206</v>
      </c>
      <c r="L8">
        <v>5.5E-2</v>
      </c>
      <c r="M8">
        <f t="shared" si="1"/>
        <v>286</v>
      </c>
      <c r="O8" s="2" t="s">
        <v>225</v>
      </c>
      <c r="P8" s="18">
        <v>8.8436760000000003</v>
      </c>
      <c r="Q8" s="18">
        <v>2.3194629999999994</v>
      </c>
      <c r="S8" s="2" t="s">
        <v>225</v>
      </c>
      <c r="T8" s="18">
        <v>11.659841</v>
      </c>
      <c r="U8" s="18">
        <v>1.4233549999999999</v>
      </c>
    </row>
    <row r="9" spans="1:25" x14ac:dyDescent="0.25">
      <c r="A9" t="s">
        <v>226</v>
      </c>
      <c r="B9">
        <f>SUM(C47:C50)</f>
        <v>65939</v>
      </c>
      <c r="C9">
        <v>0.04</v>
      </c>
      <c r="D9">
        <f t="shared" si="0"/>
        <v>2638</v>
      </c>
      <c r="J9" t="s">
        <v>226</v>
      </c>
      <c r="K9">
        <f>SUM(L47:L50)</f>
        <v>32411</v>
      </c>
      <c r="L9">
        <v>0.09</v>
      </c>
      <c r="M9">
        <f t="shared" si="1"/>
        <v>2917</v>
      </c>
      <c r="O9" s="2" t="s">
        <v>227</v>
      </c>
      <c r="P9" s="18">
        <v>0.58936999999999995</v>
      </c>
      <c r="Q9" s="18">
        <v>0.42351000000000005</v>
      </c>
      <c r="S9" s="2" t="s">
        <v>227</v>
      </c>
      <c r="T9" s="18">
        <v>8.4702960000000012</v>
      </c>
      <c r="U9" s="18">
        <v>6.9159999999999999E-2</v>
      </c>
    </row>
    <row r="10" spans="1:25" x14ac:dyDescent="0.25">
      <c r="A10" t="s">
        <v>228</v>
      </c>
      <c r="B10">
        <f>SUM(C51:C54)</f>
        <v>3337</v>
      </c>
      <c r="C10">
        <v>0.84499999999999997</v>
      </c>
      <c r="D10">
        <f t="shared" si="0"/>
        <v>2820</v>
      </c>
      <c r="J10" t="s">
        <v>228</v>
      </c>
      <c r="K10">
        <f>SUM(L51:L54)</f>
        <v>0</v>
      </c>
      <c r="L10">
        <v>0</v>
      </c>
      <c r="M10">
        <f t="shared" si="1"/>
        <v>0</v>
      </c>
      <c r="O10" s="2" t="s">
        <v>229</v>
      </c>
      <c r="P10" s="18">
        <v>3.5143199999999997</v>
      </c>
      <c r="Q10" s="18">
        <v>0.68691200000000008</v>
      </c>
      <c r="S10" s="2" t="s">
        <v>229</v>
      </c>
      <c r="T10" s="18">
        <v>14.970712000000001</v>
      </c>
      <c r="U10" s="18">
        <v>16.543672000000001</v>
      </c>
    </row>
    <row r="11" spans="1:25" x14ac:dyDescent="0.25">
      <c r="A11" t="s">
        <v>230</v>
      </c>
      <c r="B11">
        <f>SUM(C55:C58)</f>
        <v>8529</v>
      </c>
      <c r="C11">
        <v>0</v>
      </c>
      <c r="D11">
        <f t="shared" si="0"/>
        <v>0</v>
      </c>
      <c r="J11" t="s">
        <v>230</v>
      </c>
      <c r="K11">
        <f>SUM(L55:L58)</f>
        <v>57</v>
      </c>
      <c r="L11">
        <v>0</v>
      </c>
      <c r="M11">
        <f t="shared" si="1"/>
        <v>0</v>
      </c>
      <c r="O11" s="2" t="s">
        <v>231</v>
      </c>
      <c r="P11" s="18">
        <v>12.947366000000001</v>
      </c>
      <c r="Q11" s="18">
        <v>3.4298849999999992</v>
      </c>
      <c r="S11" s="2" t="s">
        <v>231</v>
      </c>
      <c r="T11" s="18">
        <v>35.100849000000004</v>
      </c>
      <c r="U11" s="18">
        <v>18.036187000000002</v>
      </c>
    </row>
    <row r="12" spans="1:25" x14ac:dyDescent="0.25">
      <c r="A12" t="s">
        <v>232</v>
      </c>
      <c r="B12">
        <f>SUM(C59:C62)</f>
        <v>12411</v>
      </c>
      <c r="C12">
        <v>7.0000000000000001E-3</v>
      </c>
      <c r="D12">
        <f t="shared" si="0"/>
        <v>87</v>
      </c>
      <c r="J12" t="s">
        <v>232</v>
      </c>
      <c r="K12">
        <f>SUM(L59:L62)</f>
        <v>0</v>
      </c>
      <c r="L12">
        <v>0</v>
      </c>
      <c r="M12">
        <f t="shared" si="1"/>
        <v>0</v>
      </c>
      <c r="X12" s="70" t="s">
        <v>233</v>
      </c>
      <c r="Y12" s="70"/>
    </row>
    <row r="13" spans="1:25" x14ac:dyDescent="0.25">
      <c r="A13" t="s">
        <v>234</v>
      </c>
      <c r="B13">
        <f>SUM(C63:C66)</f>
        <v>2404</v>
      </c>
      <c r="C13">
        <v>2.5999999999999999E-2</v>
      </c>
      <c r="D13">
        <f t="shared" si="0"/>
        <v>63</v>
      </c>
      <c r="J13" t="s">
        <v>234</v>
      </c>
      <c r="K13">
        <f>SUM(L63:L66)</f>
        <v>546</v>
      </c>
      <c r="L13">
        <v>1.167</v>
      </c>
      <c r="M13">
        <f t="shared" si="1"/>
        <v>637</v>
      </c>
      <c r="X13" t="s">
        <v>50</v>
      </c>
      <c r="Y13" t="s">
        <v>235</v>
      </c>
    </row>
    <row r="14" spans="1:25" x14ac:dyDescent="0.25">
      <c r="A14" t="s">
        <v>236</v>
      </c>
      <c r="B14">
        <f>SUM(C67:C70)</f>
        <v>57216</v>
      </c>
      <c r="C14">
        <v>9.4E-2</v>
      </c>
      <c r="D14">
        <f t="shared" si="0"/>
        <v>5378</v>
      </c>
      <c r="J14" t="s">
        <v>236</v>
      </c>
      <c r="K14">
        <f>SUM(L67:L70)</f>
        <v>7456</v>
      </c>
      <c r="L14">
        <v>0.77200000000000002</v>
      </c>
      <c r="M14">
        <f t="shared" si="1"/>
        <v>5756</v>
      </c>
      <c r="X14">
        <v>0.85</v>
      </c>
      <c r="Y14">
        <v>0.39</v>
      </c>
    </row>
    <row r="15" spans="1:25" x14ac:dyDescent="0.25">
      <c r="A15" t="s">
        <v>237</v>
      </c>
      <c r="B15">
        <f>SUM(C71:C74)</f>
        <v>48397</v>
      </c>
      <c r="C15">
        <v>0.18099999999999999</v>
      </c>
      <c r="D15">
        <f t="shared" si="0"/>
        <v>8760</v>
      </c>
      <c r="J15" t="s">
        <v>237</v>
      </c>
      <c r="K15">
        <f>SUM(L71:L74)</f>
        <v>2670</v>
      </c>
      <c r="L15">
        <v>1.361</v>
      </c>
      <c r="M15">
        <f t="shared" si="1"/>
        <v>3634</v>
      </c>
    </row>
    <row r="18" spans="1:34" x14ac:dyDescent="0.25">
      <c r="U18" s="65" t="s">
        <v>209</v>
      </c>
      <c r="V18" s="65"/>
      <c r="W18" s="65"/>
      <c r="X18" s="65"/>
      <c r="Y18" s="65"/>
      <c r="AD18" s="65" t="s">
        <v>238</v>
      </c>
      <c r="AE18" s="65"/>
      <c r="AF18" s="65"/>
      <c r="AG18" s="65"/>
      <c r="AH18" s="65"/>
    </row>
    <row r="19" spans="1:34" x14ac:dyDescent="0.25">
      <c r="U19" s="70" t="s">
        <v>239</v>
      </c>
      <c r="V19" s="70"/>
      <c r="W19" s="70"/>
      <c r="X19" s="70"/>
      <c r="Y19" s="70"/>
      <c r="AD19" s="73" t="s">
        <v>240</v>
      </c>
      <c r="AE19" s="73"/>
      <c r="AF19" s="73"/>
      <c r="AG19" s="73"/>
      <c r="AH19" s="73"/>
    </row>
    <row r="20" spans="1:34" x14ac:dyDescent="0.25">
      <c r="U20" t="s">
        <v>241</v>
      </c>
      <c r="V20" t="s">
        <v>167</v>
      </c>
      <c r="W20" t="s">
        <v>168</v>
      </c>
      <c r="X20" t="s">
        <v>242</v>
      </c>
      <c r="Y20" t="s">
        <v>243</v>
      </c>
      <c r="AD20" s="24" t="s">
        <v>241</v>
      </c>
      <c r="AE20" s="24" t="s">
        <v>167</v>
      </c>
      <c r="AF20" s="24" t="s">
        <v>168</v>
      </c>
      <c r="AG20" s="24" t="s">
        <v>242</v>
      </c>
      <c r="AH20" s="24" t="s">
        <v>243</v>
      </c>
    </row>
    <row r="21" spans="1:34" x14ac:dyDescent="0.25">
      <c r="A21" s="70" t="s">
        <v>209</v>
      </c>
      <c r="B21" s="70"/>
      <c r="C21" s="70"/>
      <c r="D21" s="70"/>
      <c r="E21" s="70"/>
      <c r="F21" s="70"/>
      <c r="G21" s="70"/>
      <c r="H21" s="70"/>
      <c r="J21" s="70" t="s">
        <v>210</v>
      </c>
      <c r="K21" s="70"/>
      <c r="L21" s="70"/>
      <c r="M21" s="70"/>
      <c r="N21" s="70"/>
      <c r="O21" s="70"/>
      <c r="P21" s="70"/>
      <c r="Q21" s="70"/>
      <c r="U21" s="2" t="s">
        <v>225</v>
      </c>
      <c r="V21" s="18">
        <v>8.8436760000000003</v>
      </c>
      <c r="W21">
        <f>ROUND(V21/($X$14/1000),0)</f>
        <v>10404</v>
      </c>
      <c r="X21" s="18">
        <v>2.3194629999999994</v>
      </c>
      <c r="Y21">
        <f>ROUND(X21/($Y$14/1000),0)</f>
        <v>5947</v>
      </c>
      <c r="AD21" s="25" t="s">
        <v>225</v>
      </c>
      <c r="AE21" s="24">
        <f>V35+V58</f>
        <v>145.69</v>
      </c>
      <c r="AF21" s="24">
        <f t="shared" ref="AF21:AH23" si="2">W35+W58</f>
        <v>171409</v>
      </c>
      <c r="AG21" s="24">
        <f t="shared" si="2"/>
        <v>26.740000000000002</v>
      </c>
      <c r="AH21" s="24">
        <f t="shared" si="2"/>
        <v>68557</v>
      </c>
    </row>
    <row r="22" spans="1:34" x14ac:dyDescent="0.25">
      <c r="A22" t="s">
        <v>141</v>
      </c>
      <c r="B22" t="s">
        <v>244</v>
      </c>
      <c r="C22" t="s">
        <v>212</v>
      </c>
      <c r="D22" t="s">
        <v>245</v>
      </c>
      <c r="E22" t="s">
        <v>246</v>
      </c>
      <c r="F22" t="s">
        <v>247</v>
      </c>
      <c r="G22" t="s">
        <v>248</v>
      </c>
      <c r="H22" t="s">
        <v>241</v>
      </c>
      <c r="J22" t="s">
        <v>141</v>
      </c>
      <c r="K22" t="s">
        <v>244</v>
      </c>
      <c r="L22" t="s">
        <v>212</v>
      </c>
      <c r="M22" t="s">
        <v>245</v>
      </c>
      <c r="N22" t="s">
        <v>246</v>
      </c>
      <c r="O22" t="s">
        <v>247</v>
      </c>
      <c r="P22" t="s">
        <v>248</v>
      </c>
      <c r="Q22" t="s">
        <v>241</v>
      </c>
      <c r="U22" s="2" t="s">
        <v>227</v>
      </c>
      <c r="V22" s="18">
        <v>0.58936999999999995</v>
      </c>
      <c r="W22">
        <f t="shared" ref="W22:W23" si="3">ROUND(V22/($X$14/1000),0)</f>
        <v>693</v>
      </c>
      <c r="X22" s="18">
        <v>0.42351000000000005</v>
      </c>
      <c r="Y22">
        <f t="shared" ref="Y22:Y23" si="4">ROUND(X22/($Y$14/1000),0)</f>
        <v>1086</v>
      </c>
      <c r="AD22" s="25" t="s">
        <v>227</v>
      </c>
      <c r="AE22" s="24">
        <f t="shared" ref="AE22" si="5">V36+V59</f>
        <v>64.38</v>
      </c>
      <c r="AF22" s="24">
        <f t="shared" si="2"/>
        <v>75739</v>
      </c>
      <c r="AG22" s="24">
        <f t="shared" si="2"/>
        <v>3.5199999999999996</v>
      </c>
      <c r="AH22" s="24">
        <f t="shared" si="2"/>
        <v>9022</v>
      </c>
    </row>
    <row r="23" spans="1:34" x14ac:dyDescent="0.25">
      <c r="A23" s="71" t="s">
        <v>216</v>
      </c>
      <c r="B23" t="s">
        <v>249</v>
      </c>
      <c r="C23">
        <v>10160</v>
      </c>
      <c r="D23">
        <v>0</v>
      </c>
      <c r="E23">
        <f>(C23*D23)/1000</f>
        <v>0</v>
      </c>
      <c r="F23">
        <v>4.0000000000000001E-3</v>
      </c>
      <c r="G23">
        <f>(C23*F23)/1000</f>
        <v>4.0640000000000003E-2</v>
      </c>
      <c r="H23" t="s">
        <v>229</v>
      </c>
      <c r="J23" s="71" t="s">
        <v>216</v>
      </c>
      <c r="K23" t="s">
        <v>249</v>
      </c>
      <c r="L23">
        <v>4550</v>
      </c>
      <c r="M23">
        <v>0</v>
      </c>
      <c r="N23">
        <f>(L23*M23)/1000</f>
        <v>0</v>
      </c>
      <c r="O23">
        <v>0</v>
      </c>
      <c r="P23">
        <f>(L23*O23)/1000</f>
        <v>0</v>
      </c>
      <c r="Q23" t="s">
        <v>229</v>
      </c>
      <c r="U23" s="2" t="s">
        <v>229</v>
      </c>
      <c r="V23" s="18">
        <v>3.5143199999999997</v>
      </c>
      <c r="W23">
        <f t="shared" si="3"/>
        <v>4134</v>
      </c>
      <c r="X23" s="18">
        <v>0.68691200000000008</v>
      </c>
      <c r="Y23">
        <f t="shared" si="4"/>
        <v>1761</v>
      </c>
      <c r="AD23" s="25" t="s">
        <v>229</v>
      </c>
      <c r="AE23" s="24">
        <f>V37+V60</f>
        <v>131.35</v>
      </c>
      <c r="AF23" s="24">
        <f t="shared" si="2"/>
        <v>154539</v>
      </c>
      <c r="AG23" s="24">
        <f t="shared" si="2"/>
        <v>123.08</v>
      </c>
      <c r="AH23" s="24">
        <f t="shared" si="2"/>
        <v>315612</v>
      </c>
    </row>
    <row r="24" spans="1:34" x14ac:dyDescent="0.25">
      <c r="A24" s="71"/>
      <c r="B24" t="s">
        <v>250</v>
      </c>
      <c r="C24">
        <v>13362</v>
      </c>
      <c r="D24">
        <v>0</v>
      </c>
      <c r="E24">
        <f t="shared" ref="E24:E74" si="6">(C24*D24)/1000</f>
        <v>0</v>
      </c>
      <c r="F24">
        <v>0</v>
      </c>
      <c r="G24">
        <f t="shared" ref="G24:G74" si="7">(C24*F24)/1000</f>
        <v>0</v>
      </c>
      <c r="H24" t="s">
        <v>229</v>
      </c>
      <c r="J24" s="71"/>
      <c r="K24" t="s">
        <v>250</v>
      </c>
      <c r="L24">
        <v>2427</v>
      </c>
      <c r="M24">
        <v>0</v>
      </c>
      <c r="N24">
        <f t="shared" ref="N24:N74" si="8">(L24*M24)/1000</f>
        <v>0</v>
      </c>
      <c r="O24">
        <v>0</v>
      </c>
      <c r="P24">
        <f t="shared" ref="P24:P74" si="9">(L24*O24)/1000</f>
        <v>0</v>
      </c>
      <c r="Q24" t="s">
        <v>229</v>
      </c>
      <c r="U24" s="2" t="s">
        <v>73</v>
      </c>
      <c r="V24">
        <f>SUM(V21:V23)</f>
        <v>12.947366000000001</v>
      </c>
      <c r="W24">
        <f t="shared" ref="W24:Y24" si="10">SUM(W21:W23)</f>
        <v>15231</v>
      </c>
      <c r="X24">
        <f t="shared" si="10"/>
        <v>3.4298849999999992</v>
      </c>
      <c r="Y24">
        <f t="shared" si="10"/>
        <v>8794</v>
      </c>
      <c r="Z24" t="s">
        <v>251</v>
      </c>
    </row>
    <row r="25" spans="1:34" x14ac:dyDescent="0.25">
      <c r="A25" s="71"/>
      <c r="B25" t="s">
        <v>252</v>
      </c>
      <c r="C25">
        <v>16708</v>
      </c>
      <c r="D25">
        <v>8.1000000000000003E-2</v>
      </c>
      <c r="E25">
        <f t="shared" si="6"/>
        <v>1.353348</v>
      </c>
      <c r="F25">
        <v>0</v>
      </c>
      <c r="G25">
        <f t="shared" si="7"/>
        <v>0</v>
      </c>
      <c r="H25" t="s">
        <v>229</v>
      </c>
      <c r="J25" s="71"/>
      <c r="K25" t="s">
        <v>252</v>
      </c>
      <c r="L25">
        <v>1740</v>
      </c>
      <c r="M25">
        <v>2.2280000000000002</v>
      </c>
      <c r="N25">
        <f t="shared" si="8"/>
        <v>3.8767200000000002</v>
      </c>
      <c r="O25">
        <v>3.1320000000000001</v>
      </c>
      <c r="P25">
        <f t="shared" si="9"/>
        <v>5.4496799999999999</v>
      </c>
      <c r="Q25" t="s">
        <v>229</v>
      </c>
      <c r="U25" s="2" t="s">
        <v>253</v>
      </c>
      <c r="V25">
        <f>MEDIAN(75,109)</f>
        <v>92</v>
      </c>
      <c r="W25">
        <f>ROUND(V25/($X$14/1000),0)</f>
        <v>108235</v>
      </c>
      <c r="X25">
        <f>MEDIAN(20,29)</f>
        <v>24.5</v>
      </c>
      <c r="Y25">
        <f>ROUND(X25/($Y$14/1000),0)</f>
        <v>62821</v>
      </c>
    </row>
    <row r="26" spans="1:34" x14ac:dyDescent="0.25">
      <c r="A26" s="71"/>
      <c r="B26" t="s">
        <v>254</v>
      </c>
      <c r="C26">
        <v>20196</v>
      </c>
      <c r="D26">
        <v>0.107</v>
      </c>
      <c r="E26">
        <f t="shared" si="6"/>
        <v>2.1609719999999997</v>
      </c>
      <c r="F26">
        <v>3.2000000000000001E-2</v>
      </c>
      <c r="G26">
        <f t="shared" si="7"/>
        <v>0.64627200000000007</v>
      </c>
      <c r="H26" t="s">
        <v>229</v>
      </c>
      <c r="J26" s="71"/>
      <c r="K26" t="s">
        <v>254</v>
      </c>
      <c r="L26">
        <v>2548</v>
      </c>
      <c r="M26">
        <v>4.3540000000000001</v>
      </c>
      <c r="N26">
        <f t="shared" si="8"/>
        <v>11.093992</v>
      </c>
      <c r="O26">
        <v>4.3540000000000001</v>
      </c>
      <c r="P26">
        <f t="shared" si="9"/>
        <v>11.093992</v>
      </c>
      <c r="Q26" t="s">
        <v>229</v>
      </c>
      <c r="U26" s="70" t="s">
        <v>255</v>
      </c>
      <c r="V26" s="70"/>
      <c r="W26" s="70"/>
      <c r="X26" s="70"/>
      <c r="Y26" s="70"/>
    </row>
    <row r="27" spans="1:34" x14ac:dyDescent="0.25">
      <c r="A27" s="71" t="s">
        <v>217</v>
      </c>
      <c r="B27" t="s">
        <v>249</v>
      </c>
      <c r="C27">
        <v>6359</v>
      </c>
      <c r="D27">
        <v>0</v>
      </c>
      <c r="E27">
        <f t="shared" si="6"/>
        <v>0</v>
      </c>
      <c r="F27">
        <v>0</v>
      </c>
      <c r="G27">
        <f t="shared" si="7"/>
        <v>0</v>
      </c>
      <c r="H27" t="s">
        <v>227</v>
      </c>
      <c r="J27" s="71" t="s">
        <v>217</v>
      </c>
      <c r="K27" t="s">
        <v>249</v>
      </c>
      <c r="L27">
        <v>0</v>
      </c>
      <c r="M27">
        <v>0</v>
      </c>
      <c r="N27">
        <f t="shared" si="8"/>
        <v>0</v>
      </c>
      <c r="O27">
        <v>0</v>
      </c>
      <c r="P27">
        <f t="shared" si="9"/>
        <v>0</v>
      </c>
      <c r="Q27" t="s">
        <v>227</v>
      </c>
      <c r="U27" t="s">
        <v>241</v>
      </c>
      <c r="V27" t="s">
        <v>167</v>
      </c>
      <c r="W27" t="s">
        <v>168</v>
      </c>
      <c r="X27" t="s">
        <v>242</v>
      </c>
      <c r="Y27" t="s">
        <v>243</v>
      </c>
    </row>
    <row r="28" spans="1:34" x14ac:dyDescent="0.25">
      <c r="A28" s="71"/>
      <c r="B28" t="s">
        <v>250</v>
      </c>
      <c r="C28">
        <v>5792</v>
      </c>
      <c r="D28">
        <v>0</v>
      </c>
      <c r="E28">
        <f t="shared" si="6"/>
        <v>0</v>
      </c>
      <c r="F28">
        <v>0</v>
      </c>
      <c r="G28">
        <f t="shared" si="7"/>
        <v>0</v>
      </c>
      <c r="H28" t="s">
        <v>227</v>
      </c>
      <c r="J28" s="71"/>
      <c r="K28" t="s">
        <v>250</v>
      </c>
      <c r="L28">
        <v>0</v>
      </c>
      <c r="M28">
        <v>0</v>
      </c>
      <c r="N28">
        <f t="shared" si="8"/>
        <v>0</v>
      </c>
      <c r="O28">
        <v>0</v>
      </c>
      <c r="P28">
        <f t="shared" si="9"/>
        <v>0</v>
      </c>
      <c r="Q28" t="s">
        <v>227</v>
      </c>
      <c r="U28" s="2" t="s">
        <v>225</v>
      </c>
      <c r="V28">
        <f>V21/V$24</f>
        <v>0.68304827406593738</v>
      </c>
      <c r="W28">
        <f t="shared" ref="W28:Y28" si="11">W21/W$24</f>
        <v>0.68308055938546386</v>
      </c>
      <c r="X28">
        <f t="shared" si="11"/>
        <v>0.6762509530202907</v>
      </c>
      <c r="Y28">
        <f t="shared" si="11"/>
        <v>0.67625653854901069</v>
      </c>
    </row>
    <row r="29" spans="1:34" x14ac:dyDescent="0.25">
      <c r="A29" s="71"/>
      <c r="B29" t="s">
        <v>252</v>
      </c>
      <c r="C29">
        <v>9760</v>
      </c>
      <c r="D29">
        <v>0</v>
      </c>
      <c r="E29">
        <f t="shared" si="6"/>
        <v>0</v>
      </c>
      <c r="F29">
        <v>0</v>
      </c>
      <c r="G29">
        <f t="shared" si="7"/>
        <v>0</v>
      </c>
      <c r="H29" t="s">
        <v>227</v>
      </c>
      <c r="J29" s="71"/>
      <c r="K29" t="s">
        <v>252</v>
      </c>
      <c r="L29">
        <v>7394</v>
      </c>
      <c r="M29">
        <v>0.79200000000000004</v>
      </c>
      <c r="N29">
        <f t="shared" si="8"/>
        <v>5.8560480000000004</v>
      </c>
      <c r="O29">
        <v>0</v>
      </c>
      <c r="P29">
        <f t="shared" si="9"/>
        <v>0</v>
      </c>
      <c r="Q29" t="s">
        <v>227</v>
      </c>
      <c r="U29" s="2" t="s">
        <v>227</v>
      </c>
      <c r="V29">
        <f>V22/V$24</f>
        <v>4.5520455666426665E-2</v>
      </c>
      <c r="W29">
        <f t="shared" ref="W29:Y29" si="12">W22/W$24</f>
        <v>4.5499310616505813E-2</v>
      </c>
      <c r="X29">
        <f t="shared" si="12"/>
        <v>0.12347644308774205</v>
      </c>
      <c r="Y29">
        <f t="shared" si="12"/>
        <v>0.12349329088014556</v>
      </c>
    </row>
    <row r="30" spans="1:34" x14ac:dyDescent="0.25">
      <c r="A30" s="71"/>
      <c r="B30" t="s">
        <v>254</v>
      </c>
      <c r="C30">
        <v>7098</v>
      </c>
      <c r="D30">
        <v>0</v>
      </c>
      <c r="E30">
        <f t="shared" si="6"/>
        <v>0</v>
      </c>
      <c r="F30">
        <v>0</v>
      </c>
      <c r="G30">
        <f t="shared" si="7"/>
        <v>0</v>
      </c>
      <c r="H30" t="s">
        <v>227</v>
      </c>
      <c r="J30" s="71"/>
      <c r="K30" t="s">
        <v>254</v>
      </c>
      <c r="L30">
        <v>0</v>
      </c>
      <c r="M30">
        <v>0</v>
      </c>
      <c r="N30">
        <f t="shared" si="8"/>
        <v>0</v>
      </c>
      <c r="O30">
        <v>0</v>
      </c>
      <c r="P30">
        <f t="shared" si="9"/>
        <v>0</v>
      </c>
      <c r="Q30" t="s">
        <v>227</v>
      </c>
      <c r="U30" s="2" t="s">
        <v>229</v>
      </c>
      <c r="V30">
        <f>V23/V$24</f>
        <v>0.27143127026763586</v>
      </c>
      <c r="W30">
        <f t="shared" ref="W30:Y30" si="13">W23/W$24</f>
        <v>0.27142012999803034</v>
      </c>
      <c r="X30">
        <f t="shared" si="13"/>
        <v>0.2002726038919673</v>
      </c>
      <c r="Y30">
        <f t="shared" si="13"/>
        <v>0.20025017057084377</v>
      </c>
    </row>
    <row r="31" spans="1:34" x14ac:dyDescent="0.25">
      <c r="A31" s="71" t="s">
        <v>218</v>
      </c>
      <c r="B31" t="s">
        <v>249</v>
      </c>
      <c r="C31">
        <v>11867</v>
      </c>
      <c r="D31">
        <v>0</v>
      </c>
      <c r="E31">
        <f t="shared" si="6"/>
        <v>0</v>
      </c>
      <c r="F31">
        <v>0</v>
      </c>
      <c r="G31">
        <f t="shared" si="7"/>
        <v>0</v>
      </c>
      <c r="H31" t="s">
        <v>227</v>
      </c>
      <c r="J31" s="71" t="s">
        <v>218</v>
      </c>
      <c r="K31" t="s">
        <v>249</v>
      </c>
      <c r="L31">
        <v>865</v>
      </c>
      <c r="M31">
        <v>0</v>
      </c>
      <c r="N31">
        <f t="shared" si="8"/>
        <v>0</v>
      </c>
      <c r="O31">
        <v>0</v>
      </c>
      <c r="P31">
        <f t="shared" si="9"/>
        <v>0</v>
      </c>
      <c r="Q31" t="s">
        <v>227</v>
      </c>
    </row>
    <row r="32" spans="1:34" x14ac:dyDescent="0.25">
      <c r="A32" s="71"/>
      <c r="B32" t="s">
        <v>250</v>
      </c>
      <c r="C32">
        <v>11496</v>
      </c>
      <c r="D32">
        <v>0</v>
      </c>
      <c r="E32">
        <f t="shared" si="6"/>
        <v>0</v>
      </c>
      <c r="F32">
        <v>0</v>
      </c>
      <c r="G32">
        <f t="shared" si="7"/>
        <v>0</v>
      </c>
      <c r="H32" t="s">
        <v>227</v>
      </c>
      <c r="J32" s="71"/>
      <c r="K32" t="s">
        <v>250</v>
      </c>
      <c r="L32">
        <v>0</v>
      </c>
      <c r="M32">
        <v>0</v>
      </c>
      <c r="N32">
        <f t="shared" si="8"/>
        <v>0</v>
      </c>
      <c r="O32">
        <v>0</v>
      </c>
      <c r="P32">
        <f t="shared" si="9"/>
        <v>0</v>
      </c>
      <c r="Q32" t="s">
        <v>227</v>
      </c>
    </row>
    <row r="33" spans="1:25" x14ac:dyDescent="0.25">
      <c r="A33" s="71"/>
      <c r="B33" t="s">
        <v>252</v>
      </c>
      <c r="C33">
        <v>18412</v>
      </c>
      <c r="D33">
        <v>0</v>
      </c>
      <c r="E33">
        <f t="shared" si="6"/>
        <v>0</v>
      </c>
      <c r="F33">
        <v>0</v>
      </c>
      <c r="G33">
        <f t="shared" si="7"/>
        <v>0</v>
      </c>
      <c r="H33" t="s">
        <v>227</v>
      </c>
      <c r="J33" s="71"/>
      <c r="K33" t="s">
        <v>252</v>
      </c>
      <c r="L33">
        <v>28407</v>
      </c>
      <c r="M33">
        <v>0</v>
      </c>
      <c r="N33">
        <f t="shared" si="8"/>
        <v>0</v>
      </c>
      <c r="O33">
        <v>0</v>
      </c>
      <c r="P33">
        <f t="shared" si="9"/>
        <v>0</v>
      </c>
      <c r="Q33" t="s">
        <v>227</v>
      </c>
      <c r="U33" s="70" t="s">
        <v>240</v>
      </c>
      <c r="V33" s="70"/>
      <c r="W33" s="70"/>
      <c r="X33" s="70"/>
      <c r="Y33" s="70"/>
    </row>
    <row r="34" spans="1:25" x14ac:dyDescent="0.25">
      <c r="A34" s="71"/>
      <c r="B34" t="s">
        <v>254</v>
      </c>
      <c r="C34">
        <v>3767</v>
      </c>
      <c r="D34">
        <v>0</v>
      </c>
      <c r="E34">
        <f t="shared" si="6"/>
        <v>0</v>
      </c>
      <c r="F34">
        <v>0</v>
      </c>
      <c r="G34">
        <f t="shared" si="7"/>
        <v>0</v>
      </c>
      <c r="H34" t="s">
        <v>227</v>
      </c>
      <c r="J34" s="71"/>
      <c r="K34" t="s">
        <v>254</v>
      </c>
      <c r="L34">
        <v>0</v>
      </c>
      <c r="M34">
        <v>0</v>
      </c>
      <c r="N34">
        <f t="shared" si="8"/>
        <v>0</v>
      </c>
      <c r="O34">
        <v>0</v>
      </c>
      <c r="P34">
        <f t="shared" si="9"/>
        <v>0</v>
      </c>
      <c r="Q34" t="s">
        <v>227</v>
      </c>
      <c r="U34" t="s">
        <v>241</v>
      </c>
      <c r="V34" t="s">
        <v>167</v>
      </c>
      <c r="W34" t="s">
        <v>168</v>
      </c>
      <c r="X34" t="s">
        <v>242</v>
      </c>
      <c r="Y34" t="s">
        <v>243</v>
      </c>
    </row>
    <row r="35" spans="1:25" x14ac:dyDescent="0.25">
      <c r="A35" s="71" t="s">
        <v>219</v>
      </c>
      <c r="B35" t="s">
        <v>249</v>
      </c>
      <c r="C35">
        <v>3754</v>
      </c>
      <c r="D35">
        <v>0.13100000000000001</v>
      </c>
      <c r="E35">
        <f t="shared" si="6"/>
        <v>0.49177399999999999</v>
      </c>
      <c r="F35">
        <v>9.6000000000000002E-2</v>
      </c>
      <c r="G35">
        <f t="shared" si="7"/>
        <v>0.36038400000000004</v>
      </c>
      <c r="H35" t="s">
        <v>227</v>
      </c>
      <c r="J35" s="71" t="s">
        <v>219</v>
      </c>
      <c r="K35" t="s">
        <v>249</v>
      </c>
      <c r="L35">
        <v>0</v>
      </c>
      <c r="M35">
        <v>0</v>
      </c>
      <c r="N35">
        <f t="shared" si="8"/>
        <v>0</v>
      </c>
      <c r="O35">
        <v>0</v>
      </c>
      <c r="P35">
        <f t="shared" si="9"/>
        <v>0</v>
      </c>
      <c r="Q35" t="s">
        <v>227</v>
      </c>
      <c r="U35" s="2" t="s">
        <v>225</v>
      </c>
      <c r="V35">
        <f>ROUND(V28*V$25,2)</f>
        <v>62.84</v>
      </c>
      <c r="W35">
        <f>ROUND(W28*W$25,0)</f>
        <v>73933</v>
      </c>
      <c r="X35">
        <f t="shared" ref="X35" si="14">ROUND(X28*X$25,2)</f>
        <v>16.57</v>
      </c>
      <c r="Y35">
        <f>ROUND(Y28*Y$25,0)</f>
        <v>42483</v>
      </c>
    </row>
    <row r="36" spans="1:25" x14ac:dyDescent="0.25">
      <c r="A36" s="71"/>
      <c r="B36" t="s">
        <v>250</v>
      </c>
      <c r="C36">
        <v>5422</v>
      </c>
      <c r="D36">
        <v>1.7999999999999999E-2</v>
      </c>
      <c r="E36">
        <f t="shared" si="6"/>
        <v>9.7595999999999988E-2</v>
      </c>
      <c r="F36">
        <v>0</v>
      </c>
      <c r="G36">
        <f t="shared" si="7"/>
        <v>0</v>
      </c>
      <c r="H36" t="s">
        <v>227</v>
      </c>
      <c r="J36" s="71"/>
      <c r="K36" t="s">
        <v>250</v>
      </c>
      <c r="L36">
        <v>0</v>
      </c>
      <c r="M36">
        <v>0</v>
      </c>
      <c r="N36">
        <f t="shared" si="8"/>
        <v>0</v>
      </c>
      <c r="O36">
        <v>0</v>
      </c>
      <c r="P36">
        <f t="shared" si="9"/>
        <v>0</v>
      </c>
      <c r="Q36" t="s">
        <v>227</v>
      </c>
      <c r="U36" s="2" t="s">
        <v>227</v>
      </c>
      <c r="V36">
        <f t="shared" ref="V36:X37" si="15">ROUND(V29*V$25,2)</f>
        <v>4.1900000000000004</v>
      </c>
      <c r="W36">
        <f t="shared" ref="W36:W37" si="16">ROUND(W29*W$25,0)</f>
        <v>4925</v>
      </c>
      <c r="X36">
        <f t="shared" si="15"/>
        <v>3.03</v>
      </c>
      <c r="Y36">
        <f t="shared" ref="Y36:Y37" si="17">ROUND(Y29*Y$25,0)</f>
        <v>7758</v>
      </c>
    </row>
    <row r="37" spans="1:25" x14ac:dyDescent="0.25">
      <c r="A37" s="71"/>
      <c r="B37" t="s">
        <v>252</v>
      </c>
      <c r="C37">
        <v>3615</v>
      </c>
      <c r="D37">
        <v>0</v>
      </c>
      <c r="E37">
        <f t="shared" si="6"/>
        <v>0</v>
      </c>
      <c r="F37">
        <v>0</v>
      </c>
      <c r="G37">
        <f t="shared" si="7"/>
        <v>0</v>
      </c>
      <c r="H37" t="s">
        <v>227</v>
      </c>
      <c r="J37" s="71"/>
      <c r="K37" t="s">
        <v>252</v>
      </c>
      <c r="L37">
        <v>0</v>
      </c>
      <c r="M37">
        <v>0</v>
      </c>
      <c r="N37">
        <f t="shared" si="8"/>
        <v>0</v>
      </c>
      <c r="O37">
        <v>0</v>
      </c>
      <c r="P37">
        <f t="shared" si="9"/>
        <v>0</v>
      </c>
      <c r="Q37" t="s">
        <v>227</v>
      </c>
      <c r="U37" s="2" t="s">
        <v>229</v>
      </c>
      <c r="V37">
        <f t="shared" si="15"/>
        <v>24.97</v>
      </c>
      <c r="W37">
        <f t="shared" si="16"/>
        <v>29377</v>
      </c>
      <c r="X37">
        <f t="shared" si="15"/>
        <v>4.91</v>
      </c>
      <c r="Y37">
        <f t="shared" si="17"/>
        <v>12580</v>
      </c>
    </row>
    <row r="38" spans="1:25" x14ac:dyDescent="0.25">
      <c r="A38" s="71"/>
      <c r="B38" t="s">
        <v>254</v>
      </c>
      <c r="C38">
        <v>7014</v>
      </c>
      <c r="D38">
        <v>0</v>
      </c>
      <c r="E38">
        <f t="shared" si="6"/>
        <v>0</v>
      </c>
      <c r="F38">
        <v>8.9999999999999993E-3</v>
      </c>
      <c r="G38">
        <f t="shared" si="7"/>
        <v>6.3126000000000002E-2</v>
      </c>
      <c r="H38" t="s">
        <v>227</v>
      </c>
      <c r="J38" s="71"/>
      <c r="K38" t="s">
        <v>254</v>
      </c>
      <c r="L38">
        <v>0</v>
      </c>
      <c r="M38">
        <v>0</v>
      </c>
      <c r="N38">
        <f t="shared" si="8"/>
        <v>0</v>
      </c>
      <c r="O38">
        <v>0</v>
      </c>
      <c r="P38">
        <f t="shared" si="9"/>
        <v>0</v>
      </c>
      <c r="Q38" t="s">
        <v>227</v>
      </c>
    </row>
    <row r="39" spans="1:25" x14ac:dyDescent="0.25">
      <c r="A39" s="71" t="s">
        <v>220</v>
      </c>
      <c r="B39" t="s">
        <v>249</v>
      </c>
      <c r="C39">
        <v>11712</v>
      </c>
      <c r="D39">
        <v>0</v>
      </c>
      <c r="E39">
        <f t="shared" si="6"/>
        <v>0</v>
      </c>
      <c r="F39">
        <v>0</v>
      </c>
      <c r="G39">
        <f t="shared" si="7"/>
        <v>0</v>
      </c>
      <c r="H39" t="s">
        <v>227</v>
      </c>
      <c r="J39" s="71" t="s">
        <v>220</v>
      </c>
      <c r="K39" t="s">
        <v>249</v>
      </c>
      <c r="L39">
        <v>2032</v>
      </c>
      <c r="M39">
        <v>0</v>
      </c>
      <c r="N39">
        <f t="shared" si="8"/>
        <v>0</v>
      </c>
      <c r="O39">
        <v>0</v>
      </c>
      <c r="P39">
        <f t="shared" si="9"/>
        <v>0</v>
      </c>
      <c r="Q39" t="s">
        <v>227</v>
      </c>
    </row>
    <row r="40" spans="1:25" x14ac:dyDescent="0.25">
      <c r="A40" s="71"/>
      <c r="B40" t="s">
        <v>250</v>
      </c>
      <c r="C40">
        <v>17664</v>
      </c>
      <c r="D40">
        <v>0</v>
      </c>
      <c r="E40">
        <f t="shared" si="6"/>
        <v>0</v>
      </c>
      <c r="F40">
        <v>0</v>
      </c>
      <c r="G40">
        <f t="shared" si="7"/>
        <v>0</v>
      </c>
      <c r="H40" t="s">
        <v>227</v>
      </c>
      <c r="J40" s="71"/>
      <c r="K40" t="s">
        <v>250</v>
      </c>
      <c r="L40">
        <v>3422</v>
      </c>
      <c r="M40">
        <v>0</v>
      </c>
      <c r="N40">
        <f t="shared" si="8"/>
        <v>0</v>
      </c>
      <c r="O40">
        <v>0</v>
      </c>
      <c r="P40">
        <f t="shared" si="9"/>
        <v>0</v>
      </c>
      <c r="Q40" t="s">
        <v>227</v>
      </c>
    </row>
    <row r="41" spans="1:25" x14ac:dyDescent="0.25">
      <c r="A41" s="71"/>
      <c r="B41" t="s">
        <v>252</v>
      </c>
      <c r="C41">
        <v>17674</v>
      </c>
      <c r="D41">
        <v>0</v>
      </c>
      <c r="E41">
        <f t="shared" si="6"/>
        <v>0</v>
      </c>
      <c r="F41">
        <v>0</v>
      </c>
      <c r="G41">
        <f t="shared" si="7"/>
        <v>0</v>
      </c>
      <c r="H41" t="s">
        <v>227</v>
      </c>
      <c r="J41" s="71"/>
      <c r="K41" t="s">
        <v>252</v>
      </c>
      <c r="L41">
        <v>13832</v>
      </c>
      <c r="M41">
        <v>0.189</v>
      </c>
      <c r="N41">
        <f t="shared" si="8"/>
        <v>2.6142479999999999</v>
      </c>
      <c r="O41">
        <v>5.0000000000000001E-3</v>
      </c>
      <c r="P41">
        <f t="shared" si="9"/>
        <v>6.9159999999999999E-2</v>
      </c>
      <c r="Q41" t="s">
        <v>227</v>
      </c>
      <c r="U41" s="65" t="s">
        <v>210</v>
      </c>
      <c r="V41" s="65"/>
      <c r="W41" s="65"/>
      <c r="X41" s="65"/>
      <c r="Y41" s="65"/>
    </row>
    <row r="42" spans="1:25" x14ac:dyDescent="0.25">
      <c r="A42" s="71"/>
      <c r="B42" t="s">
        <v>254</v>
      </c>
      <c r="C42">
        <v>11135</v>
      </c>
      <c r="D42">
        <v>0</v>
      </c>
      <c r="E42">
        <f t="shared" si="6"/>
        <v>0</v>
      </c>
      <c r="F42">
        <v>0</v>
      </c>
      <c r="G42">
        <f t="shared" si="7"/>
        <v>0</v>
      </c>
      <c r="H42" t="s">
        <v>227</v>
      </c>
      <c r="J42" s="71"/>
      <c r="K42" t="s">
        <v>254</v>
      </c>
      <c r="L42">
        <v>5506</v>
      </c>
      <c r="M42">
        <v>0</v>
      </c>
      <c r="N42">
        <f t="shared" si="8"/>
        <v>0</v>
      </c>
      <c r="O42">
        <v>0</v>
      </c>
      <c r="P42">
        <f t="shared" si="9"/>
        <v>0</v>
      </c>
      <c r="Q42" t="s">
        <v>227</v>
      </c>
      <c r="U42" s="70" t="s">
        <v>239</v>
      </c>
      <c r="V42" s="70"/>
      <c r="W42" s="70"/>
      <c r="X42" s="70"/>
      <c r="Y42" s="70"/>
    </row>
    <row r="43" spans="1:25" x14ac:dyDescent="0.25">
      <c r="A43" s="71" t="s">
        <v>224</v>
      </c>
      <c r="B43" t="s">
        <v>249</v>
      </c>
      <c r="C43">
        <v>10501</v>
      </c>
      <c r="D43">
        <v>0</v>
      </c>
      <c r="E43">
        <f t="shared" si="6"/>
        <v>0</v>
      </c>
      <c r="F43">
        <v>0</v>
      </c>
      <c r="G43">
        <f t="shared" si="7"/>
        <v>0</v>
      </c>
      <c r="H43" t="s">
        <v>225</v>
      </c>
      <c r="J43" s="71" t="s">
        <v>224</v>
      </c>
      <c r="K43" t="s">
        <v>249</v>
      </c>
      <c r="L43">
        <v>1820</v>
      </c>
      <c r="M43">
        <v>0</v>
      </c>
      <c r="N43">
        <f t="shared" si="8"/>
        <v>0</v>
      </c>
      <c r="O43">
        <v>0</v>
      </c>
      <c r="P43">
        <f t="shared" si="9"/>
        <v>0</v>
      </c>
      <c r="Q43" t="s">
        <v>225</v>
      </c>
      <c r="U43" t="s">
        <v>241</v>
      </c>
      <c r="V43" t="s">
        <v>167</v>
      </c>
      <c r="W43" t="s">
        <v>168</v>
      </c>
      <c r="X43" t="s">
        <v>242</v>
      </c>
      <c r="Y43" t="s">
        <v>243</v>
      </c>
    </row>
    <row r="44" spans="1:25" x14ac:dyDescent="0.25">
      <c r="A44" s="71"/>
      <c r="B44" t="s">
        <v>250</v>
      </c>
      <c r="C44">
        <v>9707</v>
      </c>
      <c r="D44">
        <v>0</v>
      </c>
      <c r="E44">
        <f t="shared" si="6"/>
        <v>0</v>
      </c>
      <c r="F44">
        <v>0</v>
      </c>
      <c r="G44">
        <f t="shared" si="7"/>
        <v>0</v>
      </c>
      <c r="H44" t="s">
        <v>225</v>
      </c>
      <c r="J44" s="71"/>
      <c r="K44" t="s">
        <v>250</v>
      </c>
      <c r="L44">
        <v>248</v>
      </c>
      <c r="M44">
        <v>0</v>
      </c>
      <c r="N44">
        <f t="shared" si="8"/>
        <v>0</v>
      </c>
      <c r="O44">
        <v>0</v>
      </c>
      <c r="P44">
        <f t="shared" si="9"/>
        <v>0</v>
      </c>
      <c r="Q44" t="s">
        <v>225</v>
      </c>
      <c r="U44" s="2" t="s">
        <v>225</v>
      </c>
      <c r="V44" s="18">
        <v>11.659841</v>
      </c>
      <c r="W44">
        <f>ROUND(V44/($X$14/1000),0)</f>
        <v>13717</v>
      </c>
      <c r="X44" s="18">
        <v>1.4233549999999999</v>
      </c>
      <c r="Y44">
        <f>ROUND(X44/($Y$14/1000),0)</f>
        <v>3650</v>
      </c>
    </row>
    <row r="45" spans="1:25" x14ac:dyDescent="0.25">
      <c r="A45" s="71"/>
      <c r="B45" t="s">
        <v>252</v>
      </c>
      <c r="C45">
        <v>32851</v>
      </c>
      <c r="D45">
        <v>0</v>
      </c>
      <c r="E45">
        <f t="shared" si="6"/>
        <v>0</v>
      </c>
      <c r="F45">
        <v>0</v>
      </c>
      <c r="G45">
        <f t="shared" si="7"/>
        <v>0</v>
      </c>
      <c r="H45" t="s">
        <v>225</v>
      </c>
      <c r="J45" s="71"/>
      <c r="K45" t="s">
        <v>252</v>
      </c>
      <c r="L45">
        <v>3080</v>
      </c>
      <c r="M45">
        <v>5.8000000000000003E-2</v>
      </c>
      <c r="N45">
        <f t="shared" si="8"/>
        <v>0.17864000000000002</v>
      </c>
      <c r="O45">
        <v>2.3E-2</v>
      </c>
      <c r="P45">
        <f t="shared" si="9"/>
        <v>7.084E-2</v>
      </c>
      <c r="Q45" t="s">
        <v>225</v>
      </c>
      <c r="U45" s="2" t="s">
        <v>227</v>
      </c>
      <c r="V45" s="18">
        <v>8.4702960000000012</v>
      </c>
      <c r="W45">
        <f t="shared" ref="W45:W46" si="18">ROUND(V45/($X$14/1000),0)</f>
        <v>9965</v>
      </c>
      <c r="X45" s="18">
        <v>6.9159999999999999E-2</v>
      </c>
      <c r="Y45">
        <f t="shared" ref="Y45:Y46" si="19">ROUND(X45/($Y$14/1000),0)</f>
        <v>177</v>
      </c>
    </row>
    <row r="46" spans="1:25" x14ac:dyDescent="0.25">
      <c r="A46" s="71"/>
      <c r="B46" t="s">
        <v>254</v>
      </c>
      <c r="C46">
        <v>1217</v>
      </c>
      <c r="D46">
        <v>0</v>
      </c>
      <c r="E46">
        <f t="shared" si="6"/>
        <v>0</v>
      </c>
      <c r="F46">
        <v>0</v>
      </c>
      <c r="G46">
        <f t="shared" si="7"/>
        <v>0</v>
      </c>
      <c r="H46" t="s">
        <v>225</v>
      </c>
      <c r="J46" s="71"/>
      <c r="K46" t="s">
        <v>254</v>
      </c>
      <c r="L46">
        <v>58</v>
      </c>
      <c r="M46">
        <v>0</v>
      </c>
      <c r="N46">
        <f t="shared" si="8"/>
        <v>0</v>
      </c>
      <c r="O46">
        <v>0</v>
      </c>
      <c r="P46">
        <f t="shared" si="9"/>
        <v>0</v>
      </c>
      <c r="Q46" t="s">
        <v>225</v>
      </c>
      <c r="U46" s="2" t="s">
        <v>229</v>
      </c>
      <c r="V46" s="18">
        <v>14.970712000000001</v>
      </c>
      <c r="W46">
        <f t="shared" si="18"/>
        <v>17613</v>
      </c>
      <c r="X46" s="18">
        <v>16.543672000000001</v>
      </c>
      <c r="Y46">
        <f t="shared" si="19"/>
        <v>42420</v>
      </c>
    </row>
    <row r="47" spans="1:25" x14ac:dyDescent="0.25">
      <c r="A47" s="71" t="s">
        <v>256</v>
      </c>
      <c r="B47" t="s">
        <v>249</v>
      </c>
      <c r="C47">
        <v>17851</v>
      </c>
      <c r="D47">
        <v>2.4E-2</v>
      </c>
      <c r="E47">
        <f t="shared" si="6"/>
        <v>0.42842400000000003</v>
      </c>
      <c r="F47">
        <v>1.4999999999999999E-2</v>
      </c>
      <c r="G47">
        <f t="shared" si="7"/>
        <v>0.26776499999999998</v>
      </c>
      <c r="H47" t="s">
        <v>225</v>
      </c>
      <c r="J47" s="71" t="s">
        <v>256</v>
      </c>
      <c r="K47" t="s">
        <v>249</v>
      </c>
      <c r="L47">
        <v>0</v>
      </c>
      <c r="M47">
        <v>0</v>
      </c>
      <c r="N47">
        <f t="shared" si="8"/>
        <v>0</v>
      </c>
      <c r="O47">
        <v>0</v>
      </c>
      <c r="P47">
        <f t="shared" si="9"/>
        <v>0</v>
      </c>
      <c r="Q47" t="s">
        <v>225</v>
      </c>
      <c r="U47" s="2" t="s">
        <v>73</v>
      </c>
      <c r="V47">
        <f>SUM(V44:V46)</f>
        <v>35.100849000000004</v>
      </c>
      <c r="W47">
        <f t="shared" ref="W47" si="20">SUM(W44:W46)</f>
        <v>41295</v>
      </c>
      <c r="X47">
        <f t="shared" ref="X47" si="21">SUM(X44:X46)</f>
        <v>18.036187000000002</v>
      </c>
      <c r="Y47">
        <f t="shared" ref="Y47" si="22">SUM(Y44:Y46)</f>
        <v>46247</v>
      </c>
    </row>
    <row r="48" spans="1:25" x14ac:dyDescent="0.25">
      <c r="A48" s="71"/>
      <c r="B48" t="s">
        <v>250</v>
      </c>
      <c r="C48">
        <v>15600</v>
      </c>
      <c r="D48">
        <v>2.1000000000000001E-2</v>
      </c>
      <c r="E48">
        <f t="shared" si="6"/>
        <v>0.3276</v>
      </c>
      <c r="F48">
        <v>6.0000000000000001E-3</v>
      </c>
      <c r="G48">
        <f t="shared" si="7"/>
        <v>9.3600000000000003E-2</v>
      </c>
      <c r="H48" t="s">
        <v>225</v>
      </c>
      <c r="J48" s="71"/>
      <c r="K48" t="s">
        <v>250</v>
      </c>
      <c r="L48">
        <v>0</v>
      </c>
      <c r="M48">
        <v>0</v>
      </c>
      <c r="N48">
        <f t="shared" si="8"/>
        <v>0</v>
      </c>
      <c r="O48">
        <v>0</v>
      </c>
      <c r="P48">
        <f t="shared" si="9"/>
        <v>0</v>
      </c>
      <c r="Q48" t="s">
        <v>225</v>
      </c>
      <c r="U48" s="2" t="s">
        <v>253</v>
      </c>
      <c r="V48">
        <f>MEDIAN(293,158)</f>
        <v>225.5</v>
      </c>
      <c r="W48">
        <f>ROUND(V48/($X$14/1000),0)</f>
        <v>265294</v>
      </c>
      <c r="X48">
        <f>MEDIAN(26,14)</f>
        <v>20</v>
      </c>
      <c r="Y48">
        <f>ROUND(X48/($Y$14/1000),0)</f>
        <v>51282</v>
      </c>
    </row>
    <row r="49" spans="1:25" x14ac:dyDescent="0.25">
      <c r="A49" s="71"/>
      <c r="B49" t="s">
        <v>252</v>
      </c>
      <c r="C49">
        <v>20430</v>
      </c>
      <c r="D49">
        <v>0</v>
      </c>
      <c r="E49">
        <f t="shared" si="6"/>
        <v>0</v>
      </c>
      <c r="F49">
        <v>0</v>
      </c>
      <c r="G49">
        <f t="shared" si="7"/>
        <v>0</v>
      </c>
      <c r="H49" t="s">
        <v>225</v>
      </c>
      <c r="J49" s="71"/>
      <c r="K49" t="s">
        <v>252</v>
      </c>
      <c r="L49">
        <v>30409</v>
      </c>
      <c r="M49">
        <v>8.9999999999999993E-3</v>
      </c>
      <c r="N49">
        <f t="shared" si="8"/>
        <v>0.27368100000000001</v>
      </c>
      <c r="O49">
        <v>0</v>
      </c>
      <c r="P49">
        <f t="shared" si="9"/>
        <v>0</v>
      </c>
      <c r="Q49" t="s">
        <v>225</v>
      </c>
      <c r="U49" s="70" t="s">
        <v>255</v>
      </c>
      <c r="V49" s="70"/>
      <c r="W49" s="70"/>
      <c r="X49" s="70"/>
      <c r="Y49" s="70"/>
    </row>
    <row r="50" spans="1:25" x14ac:dyDescent="0.25">
      <c r="A50" s="71"/>
      <c r="B50" t="s">
        <v>254</v>
      </c>
      <c r="C50">
        <v>12058</v>
      </c>
      <c r="D50">
        <v>0</v>
      </c>
      <c r="E50">
        <f t="shared" si="6"/>
        <v>0</v>
      </c>
      <c r="F50">
        <v>0</v>
      </c>
      <c r="G50">
        <f t="shared" si="7"/>
        <v>0</v>
      </c>
      <c r="H50" t="s">
        <v>225</v>
      </c>
      <c r="J50" s="71"/>
      <c r="K50" t="s">
        <v>254</v>
      </c>
      <c r="L50">
        <v>2002</v>
      </c>
      <c r="M50">
        <v>0</v>
      </c>
      <c r="N50">
        <f t="shared" si="8"/>
        <v>0</v>
      </c>
      <c r="O50">
        <v>0</v>
      </c>
      <c r="P50">
        <f t="shared" si="9"/>
        <v>0</v>
      </c>
      <c r="Q50" t="s">
        <v>225</v>
      </c>
      <c r="U50" t="s">
        <v>241</v>
      </c>
      <c r="V50" t="s">
        <v>167</v>
      </c>
      <c r="W50" t="s">
        <v>168</v>
      </c>
      <c r="X50" t="s">
        <v>242</v>
      </c>
      <c r="Y50" t="s">
        <v>243</v>
      </c>
    </row>
    <row r="51" spans="1:25" x14ac:dyDescent="0.25">
      <c r="A51" s="71" t="s">
        <v>228</v>
      </c>
      <c r="B51" t="s">
        <v>249</v>
      </c>
      <c r="C51">
        <v>0</v>
      </c>
      <c r="D51">
        <v>0</v>
      </c>
      <c r="E51">
        <f t="shared" si="6"/>
        <v>0</v>
      </c>
      <c r="F51">
        <v>0</v>
      </c>
      <c r="G51">
        <f t="shared" si="7"/>
        <v>0</v>
      </c>
      <c r="H51" t="s">
        <v>225</v>
      </c>
      <c r="J51" s="71" t="s">
        <v>228</v>
      </c>
      <c r="K51" t="s">
        <v>249</v>
      </c>
      <c r="L51">
        <v>0</v>
      </c>
      <c r="M51">
        <v>0</v>
      </c>
      <c r="N51">
        <f t="shared" si="8"/>
        <v>0</v>
      </c>
      <c r="O51">
        <v>0</v>
      </c>
      <c r="P51">
        <f t="shared" si="9"/>
        <v>0</v>
      </c>
      <c r="Q51" t="s">
        <v>225</v>
      </c>
      <c r="U51" s="2" t="s">
        <v>225</v>
      </c>
      <c r="V51">
        <f>V44/V$24</f>
        <v>0.90055699360008823</v>
      </c>
      <c r="W51">
        <f t="shared" ref="W51:Y51" si="23">W44/W$24</f>
        <v>0.90059746569496424</v>
      </c>
      <c r="X51">
        <f t="shared" si="23"/>
        <v>0.41498621673904529</v>
      </c>
      <c r="Y51">
        <f t="shared" si="23"/>
        <v>0.41505571980896067</v>
      </c>
    </row>
    <row r="52" spans="1:25" x14ac:dyDescent="0.25">
      <c r="A52" s="71"/>
      <c r="B52" t="s">
        <v>250</v>
      </c>
      <c r="C52">
        <v>1318</v>
      </c>
      <c r="D52">
        <v>2.1379999999999999</v>
      </c>
      <c r="E52">
        <f t="shared" si="6"/>
        <v>2.8178839999999998</v>
      </c>
      <c r="F52">
        <v>0</v>
      </c>
      <c r="G52">
        <f t="shared" si="7"/>
        <v>0</v>
      </c>
      <c r="H52" t="s">
        <v>225</v>
      </c>
      <c r="J52" s="71"/>
      <c r="K52" t="s">
        <v>250</v>
      </c>
      <c r="L52">
        <v>0</v>
      </c>
      <c r="M52">
        <v>0</v>
      </c>
      <c r="N52">
        <f t="shared" si="8"/>
        <v>0</v>
      </c>
      <c r="O52">
        <v>0</v>
      </c>
      <c r="P52">
        <f t="shared" si="9"/>
        <v>0</v>
      </c>
      <c r="Q52" t="s">
        <v>225</v>
      </c>
      <c r="U52" s="2" t="s">
        <v>227</v>
      </c>
      <c r="V52">
        <f>V45/V$24</f>
        <v>0.65420997599048336</v>
      </c>
      <c r="W52">
        <f t="shared" ref="W52:Y52" si="24">W45/W$24</f>
        <v>0.654257763771256</v>
      </c>
      <c r="X52">
        <f t="shared" si="24"/>
        <v>2.0163941356634411E-2</v>
      </c>
      <c r="Y52">
        <f t="shared" si="24"/>
        <v>2.0127359563338641E-2</v>
      </c>
    </row>
    <row r="53" spans="1:25" x14ac:dyDescent="0.25">
      <c r="A53" s="71"/>
      <c r="B53" t="s">
        <v>252</v>
      </c>
      <c r="C53">
        <v>1079</v>
      </c>
      <c r="D53">
        <v>0.24399999999999999</v>
      </c>
      <c r="E53">
        <f t="shared" si="6"/>
        <v>0.26327600000000001</v>
      </c>
      <c r="F53">
        <v>0</v>
      </c>
      <c r="G53">
        <f t="shared" si="7"/>
        <v>0</v>
      </c>
      <c r="H53" t="s">
        <v>225</v>
      </c>
      <c r="J53" s="71"/>
      <c r="K53" t="s">
        <v>252</v>
      </c>
      <c r="L53">
        <v>0</v>
      </c>
      <c r="M53">
        <v>0</v>
      </c>
      <c r="N53">
        <f t="shared" si="8"/>
        <v>0</v>
      </c>
      <c r="O53">
        <v>0</v>
      </c>
      <c r="P53">
        <f t="shared" si="9"/>
        <v>0</v>
      </c>
      <c r="Q53" t="s">
        <v>225</v>
      </c>
      <c r="U53" s="2" t="s">
        <v>229</v>
      </c>
      <c r="V53">
        <f>V46/V$24</f>
        <v>1.1562747202790127</v>
      </c>
      <c r="W53">
        <f t="shared" ref="W53:Y53" si="25">W46/W$24</f>
        <v>1.1563915698246996</v>
      </c>
      <c r="X53">
        <f t="shared" si="25"/>
        <v>4.823389705485754</v>
      </c>
      <c r="Y53">
        <f t="shared" si="25"/>
        <v>4.8237434614509889</v>
      </c>
    </row>
    <row r="54" spans="1:25" x14ac:dyDescent="0.25">
      <c r="A54" s="71"/>
      <c r="B54" t="s">
        <v>254</v>
      </c>
      <c r="C54">
        <v>940</v>
      </c>
      <c r="D54">
        <v>0</v>
      </c>
      <c r="E54">
        <f t="shared" si="6"/>
        <v>0</v>
      </c>
      <c r="F54">
        <v>0</v>
      </c>
      <c r="G54">
        <f t="shared" si="7"/>
        <v>0</v>
      </c>
      <c r="H54" t="s">
        <v>225</v>
      </c>
      <c r="J54" s="71"/>
      <c r="K54" t="s">
        <v>254</v>
      </c>
      <c r="L54">
        <v>0</v>
      </c>
      <c r="M54">
        <v>0</v>
      </c>
      <c r="N54">
        <f t="shared" si="8"/>
        <v>0</v>
      </c>
      <c r="O54">
        <v>0</v>
      </c>
      <c r="P54">
        <f t="shared" si="9"/>
        <v>0</v>
      </c>
      <c r="Q54" t="s">
        <v>225</v>
      </c>
    </row>
    <row r="55" spans="1:25" x14ac:dyDescent="0.25">
      <c r="A55" s="71" t="s">
        <v>230</v>
      </c>
      <c r="B55" t="s">
        <v>249</v>
      </c>
      <c r="C55">
        <v>910</v>
      </c>
      <c r="D55">
        <v>0</v>
      </c>
      <c r="E55">
        <f t="shared" si="6"/>
        <v>0</v>
      </c>
      <c r="F55">
        <v>0</v>
      </c>
      <c r="G55">
        <f t="shared" si="7"/>
        <v>0</v>
      </c>
      <c r="H55" t="s">
        <v>225</v>
      </c>
      <c r="J55" s="71" t="s">
        <v>230</v>
      </c>
      <c r="K55" t="s">
        <v>249</v>
      </c>
      <c r="L55">
        <v>0</v>
      </c>
      <c r="M55">
        <v>0</v>
      </c>
      <c r="N55">
        <f t="shared" si="8"/>
        <v>0</v>
      </c>
      <c r="O55">
        <v>0</v>
      </c>
      <c r="P55">
        <f t="shared" si="9"/>
        <v>0</v>
      </c>
      <c r="Q55" t="s">
        <v>225</v>
      </c>
    </row>
    <row r="56" spans="1:25" x14ac:dyDescent="0.25">
      <c r="A56" s="71"/>
      <c r="B56" t="s">
        <v>250</v>
      </c>
      <c r="C56">
        <v>3094</v>
      </c>
      <c r="D56">
        <v>0</v>
      </c>
      <c r="E56">
        <f t="shared" si="6"/>
        <v>0</v>
      </c>
      <c r="F56">
        <v>0</v>
      </c>
      <c r="G56">
        <f t="shared" si="7"/>
        <v>0</v>
      </c>
      <c r="H56" t="s">
        <v>225</v>
      </c>
      <c r="J56" s="71"/>
      <c r="K56" t="s">
        <v>250</v>
      </c>
      <c r="L56">
        <v>0</v>
      </c>
      <c r="M56">
        <v>0</v>
      </c>
      <c r="N56">
        <f t="shared" si="8"/>
        <v>0</v>
      </c>
      <c r="O56">
        <v>0</v>
      </c>
      <c r="P56">
        <f t="shared" si="9"/>
        <v>0</v>
      </c>
      <c r="Q56" t="s">
        <v>225</v>
      </c>
      <c r="U56" s="70" t="s">
        <v>240</v>
      </c>
      <c r="V56" s="70"/>
      <c r="W56" s="70"/>
      <c r="X56" s="70"/>
      <c r="Y56" s="70"/>
    </row>
    <row r="57" spans="1:25" x14ac:dyDescent="0.25">
      <c r="A57" s="71"/>
      <c r="B57" t="s">
        <v>252</v>
      </c>
      <c r="C57">
        <v>4385</v>
      </c>
      <c r="D57">
        <v>0</v>
      </c>
      <c r="E57">
        <f t="shared" si="6"/>
        <v>0</v>
      </c>
      <c r="F57">
        <v>0</v>
      </c>
      <c r="G57">
        <f t="shared" si="7"/>
        <v>0</v>
      </c>
      <c r="H57" t="s">
        <v>225</v>
      </c>
      <c r="J57" s="71"/>
      <c r="K57" t="s">
        <v>252</v>
      </c>
      <c r="L57">
        <v>57</v>
      </c>
      <c r="M57">
        <v>0</v>
      </c>
      <c r="N57">
        <f t="shared" si="8"/>
        <v>0</v>
      </c>
      <c r="O57">
        <v>0</v>
      </c>
      <c r="P57">
        <f t="shared" si="9"/>
        <v>0</v>
      </c>
      <c r="Q57" t="s">
        <v>225</v>
      </c>
      <c r="U57" t="s">
        <v>241</v>
      </c>
      <c r="V57" t="s">
        <v>167</v>
      </c>
      <c r="W57" t="s">
        <v>168</v>
      </c>
      <c r="X57" t="s">
        <v>242</v>
      </c>
      <c r="Y57" t="s">
        <v>243</v>
      </c>
    </row>
    <row r="58" spans="1:25" x14ac:dyDescent="0.25">
      <c r="A58" s="71"/>
      <c r="B58" t="s">
        <v>254</v>
      </c>
      <c r="C58">
        <v>140</v>
      </c>
      <c r="D58">
        <v>0</v>
      </c>
      <c r="E58">
        <f t="shared" si="6"/>
        <v>0</v>
      </c>
      <c r="F58">
        <v>0</v>
      </c>
      <c r="G58">
        <f t="shared" si="7"/>
        <v>0</v>
      </c>
      <c r="H58" t="s">
        <v>225</v>
      </c>
      <c r="J58" s="71"/>
      <c r="K58" t="s">
        <v>254</v>
      </c>
      <c r="L58">
        <v>0</v>
      </c>
      <c r="M58">
        <v>0</v>
      </c>
      <c r="N58">
        <f t="shared" si="8"/>
        <v>0</v>
      </c>
      <c r="O58">
        <v>0</v>
      </c>
      <c r="P58">
        <f t="shared" si="9"/>
        <v>0</v>
      </c>
      <c r="Q58" t="s">
        <v>225</v>
      </c>
      <c r="U58" s="2" t="s">
        <v>225</v>
      </c>
      <c r="V58">
        <f>ROUND(V51*V$25,2)</f>
        <v>82.85</v>
      </c>
      <c r="W58">
        <f>ROUND(W51*W$25,0)</f>
        <v>97476</v>
      </c>
      <c r="X58">
        <f t="shared" ref="X58" si="26">ROUND(X51*X$25,2)</f>
        <v>10.17</v>
      </c>
      <c r="Y58">
        <f>ROUND(Y51*Y$25,0)</f>
        <v>26074</v>
      </c>
    </row>
    <row r="59" spans="1:25" x14ac:dyDescent="0.25">
      <c r="A59" s="71" t="s">
        <v>232</v>
      </c>
      <c r="B59" t="s">
        <v>249</v>
      </c>
      <c r="C59">
        <v>3822</v>
      </c>
      <c r="D59">
        <v>0</v>
      </c>
      <c r="E59">
        <f t="shared" si="6"/>
        <v>0</v>
      </c>
      <c r="F59">
        <v>0</v>
      </c>
      <c r="G59">
        <f t="shared" si="7"/>
        <v>0</v>
      </c>
      <c r="H59" t="s">
        <v>225</v>
      </c>
      <c r="J59" s="71" t="s">
        <v>232</v>
      </c>
      <c r="K59" t="s">
        <v>249</v>
      </c>
      <c r="L59">
        <v>0</v>
      </c>
      <c r="M59">
        <v>0</v>
      </c>
      <c r="N59">
        <f t="shared" si="8"/>
        <v>0</v>
      </c>
      <c r="O59">
        <v>0</v>
      </c>
      <c r="P59">
        <f t="shared" si="9"/>
        <v>0</v>
      </c>
      <c r="Q59" t="s">
        <v>225</v>
      </c>
      <c r="U59" s="2" t="s">
        <v>227</v>
      </c>
      <c r="V59">
        <f t="shared" ref="V59" si="27">ROUND(V52*V$25,2)</f>
        <v>60.19</v>
      </c>
      <c r="W59">
        <f t="shared" ref="W59:W60" si="28">ROUND(W52*W$25,0)</f>
        <v>70814</v>
      </c>
      <c r="X59">
        <f t="shared" ref="X59" si="29">ROUND(X52*X$25,2)</f>
        <v>0.49</v>
      </c>
      <c r="Y59">
        <f t="shared" ref="Y59:Y60" si="30">ROUND(Y52*Y$25,0)</f>
        <v>1264</v>
      </c>
    </row>
    <row r="60" spans="1:25" x14ac:dyDescent="0.25">
      <c r="A60" s="71"/>
      <c r="B60" t="s">
        <v>250</v>
      </c>
      <c r="C60">
        <v>1752</v>
      </c>
      <c r="D60">
        <v>0</v>
      </c>
      <c r="E60">
        <f t="shared" si="6"/>
        <v>0</v>
      </c>
      <c r="F60">
        <v>1E-3</v>
      </c>
      <c r="G60">
        <f t="shared" si="7"/>
        <v>1.7520000000000001E-3</v>
      </c>
      <c r="H60" t="s">
        <v>225</v>
      </c>
      <c r="J60" s="71"/>
      <c r="K60" t="s">
        <v>250</v>
      </c>
      <c r="L60">
        <v>0</v>
      </c>
      <c r="M60">
        <v>0</v>
      </c>
      <c r="N60">
        <f t="shared" si="8"/>
        <v>0</v>
      </c>
      <c r="O60">
        <v>0</v>
      </c>
      <c r="P60">
        <f t="shared" si="9"/>
        <v>0</v>
      </c>
      <c r="Q60" t="s">
        <v>225</v>
      </c>
      <c r="U60" s="2" t="s">
        <v>229</v>
      </c>
      <c r="V60">
        <f t="shared" ref="V60" si="31">ROUND(V53*V$25,2)</f>
        <v>106.38</v>
      </c>
      <c r="W60">
        <f t="shared" si="28"/>
        <v>125162</v>
      </c>
      <c r="X60">
        <f t="shared" ref="X60" si="32">ROUND(X53*X$25,2)</f>
        <v>118.17</v>
      </c>
      <c r="Y60">
        <f t="shared" si="30"/>
        <v>303032</v>
      </c>
    </row>
    <row r="61" spans="1:25" x14ac:dyDescent="0.25">
      <c r="A61" s="71"/>
      <c r="B61" t="s">
        <v>252</v>
      </c>
      <c r="C61">
        <v>2214</v>
      </c>
      <c r="D61">
        <v>0</v>
      </c>
      <c r="E61">
        <f t="shared" si="6"/>
        <v>0</v>
      </c>
      <c r="F61">
        <v>0</v>
      </c>
      <c r="G61">
        <f t="shared" si="7"/>
        <v>0</v>
      </c>
      <c r="H61" t="s">
        <v>225</v>
      </c>
      <c r="J61" s="71"/>
      <c r="K61" t="s">
        <v>252</v>
      </c>
      <c r="L61">
        <v>0</v>
      </c>
      <c r="M61">
        <v>0</v>
      </c>
      <c r="N61">
        <f t="shared" si="8"/>
        <v>0</v>
      </c>
      <c r="O61">
        <v>0</v>
      </c>
      <c r="P61">
        <f t="shared" si="9"/>
        <v>0</v>
      </c>
      <c r="Q61" t="s">
        <v>225</v>
      </c>
    </row>
    <row r="62" spans="1:25" x14ac:dyDescent="0.25">
      <c r="A62" s="71"/>
      <c r="B62" t="s">
        <v>254</v>
      </c>
      <c r="C62">
        <v>4623</v>
      </c>
      <c r="D62">
        <v>0</v>
      </c>
      <c r="E62">
        <f t="shared" si="6"/>
        <v>0</v>
      </c>
      <c r="F62">
        <v>0</v>
      </c>
      <c r="G62">
        <f t="shared" si="7"/>
        <v>0</v>
      </c>
      <c r="H62" t="s">
        <v>225</v>
      </c>
      <c r="J62" s="71"/>
      <c r="K62" t="s">
        <v>254</v>
      </c>
      <c r="L62">
        <v>0</v>
      </c>
      <c r="M62">
        <v>0</v>
      </c>
      <c r="N62">
        <f t="shared" si="8"/>
        <v>0</v>
      </c>
      <c r="O62">
        <v>0</v>
      </c>
      <c r="P62">
        <f t="shared" si="9"/>
        <v>0</v>
      </c>
      <c r="Q62" t="s">
        <v>225</v>
      </c>
    </row>
    <row r="63" spans="1:25" x14ac:dyDescent="0.25">
      <c r="A63" s="71" t="s">
        <v>234</v>
      </c>
      <c r="B63" t="s">
        <v>249</v>
      </c>
      <c r="C63">
        <v>0</v>
      </c>
      <c r="D63">
        <v>0</v>
      </c>
      <c r="E63">
        <f t="shared" si="6"/>
        <v>0</v>
      </c>
      <c r="F63">
        <v>0</v>
      </c>
      <c r="G63">
        <f t="shared" si="7"/>
        <v>0</v>
      </c>
      <c r="H63" t="s">
        <v>225</v>
      </c>
      <c r="J63" s="71" t="s">
        <v>234</v>
      </c>
      <c r="K63" t="s">
        <v>249</v>
      </c>
      <c r="L63">
        <v>0</v>
      </c>
      <c r="M63">
        <v>0</v>
      </c>
      <c r="N63">
        <f t="shared" si="8"/>
        <v>0</v>
      </c>
      <c r="O63">
        <v>0</v>
      </c>
      <c r="P63">
        <f t="shared" si="9"/>
        <v>0</v>
      </c>
      <c r="Q63" t="s">
        <v>225</v>
      </c>
    </row>
    <row r="64" spans="1:25" x14ac:dyDescent="0.25">
      <c r="A64" s="71"/>
      <c r="B64" t="s">
        <v>250</v>
      </c>
      <c r="C64">
        <v>341</v>
      </c>
      <c r="D64">
        <v>0</v>
      </c>
      <c r="E64">
        <f t="shared" si="6"/>
        <v>0</v>
      </c>
      <c r="F64">
        <v>0</v>
      </c>
      <c r="G64">
        <f t="shared" si="7"/>
        <v>0</v>
      </c>
      <c r="H64" t="s">
        <v>225</v>
      </c>
      <c r="J64" s="71"/>
      <c r="K64" t="s">
        <v>250</v>
      </c>
      <c r="L64">
        <v>0</v>
      </c>
      <c r="M64">
        <v>0</v>
      </c>
      <c r="N64">
        <f t="shared" si="8"/>
        <v>0</v>
      </c>
      <c r="O64">
        <v>0</v>
      </c>
      <c r="P64">
        <f t="shared" si="9"/>
        <v>0</v>
      </c>
      <c r="Q64" t="s">
        <v>225</v>
      </c>
    </row>
    <row r="65" spans="1:17" x14ac:dyDescent="0.25">
      <c r="A65" s="71"/>
      <c r="B65" t="s">
        <v>252</v>
      </c>
      <c r="C65">
        <v>1881</v>
      </c>
      <c r="D65">
        <v>0</v>
      </c>
      <c r="E65">
        <f t="shared" si="6"/>
        <v>0</v>
      </c>
      <c r="F65">
        <v>2.8000000000000001E-2</v>
      </c>
      <c r="G65">
        <f t="shared" si="7"/>
        <v>5.2668E-2</v>
      </c>
      <c r="H65" t="s">
        <v>225</v>
      </c>
      <c r="J65" s="71"/>
      <c r="K65" t="s">
        <v>252</v>
      </c>
      <c r="L65">
        <v>0</v>
      </c>
      <c r="M65">
        <v>0</v>
      </c>
      <c r="N65">
        <f t="shared" si="8"/>
        <v>0</v>
      </c>
      <c r="O65">
        <v>0</v>
      </c>
      <c r="P65">
        <f t="shared" si="9"/>
        <v>0</v>
      </c>
      <c r="Q65" t="s">
        <v>225</v>
      </c>
    </row>
    <row r="66" spans="1:17" x14ac:dyDescent="0.25">
      <c r="A66" s="71"/>
      <c r="B66" t="s">
        <v>254</v>
      </c>
      <c r="C66">
        <v>182</v>
      </c>
      <c r="D66">
        <v>0</v>
      </c>
      <c r="E66">
        <f t="shared" si="6"/>
        <v>0</v>
      </c>
      <c r="F66">
        <v>0</v>
      </c>
      <c r="G66">
        <f t="shared" si="7"/>
        <v>0</v>
      </c>
      <c r="H66" t="s">
        <v>225</v>
      </c>
      <c r="J66" s="71"/>
      <c r="K66" t="s">
        <v>254</v>
      </c>
      <c r="L66">
        <v>546</v>
      </c>
      <c r="M66">
        <v>2.339</v>
      </c>
      <c r="N66">
        <f t="shared" si="8"/>
        <v>1.277094</v>
      </c>
      <c r="O66">
        <v>0</v>
      </c>
      <c r="P66">
        <f t="shared" si="9"/>
        <v>0</v>
      </c>
      <c r="Q66" t="s">
        <v>225</v>
      </c>
    </row>
    <row r="67" spans="1:17" x14ac:dyDescent="0.25">
      <c r="A67" s="71" t="s">
        <v>236</v>
      </c>
      <c r="B67" t="s">
        <v>249</v>
      </c>
      <c r="C67">
        <v>13181</v>
      </c>
      <c r="D67">
        <v>0</v>
      </c>
      <c r="E67">
        <f t="shared" si="6"/>
        <v>0</v>
      </c>
      <c r="F67">
        <v>0</v>
      </c>
      <c r="G67">
        <f t="shared" si="7"/>
        <v>0</v>
      </c>
      <c r="H67" t="s">
        <v>225</v>
      </c>
      <c r="J67" s="71" t="s">
        <v>236</v>
      </c>
      <c r="K67" t="s">
        <v>249</v>
      </c>
      <c r="L67">
        <v>0</v>
      </c>
      <c r="M67">
        <v>0</v>
      </c>
      <c r="N67">
        <f t="shared" si="8"/>
        <v>0</v>
      </c>
      <c r="O67">
        <v>0</v>
      </c>
      <c r="P67">
        <f t="shared" si="9"/>
        <v>0</v>
      </c>
      <c r="Q67" t="s">
        <v>225</v>
      </c>
    </row>
    <row r="68" spans="1:17" x14ac:dyDescent="0.25">
      <c r="A68" s="71"/>
      <c r="B68" t="s">
        <v>250</v>
      </c>
      <c r="C68">
        <v>16072</v>
      </c>
      <c r="D68">
        <v>0</v>
      </c>
      <c r="E68">
        <f t="shared" si="6"/>
        <v>0</v>
      </c>
      <c r="F68">
        <v>0</v>
      </c>
      <c r="G68">
        <f t="shared" si="7"/>
        <v>0</v>
      </c>
      <c r="H68" t="s">
        <v>225</v>
      </c>
      <c r="J68" s="71"/>
      <c r="K68" t="s">
        <v>250</v>
      </c>
      <c r="L68">
        <v>3397</v>
      </c>
      <c r="M68">
        <v>0</v>
      </c>
      <c r="N68">
        <f t="shared" si="8"/>
        <v>0</v>
      </c>
      <c r="O68">
        <v>0</v>
      </c>
      <c r="P68">
        <f t="shared" si="9"/>
        <v>0</v>
      </c>
      <c r="Q68" t="s">
        <v>225</v>
      </c>
    </row>
    <row r="69" spans="1:17" x14ac:dyDescent="0.25">
      <c r="A69" s="71"/>
      <c r="B69" t="s">
        <v>252</v>
      </c>
      <c r="C69">
        <v>9562</v>
      </c>
      <c r="D69">
        <v>0</v>
      </c>
      <c r="E69">
        <f t="shared" si="6"/>
        <v>0</v>
      </c>
      <c r="F69">
        <v>0</v>
      </c>
      <c r="G69">
        <f t="shared" si="7"/>
        <v>0</v>
      </c>
      <c r="H69" t="s">
        <v>225</v>
      </c>
      <c r="J69" s="71"/>
      <c r="K69" t="s">
        <v>252</v>
      </c>
      <c r="L69">
        <v>3581</v>
      </c>
      <c r="M69">
        <v>1.151</v>
      </c>
      <c r="N69">
        <f t="shared" si="8"/>
        <v>4.1217309999999996</v>
      </c>
      <c r="O69">
        <v>9.7000000000000003E-2</v>
      </c>
      <c r="P69">
        <f t="shared" si="9"/>
        <v>0.34735700000000003</v>
      </c>
      <c r="Q69" t="s">
        <v>225</v>
      </c>
    </row>
    <row r="70" spans="1:17" x14ac:dyDescent="0.25">
      <c r="A70" s="71"/>
      <c r="B70" t="s">
        <v>254</v>
      </c>
      <c r="C70">
        <v>18401</v>
      </c>
      <c r="D70">
        <v>5.2999999999999999E-2</v>
      </c>
      <c r="E70">
        <f t="shared" si="6"/>
        <v>0.97525299999999993</v>
      </c>
      <c r="F70">
        <v>3.7999999999999999E-2</v>
      </c>
      <c r="G70">
        <f t="shared" si="7"/>
        <v>0.69923799999999992</v>
      </c>
      <c r="H70" t="s">
        <v>225</v>
      </c>
      <c r="J70" s="71"/>
      <c r="K70" t="s">
        <v>254</v>
      </c>
      <c r="L70">
        <v>478</v>
      </c>
      <c r="M70">
        <v>11.294</v>
      </c>
      <c r="N70">
        <f t="shared" si="8"/>
        <v>5.3985320000000003</v>
      </c>
      <c r="O70">
        <v>0</v>
      </c>
      <c r="P70">
        <f t="shared" si="9"/>
        <v>0</v>
      </c>
      <c r="Q70" t="s">
        <v>225</v>
      </c>
    </row>
    <row r="71" spans="1:17" x14ac:dyDescent="0.25">
      <c r="A71" s="71" t="s">
        <v>237</v>
      </c>
      <c r="B71" t="s">
        <v>249</v>
      </c>
      <c r="C71">
        <v>20862</v>
      </c>
      <c r="D71">
        <v>0.157</v>
      </c>
      <c r="E71">
        <f t="shared" si="6"/>
        <v>3.275334</v>
      </c>
      <c r="F71">
        <v>4.1000000000000002E-2</v>
      </c>
      <c r="G71">
        <f t="shared" si="7"/>
        <v>0.85534199999999994</v>
      </c>
      <c r="H71" t="s">
        <v>225</v>
      </c>
      <c r="J71" s="71" t="s">
        <v>237</v>
      </c>
      <c r="K71" t="s">
        <v>249</v>
      </c>
      <c r="L71">
        <v>152</v>
      </c>
      <c r="M71">
        <v>0</v>
      </c>
      <c r="N71">
        <f t="shared" si="8"/>
        <v>0</v>
      </c>
      <c r="O71">
        <v>0.372</v>
      </c>
      <c r="P71">
        <f t="shared" si="9"/>
        <v>5.6543999999999997E-2</v>
      </c>
      <c r="Q71" t="s">
        <v>225</v>
      </c>
    </row>
    <row r="72" spans="1:17" x14ac:dyDescent="0.25">
      <c r="A72" s="71"/>
      <c r="B72" t="s">
        <v>250</v>
      </c>
      <c r="C72">
        <v>13202</v>
      </c>
      <c r="D72">
        <v>0</v>
      </c>
      <c r="E72">
        <f t="shared" si="6"/>
        <v>0</v>
      </c>
      <c r="F72">
        <v>5.0000000000000001E-3</v>
      </c>
      <c r="G72">
        <f t="shared" si="7"/>
        <v>6.6009999999999999E-2</v>
      </c>
      <c r="H72" t="s">
        <v>225</v>
      </c>
      <c r="J72" s="71"/>
      <c r="K72" t="s">
        <v>250</v>
      </c>
      <c r="L72">
        <v>0</v>
      </c>
      <c r="M72">
        <v>0</v>
      </c>
      <c r="N72">
        <f t="shared" si="8"/>
        <v>0</v>
      </c>
      <c r="O72">
        <v>0</v>
      </c>
      <c r="P72">
        <f t="shared" si="9"/>
        <v>0</v>
      </c>
      <c r="Q72" t="s">
        <v>225</v>
      </c>
    </row>
    <row r="73" spans="1:17" x14ac:dyDescent="0.25">
      <c r="A73" s="71"/>
      <c r="B73" t="s">
        <v>252</v>
      </c>
      <c r="C73">
        <v>10888</v>
      </c>
      <c r="D73">
        <v>0.04</v>
      </c>
      <c r="E73">
        <f t="shared" si="6"/>
        <v>0.43551999999999996</v>
      </c>
      <c r="F73">
        <v>2.5999999999999999E-2</v>
      </c>
      <c r="G73">
        <f t="shared" si="7"/>
        <v>0.28308799999999995</v>
      </c>
      <c r="H73" t="s">
        <v>225</v>
      </c>
      <c r="J73" s="71"/>
      <c r="K73" t="s">
        <v>252</v>
      </c>
      <c r="L73">
        <v>2427</v>
      </c>
      <c r="M73">
        <v>0.16900000000000001</v>
      </c>
      <c r="N73">
        <f t="shared" si="8"/>
        <v>0.410163</v>
      </c>
      <c r="O73">
        <v>0.36299999999999999</v>
      </c>
      <c r="P73">
        <f t="shared" si="9"/>
        <v>0.88100099999999992</v>
      </c>
      <c r="Q73" t="s">
        <v>225</v>
      </c>
    </row>
    <row r="74" spans="1:17" x14ac:dyDescent="0.25">
      <c r="A74" s="71"/>
      <c r="B74" t="s">
        <v>254</v>
      </c>
      <c r="C74">
        <v>3445</v>
      </c>
      <c r="D74">
        <v>9.2999999999999999E-2</v>
      </c>
      <c r="E74">
        <f t="shared" si="6"/>
        <v>0.32038499999999998</v>
      </c>
      <c r="F74">
        <v>0</v>
      </c>
      <c r="G74">
        <f t="shared" si="7"/>
        <v>0</v>
      </c>
      <c r="H74" t="s">
        <v>225</v>
      </c>
      <c r="J74" s="71"/>
      <c r="K74" t="s">
        <v>254</v>
      </c>
      <c r="L74">
        <v>91</v>
      </c>
      <c r="M74">
        <v>0</v>
      </c>
      <c r="N74">
        <f t="shared" si="8"/>
        <v>0</v>
      </c>
      <c r="O74">
        <v>0.74299999999999999</v>
      </c>
      <c r="P74">
        <f t="shared" si="9"/>
        <v>6.7613000000000006E-2</v>
      </c>
      <c r="Q74" t="s">
        <v>225</v>
      </c>
    </row>
  </sheetData>
  <mergeCells count="43">
    <mergeCell ref="U49:Y49"/>
    <mergeCell ref="U56:Y56"/>
    <mergeCell ref="AD18:AH18"/>
    <mergeCell ref="AD19:AH19"/>
    <mergeCell ref="U19:Y19"/>
    <mergeCell ref="U26:Y26"/>
    <mergeCell ref="U18:Y18"/>
    <mergeCell ref="X12:Y12"/>
    <mergeCell ref="U33:Y33"/>
    <mergeCell ref="A31:A34"/>
    <mergeCell ref="A27:A30"/>
    <mergeCell ref="A1:D1"/>
    <mergeCell ref="A23:A26"/>
    <mergeCell ref="J1:M1"/>
    <mergeCell ref="A21:H21"/>
    <mergeCell ref="J21:Q21"/>
    <mergeCell ref="J51:J54"/>
    <mergeCell ref="J23:J26"/>
    <mergeCell ref="J27:J30"/>
    <mergeCell ref="J31:J34"/>
    <mergeCell ref="J35:J38"/>
    <mergeCell ref="A47:A50"/>
    <mergeCell ref="J39:J42"/>
    <mergeCell ref="J43:J46"/>
    <mergeCell ref="A43:A46"/>
    <mergeCell ref="A39:A42"/>
    <mergeCell ref="J47:J50"/>
    <mergeCell ref="A35:A38"/>
    <mergeCell ref="O6:Q6"/>
    <mergeCell ref="S6:U6"/>
    <mergeCell ref="J71:J74"/>
    <mergeCell ref="J55:J58"/>
    <mergeCell ref="J59:J62"/>
    <mergeCell ref="J63:J66"/>
    <mergeCell ref="J67:J70"/>
    <mergeCell ref="A71:A74"/>
    <mergeCell ref="A67:A70"/>
    <mergeCell ref="A63:A66"/>
    <mergeCell ref="A59:A62"/>
    <mergeCell ref="A55:A58"/>
    <mergeCell ref="U41:Y41"/>
    <mergeCell ref="U42:Y42"/>
    <mergeCell ref="A51:A54"/>
  </mergeCells>
  <pageMargins left="0.7" right="0.7" top="0.75" bottom="0.75" header="0.3" footer="0.3"/>
  <pageSetup paperSize="9"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A1:F16"/>
  <sheetViews>
    <sheetView workbookViewId="0">
      <selection activeCell="B10" sqref="B10"/>
    </sheetView>
  </sheetViews>
  <sheetFormatPr defaultColWidth="9.140625" defaultRowHeight="15" x14ac:dyDescent="0.25"/>
  <cols>
    <col min="1" max="1" width="18.5703125" customWidth="1"/>
    <col min="2" max="4" width="12" customWidth="1"/>
    <col min="5" max="5" width="13.42578125" customWidth="1"/>
    <col min="6" max="6" width="12" customWidth="1"/>
    <col min="11" max="11" width="10.140625" customWidth="1"/>
    <col min="14" max="14" width="10.140625" customWidth="1"/>
  </cols>
  <sheetData>
    <row r="1" spans="1:6" x14ac:dyDescent="0.25">
      <c r="A1" s="70" t="s">
        <v>257</v>
      </c>
      <c r="B1" s="70"/>
      <c r="C1" s="70"/>
      <c r="D1" s="70"/>
      <c r="E1" s="70"/>
    </row>
    <row r="2" spans="1:6" x14ac:dyDescent="0.25">
      <c r="A2" t="s">
        <v>258</v>
      </c>
      <c r="B2" t="s">
        <v>259</v>
      </c>
      <c r="C2" t="s">
        <v>260</v>
      </c>
      <c r="D2" t="s">
        <v>235</v>
      </c>
      <c r="E2" t="s">
        <v>260</v>
      </c>
    </row>
    <row r="3" spans="1:6" x14ac:dyDescent="0.25">
      <c r="A3" t="s">
        <v>261</v>
      </c>
      <c r="B3">
        <f>'English charter boats'!K21</f>
        <v>134.78</v>
      </c>
      <c r="C3">
        <f>'English charter boats'!L21</f>
        <v>55717</v>
      </c>
      <c r="D3">
        <f>'English charter boats'!M21</f>
        <v>16.559999999999999</v>
      </c>
      <c r="E3">
        <f>'English charter boats'!N21</f>
        <v>16898</v>
      </c>
    </row>
    <row r="4" spans="1:6" x14ac:dyDescent="0.25">
      <c r="A4" s="2" t="s">
        <v>262</v>
      </c>
      <c r="B4">
        <f>'English charter boats'!K22</f>
        <v>25.18</v>
      </c>
      <c r="C4">
        <f>'English charter boats'!L22</f>
        <v>10409</v>
      </c>
      <c r="D4">
        <f>'English charter boats'!M22</f>
        <v>0.1</v>
      </c>
      <c r="E4">
        <f>'English charter boats'!N22</f>
        <v>102</v>
      </c>
    </row>
    <row r="7" spans="1:6" x14ac:dyDescent="0.25">
      <c r="A7" s="70" t="s">
        <v>263</v>
      </c>
      <c r="B7" s="70"/>
      <c r="C7" s="70"/>
      <c r="D7" s="70"/>
      <c r="E7" s="70"/>
    </row>
    <row r="8" spans="1:6" x14ac:dyDescent="0.25">
      <c r="A8" t="s">
        <v>258</v>
      </c>
      <c r="B8" t="s">
        <v>259</v>
      </c>
      <c r="C8" t="s">
        <v>260</v>
      </c>
      <c r="D8" t="s">
        <v>235</v>
      </c>
      <c r="E8" t="s">
        <v>260</v>
      </c>
    </row>
    <row r="9" spans="1:6" x14ac:dyDescent="0.25">
      <c r="A9" t="str">
        <f>'English boat + shore'!AD21</f>
        <v>cod-347d</v>
      </c>
      <c r="B9">
        <f>'English boat + shore'!AE21</f>
        <v>145.69</v>
      </c>
      <c r="C9">
        <f>'English boat + shore'!AF21</f>
        <v>171409</v>
      </c>
      <c r="D9">
        <f>'English boat + shore'!AG21</f>
        <v>26.740000000000002</v>
      </c>
      <c r="E9">
        <f>'English boat + shore'!AH21</f>
        <v>68557</v>
      </c>
      <c r="F9" s="64"/>
    </row>
    <row r="10" spans="1:6" x14ac:dyDescent="0.25">
      <c r="A10" t="str">
        <f>'English boat + shore'!AD22</f>
        <v>cod-7e-k</v>
      </c>
      <c r="B10">
        <f>'English boat + shore'!AE22</f>
        <v>64.38</v>
      </c>
      <c r="C10">
        <f>'English boat + shore'!AF22</f>
        <v>75739</v>
      </c>
      <c r="D10">
        <f>'English boat + shore'!AG22</f>
        <v>3.5199999999999996</v>
      </c>
      <c r="E10">
        <f>'English boat + shore'!AH22</f>
        <v>9022</v>
      </c>
    </row>
    <row r="11" spans="1:6" x14ac:dyDescent="0.25">
      <c r="A11" t="str">
        <f>'English boat + shore'!AD23</f>
        <v>cod-scow</v>
      </c>
      <c r="B11">
        <f>'English boat + shore'!AE23</f>
        <v>131.35</v>
      </c>
      <c r="C11">
        <f>'English boat + shore'!AF23</f>
        <v>154539</v>
      </c>
      <c r="D11">
        <f>'English boat + shore'!AG23</f>
        <v>123.08</v>
      </c>
      <c r="E11">
        <f>'English boat + shore'!AH23</f>
        <v>315612</v>
      </c>
    </row>
    <row r="13" spans="1:6" x14ac:dyDescent="0.25">
      <c r="A13" s="70" t="s">
        <v>73</v>
      </c>
      <c r="B13" s="70"/>
      <c r="C13" s="70"/>
      <c r="D13" s="70"/>
      <c r="E13" s="70"/>
    </row>
    <row r="14" spans="1:6" x14ac:dyDescent="0.25">
      <c r="A14" t="s">
        <v>258</v>
      </c>
      <c r="B14" t="s">
        <v>259</v>
      </c>
      <c r="C14" t="s">
        <v>260</v>
      </c>
      <c r="D14" t="s">
        <v>235</v>
      </c>
      <c r="E14" t="s">
        <v>260</v>
      </c>
    </row>
    <row r="15" spans="1:6" x14ac:dyDescent="0.25">
      <c r="A15" t="s">
        <v>261</v>
      </c>
      <c r="B15">
        <f>B9+B3</f>
        <v>280.47000000000003</v>
      </c>
      <c r="C15">
        <f t="shared" ref="C15:E15" si="0">C9+C3</f>
        <v>227126</v>
      </c>
      <c r="D15">
        <f t="shared" si="0"/>
        <v>43.3</v>
      </c>
      <c r="E15">
        <f t="shared" si="0"/>
        <v>85455</v>
      </c>
    </row>
    <row r="16" spans="1:6" x14ac:dyDescent="0.25">
      <c r="A16" s="2" t="s">
        <v>262</v>
      </c>
      <c r="B16">
        <f>B10+B4</f>
        <v>89.56</v>
      </c>
      <c r="C16">
        <f t="shared" ref="C16:E16" si="1">C10+C4</f>
        <v>86148</v>
      </c>
      <c r="D16">
        <f t="shared" si="1"/>
        <v>3.6199999999999997</v>
      </c>
      <c r="E16">
        <f t="shared" si="1"/>
        <v>9124</v>
      </c>
    </row>
  </sheetData>
  <mergeCells count="3">
    <mergeCell ref="A13:E13"/>
    <mergeCell ref="A7:E7"/>
    <mergeCell ref="A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I19"/>
  <sheetViews>
    <sheetView workbookViewId="0">
      <selection activeCell="G14" sqref="G14"/>
    </sheetView>
  </sheetViews>
  <sheetFormatPr defaultColWidth="9.140625" defaultRowHeight="15" x14ac:dyDescent="0.25"/>
  <cols>
    <col min="1" max="1" width="30.140625" bestFit="1" customWidth="1"/>
    <col min="7" max="7" width="13.140625" bestFit="1" customWidth="1"/>
    <col min="8" max="8" width="14.42578125" bestFit="1" customWidth="1"/>
  </cols>
  <sheetData>
    <row r="1" spans="1:9" x14ac:dyDescent="0.25">
      <c r="B1" t="s">
        <v>264</v>
      </c>
      <c r="C1" t="s">
        <v>53</v>
      </c>
    </row>
    <row r="2" spans="1:9" x14ac:dyDescent="0.25">
      <c r="A2" t="s">
        <v>265</v>
      </c>
      <c r="B2">
        <v>1573954</v>
      </c>
      <c r="C2" s="26">
        <f>1441484/1000</f>
        <v>1441.4839999999999</v>
      </c>
    </row>
    <row r="3" spans="1:9" x14ac:dyDescent="0.25">
      <c r="G3" t="s">
        <v>266</v>
      </c>
    </row>
    <row r="4" spans="1:9" x14ac:dyDescent="0.25">
      <c r="A4" t="s">
        <v>141</v>
      </c>
      <c r="B4" t="s">
        <v>264</v>
      </c>
      <c r="C4" t="s">
        <v>267</v>
      </c>
    </row>
    <row r="5" spans="1:9" x14ac:dyDescent="0.25">
      <c r="A5" t="s">
        <v>268</v>
      </c>
      <c r="B5" s="6">
        <v>179188</v>
      </c>
      <c r="C5" t="s">
        <v>269</v>
      </c>
    </row>
    <row r="6" spans="1:9" x14ac:dyDescent="0.25">
      <c r="A6" t="s">
        <v>270</v>
      </c>
      <c r="B6" s="6">
        <v>347230</v>
      </c>
      <c r="C6" t="s">
        <v>269</v>
      </c>
      <c r="G6" s="17" t="s">
        <v>221</v>
      </c>
      <c r="H6" t="s">
        <v>271</v>
      </c>
    </row>
    <row r="7" spans="1:9" x14ac:dyDescent="0.25">
      <c r="A7" t="s">
        <v>272</v>
      </c>
      <c r="B7" s="6">
        <v>78717</v>
      </c>
      <c r="C7" t="s">
        <v>269</v>
      </c>
      <c r="F7" s="2"/>
      <c r="G7" s="2" t="s">
        <v>273</v>
      </c>
      <c r="H7" s="18">
        <v>868059</v>
      </c>
      <c r="I7">
        <f>GETPIVOTDATA("Anglers",$G$6,"Sea area","3a")/$B$2*$C$2</f>
        <v>794.99982817541047</v>
      </c>
    </row>
    <row r="8" spans="1:9" x14ac:dyDescent="0.25">
      <c r="A8" t="s">
        <v>274</v>
      </c>
      <c r="B8" s="6">
        <v>167208</v>
      </c>
      <c r="C8" t="s">
        <v>273</v>
      </c>
      <c r="F8" s="2"/>
      <c r="G8" s="2" t="s">
        <v>269</v>
      </c>
      <c r="H8" s="18">
        <v>705895</v>
      </c>
      <c r="I8">
        <f>GETPIVOTDATA("Anglers",$G$6,"Sea area","Baltic")/$B$2*$C$2</f>
        <v>646.48417182458957</v>
      </c>
    </row>
    <row r="9" spans="1:9" x14ac:dyDescent="0.25">
      <c r="A9" t="s">
        <v>275</v>
      </c>
      <c r="B9" s="6">
        <v>147194</v>
      </c>
      <c r="C9" t="s">
        <v>273</v>
      </c>
      <c r="F9" s="2"/>
      <c r="G9" s="2" t="s">
        <v>231</v>
      </c>
      <c r="H9" s="18">
        <v>1573954</v>
      </c>
    </row>
    <row r="10" spans="1:9" x14ac:dyDescent="0.25">
      <c r="A10" t="s">
        <v>276</v>
      </c>
      <c r="B10" s="6">
        <v>456045</v>
      </c>
      <c r="C10" t="s">
        <v>273</v>
      </c>
    </row>
    <row r="11" spans="1:9" x14ac:dyDescent="0.25">
      <c r="A11" t="s">
        <v>277</v>
      </c>
      <c r="B11" s="6">
        <v>97612</v>
      </c>
      <c r="C11" t="s">
        <v>273</v>
      </c>
    </row>
    <row r="12" spans="1:9" x14ac:dyDescent="0.25">
      <c r="A12" t="s">
        <v>278</v>
      </c>
      <c r="B12" s="6">
        <v>100760</v>
      </c>
      <c r="C12" t="s">
        <v>269</v>
      </c>
    </row>
    <row r="19" spans="2:2" x14ac:dyDescent="0.25">
      <c r="B19">
        <f>1303627*0.0574</f>
        <v>74828.189799999993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M58"/>
  <sheetViews>
    <sheetView tabSelected="1" topLeftCell="F21" zoomScale="55" zoomScaleNormal="55" workbookViewId="0">
      <selection activeCell="H58" sqref="H58"/>
    </sheetView>
  </sheetViews>
  <sheetFormatPr defaultColWidth="9.140625" defaultRowHeight="15" x14ac:dyDescent="0.25"/>
  <cols>
    <col min="1" max="1" width="34.5703125" style="36" bestFit="1" customWidth="1"/>
    <col min="2" max="2" width="18.140625" style="36" bestFit="1" customWidth="1"/>
    <col min="3" max="3" width="54.28515625" style="36" customWidth="1"/>
    <col min="4" max="4" width="20.140625" style="36" bestFit="1" customWidth="1"/>
    <col min="5" max="5" width="16.85546875" style="36" bestFit="1" customWidth="1"/>
    <col min="6" max="6" width="17" style="36" bestFit="1" customWidth="1"/>
    <col min="7" max="7" width="73.5703125" style="36" bestFit="1" customWidth="1"/>
    <col min="8" max="8" width="25.85546875" style="36" bestFit="1" customWidth="1"/>
    <col min="9" max="9" width="23.28515625" style="36" bestFit="1" customWidth="1"/>
    <col min="10" max="10" width="27" style="36" bestFit="1" customWidth="1"/>
    <col min="11" max="11" width="24.140625" style="36" bestFit="1" customWidth="1"/>
    <col min="12" max="12" width="20.85546875" style="36" bestFit="1" customWidth="1"/>
    <col min="13" max="16384" width="9.140625" style="36"/>
  </cols>
  <sheetData>
    <row r="1" spans="1:9" x14ac:dyDescent="0.25">
      <c r="A1" s="27" t="s">
        <v>0</v>
      </c>
      <c r="B1" s="27" t="s">
        <v>1</v>
      </c>
      <c r="C1" s="27" t="s">
        <v>2</v>
      </c>
      <c r="D1" s="27"/>
      <c r="E1" s="27"/>
      <c r="F1" s="27"/>
      <c r="G1" s="27"/>
      <c r="H1" s="27"/>
      <c r="I1" s="27"/>
    </row>
    <row r="2" spans="1:9" x14ac:dyDescent="0.25">
      <c r="A2" s="27" t="s">
        <v>3</v>
      </c>
      <c r="B2" s="53">
        <f>(SUMIFS('Country recreational landings'!D2:D14,'Country recreational landings'!D2:D14,"&lt;&gt;NA",'Country recreational landings'!E2:E14,"&lt;&gt;NA")/SUMIFS('Country recreational landings'!E2:E14,'Country recreational landings'!E2:E14,"&lt;&gt;NA",'Country recreational landings'!D2:D14,"&lt;&gt;NA"))*1000</f>
        <v>1.0396062589961461</v>
      </c>
      <c r="C2" s="67" t="s">
        <v>65</v>
      </c>
      <c r="D2" s="27"/>
      <c r="E2" s="27"/>
      <c r="F2" s="27"/>
      <c r="G2" s="27"/>
      <c r="H2" s="27"/>
      <c r="I2" s="27"/>
    </row>
    <row r="3" spans="1:9" x14ac:dyDescent="0.25">
      <c r="A3" s="27" t="s">
        <v>4</v>
      </c>
      <c r="B3" s="53">
        <f>(SUMIFS('Country recreational landings'!F2:F14,'Country recreational landings'!F2:F14,"&lt;&gt;NA",'Country recreational landings'!G2:G14,"&lt;&gt;NA")/SUMIFS('Country recreational landings'!G2:G14,'Country recreational landings'!G2:G14,"&lt;&gt;NA",'Country recreational landings'!F2:F14,"&lt;&gt;NA"))*1000</f>
        <v>0.39675580885576495</v>
      </c>
      <c r="C3" s="68"/>
      <c r="D3" s="27"/>
      <c r="E3" s="27"/>
      <c r="F3" s="27"/>
      <c r="G3" s="27"/>
      <c r="H3" s="27"/>
      <c r="I3" s="27"/>
    </row>
    <row r="4" spans="1:9" x14ac:dyDescent="0.25">
      <c r="A4" s="27" t="s">
        <v>5</v>
      </c>
      <c r="B4" s="27">
        <f>G16/(G16+E16)</f>
        <v>9.5767906625241414E-2</v>
      </c>
      <c r="C4" s="27"/>
      <c r="D4" s="27"/>
      <c r="E4" s="27"/>
      <c r="F4" s="27"/>
      <c r="G4" s="27"/>
      <c r="H4" s="27"/>
      <c r="I4" s="27"/>
    </row>
    <row r="5" spans="1:9" x14ac:dyDescent="0.25">
      <c r="A5" s="27" t="s">
        <v>66</v>
      </c>
      <c r="B5" s="27">
        <f>'Discard rate'!A2</f>
        <v>0.12374886260236578</v>
      </c>
      <c r="C5" s="27" t="str">
        <f>'Discard rate'!B2</f>
        <v>WGCSE (2017)</v>
      </c>
      <c r="D5" s="27"/>
      <c r="E5" s="27"/>
      <c r="F5" s="27"/>
      <c r="G5" s="27"/>
      <c r="H5" s="27"/>
      <c r="I5" s="27"/>
    </row>
    <row r="6" spans="1:9" x14ac:dyDescent="0.25">
      <c r="A6" s="27" t="s">
        <v>7</v>
      </c>
      <c r="B6" s="27">
        <f>'Discard Mortality'!C2</f>
        <v>0.16500000000000001</v>
      </c>
      <c r="C6" s="27" t="str">
        <f>'Discard Mortality'!D2</f>
        <v>Cappizano et al. (2016)</v>
      </c>
      <c r="D6" s="27"/>
      <c r="E6" s="27"/>
      <c r="F6" s="27"/>
      <c r="G6" s="27"/>
      <c r="H6" s="27"/>
      <c r="I6" s="27"/>
    </row>
    <row r="7" spans="1:9" x14ac:dyDescent="0.25">
      <c r="A7" s="27" t="s">
        <v>8</v>
      </c>
      <c r="B7" s="27">
        <f>'Discard Mortality'!A2</f>
        <v>0.31</v>
      </c>
      <c r="C7" s="27" t="str">
        <f>'Discard Mortality'!B2</f>
        <v>Depestele et al. (2014)</v>
      </c>
      <c r="D7" s="27"/>
      <c r="E7" s="27"/>
      <c r="F7" s="27"/>
      <c r="G7" s="27"/>
      <c r="H7" s="27"/>
      <c r="I7" s="27"/>
    </row>
    <row r="8" spans="1:9" x14ac:dyDescent="0.25">
      <c r="A8" s="41" t="s">
        <v>9</v>
      </c>
      <c r="B8" s="27">
        <v>952</v>
      </c>
      <c r="C8" s="41" t="s">
        <v>67</v>
      </c>
      <c r="D8" s="27"/>
      <c r="E8" s="27"/>
      <c r="F8" s="27"/>
      <c r="G8" s="27"/>
      <c r="H8" s="27"/>
      <c r="I8" s="27"/>
    </row>
    <row r="13" spans="1:9" x14ac:dyDescent="0.25">
      <c r="A13" s="66" t="s">
        <v>10</v>
      </c>
      <c r="B13" s="66"/>
      <c r="C13" s="66"/>
      <c r="D13" s="66"/>
      <c r="E13" s="66"/>
      <c r="F13" s="66"/>
      <c r="G13" s="66"/>
      <c r="H13" s="66"/>
      <c r="I13" s="27"/>
    </row>
    <row r="14" spans="1:9" x14ac:dyDescent="0.25">
      <c r="A14" s="27" t="s">
        <v>11</v>
      </c>
      <c r="B14" s="27" t="s">
        <v>12</v>
      </c>
      <c r="C14" s="27" t="s">
        <v>13</v>
      </c>
      <c r="D14" s="27" t="s">
        <v>14</v>
      </c>
      <c r="E14" s="27" t="s">
        <v>15</v>
      </c>
      <c r="F14" s="27" t="s">
        <v>16</v>
      </c>
      <c r="G14" s="27" t="s">
        <v>17</v>
      </c>
      <c r="H14" s="27" t="s">
        <v>2</v>
      </c>
      <c r="I14" s="27" t="s">
        <v>18</v>
      </c>
    </row>
    <row r="15" spans="1:9" x14ac:dyDescent="0.25">
      <c r="A15" s="55" t="s">
        <v>68</v>
      </c>
      <c r="B15" s="27">
        <f>VLOOKUP($A$15,'Country recreational landings'!$A$1:$L$14,2,FALSE)</f>
        <v>2012</v>
      </c>
      <c r="C15" s="27">
        <f>VLOOKUP(A15,'Country recreational landings'!$A$1:$L$14,3,FALSE)</f>
        <v>4092.0000000000005</v>
      </c>
      <c r="D15" s="27" t="str">
        <f>VLOOKUP(A15,'Country recreational landings'!$A$1:$L$14,4,FALSE)</f>
        <v>NA</v>
      </c>
      <c r="E15" s="27" t="str">
        <f>VLOOKUP(A15,'Country recreational landings'!$A$1:$L$14,5,FALSE)</f>
        <v>NA</v>
      </c>
      <c r="F15" s="27" t="str">
        <f>VLOOKUP(A15,'Country recreational landings'!$A$1:$L$14,6,FALSE)</f>
        <v>NA</v>
      </c>
      <c r="G15" s="27" t="str">
        <f>VLOOKUP(A15,'Country recreational landings'!$A$1:$L$14,7,FALSE)</f>
        <v>NA</v>
      </c>
      <c r="H15" s="27" t="str">
        <f>VLOOKUP(A15,'Country recreational landings'!$A$1:$L$14,12,FALSE)</f>
        <v>NA</v>
      </c>
      <c r="I15" s="27"/>
    </row>
    <row r="16" spans="1:9" x14ac:dyDescent="0.25">
      <c r="A16" s="56" t="s">
        <v>24</v>
      </c>
      <c r="B16" s="27">
        <f>VLOOKUP($A$16,'Country recreational landings'!$A$1:$L$14,2,FALSE)</f>
        <v>2012</v>
      </c>
      <c r="C16" s="27">
        <f>VLOOKUP(A16,'Country recreational landings'!$A$1:$L$14,3,FALSE)</f>
        <v>884000</v>
      </c>
      <c r="D16" s="27">
        <f>VLOOKUP(A16,'Country recreational landings'!$A$1:$L$14,4,FALSE)</f>
        <v>89.56</v>
      </c>
      <c r="E16" s="27">
        <f>VLOOKUP(A16,'Country recreational landings'!$A$1:$L$14,5,FALSE)</f>
        <v>86148</v>
      </c>
      <c r="F16" s="27">
        <f>VLOOKUP(A16,'Country recreational landings'!$A$1:$L$14,6,FALSE)</f>
        <v>3.6199999999999997</v>
      </c>
      <c r="G16" s="55">
        <f>VLOOKUP(A16,'Country recreational landings'!$A$1:$L$14,7,FALSE)</f>
        <v>9124</v>
      </c>
      <c r="H16" s="27" t="str">
        <f>VLOOKUP(A16,'Country recreational landings'!$A$1:$L$14,12,FALSE)</f>
        <v>Armstrong et al. (2013)</v>
      </c>
      <c r="I16" s="27"/>
    </row>
    <row r="17" spans="1:13" x14ac:dyDescent="0.25">
      <c r="A17" s="55" t="s">
        <v>28</v>
      </c>
      <c r="B17" s="27">
        <f>VLOOKUP($A$17,'Country recreational landings'!$A$1:$L$14,2,FALSE)</f>
        <v>2006</v>
      </c>
      <c r="C17" s="27">
        <f>VLOOKUP(A17,'Country recreational landings'!$A$1:$L$14,3,FALSE)</f>
        <v>791000</v>
      </c>
      <c r="D17" s="27">
        <f>VLOOKUP(A17,'Country recreational landings'!$A$1:$L$14,4,FALSE)</f>
        <v>189.5</v>
      </c>
      <c r="E17" s="27" t="str">
        <f>VLOOKUP(A17,'Country recreational landings'!$A$1:$L$14,5,FALSE)</f>
        <v>NA</v>
      </c>
      <c r="F17" s="27" t="str">
        <f>VLOOKUP(A17,'Country recreational landings'!$A$1:$L$14,6,FALSE)</f>
        <v>NA</v>
      </c>
      <c r="G17" s="27" t="str">
        <f>VLOOKUP(A17,'Country recreational landings'!$A$1:$L$14,7,FALSE)</f>
        <v>NA</v>
      </c>
      <c r="H17" s="27" t="str">
        <f>VLOOKUP(A17,'Country recreational landings'!$A$1:$L$14,12,FALSE)</f>
        <v>Herfaut et al. (2013)</v>
      </c>
      <c r="I17" s="27"/>
      <c r="J17" s="27"/>
      <c r="K17" s="27"/>
      <c r="L17" s="27"/>
      <c r="M17" s="27"/>
    </row>
    <row r="18" spans="1:13" x14ac:dyDescent="0.25">
      <c r="A18" s="27" t="s">
        <v>69</v>
      </c>
      <c r="B18" s="27">
        <f>VLOOKUP($A$19,'Country recreational landings'!$A$1:$L$14,2,FALSE)</f>
        <v>2012</v>
      </c>
      <c r="C18" s="27">
        <f>VLOOKUP(A18,'Country recreational landings'!$A$1:$L$14,3,FALSE)</f>
        <v>76600</v>
      </c>
      <c r="D18" s="27" t="str">
        <f>VLOOKUP(A18,'Country recreational landings'!$A$1:$L$14,4,FALSE)</f>
        <v>NA</v>
      </c>
      <c r="E18" s="27" t="str">
        <f>VLOOKUP(A18,'Country recreational landings'!$A$1:$L$14,5,FALSE)</f>
        <v>NA</v>
      </c>
      <c r="F18" s="27" t="str">
        <f>VLOOKUP(A18,'Country recreational landings'!$A$1:$L$14,6,FALSE)</f>
        <v>NA</v>
      </c>
      <c r="G18" s="27" t="str">
        <f>VLOOKUP(A18,'Country recreational landings'!$A$1:$L$14,7,FALSE)</f>
        <v>NA</v>
      </c>
      <c r="H18" s="27" t="str">
        <f>VLOOKUP(A18,'Country recreational landings'!$A$1:$L$14,12,FALSE)</f>
        <v>NA</v>
      </c>
      <c r="I18" s="27"/>
      <c r="J18" s="27"/>
      <c r="K18" s="27"/>
      <c r="L18" s="27"/>
      <c r="M18" s="27"/>
    </row>
    <row r="19" spans="1:13" x14ac:dyDescent="0.25">
      <c r="A19" s="55" t="s">
        <v>70</v>
      </c>
      <c r="B19" s="27">
        <f>VLOOKUP($A$18,'Country recreational landings'!$A$1:$L$14,2,FALSE)</f>
        <v>2012</v>
      </c>
      <c r="C19" s="27">
        <f>VLOOKUP(A19,'Country recreational landings'!$A$1:$L$14,3,FALSE)</f>
        <v>76000</v>
      </c>
      <c r="D19" s="27" t="str">
        <f>VLOOKUP(A19,'Country recreational landings'!$A$1:$L$14,4,FALSE)</f>
        <v>NA</v>
      </c>
      <c r="E19" s="27" t="str">
        <f>VLOOKUP(A19,'Country recreational landings'!$A$1:$L$14,5,FALSE)</f>
        <v>NA</v>
      </c>
      <c r="F19" s="27" t="str">
        <f>VLOOKUP(A19,'Country recreational landings'!$A$1:$L$14,6,FALSE)</f>
        <v>NA</v>
      </c>
      <c r="G19" s="27" t="str">
        <f>VLOOKUP(A19,'Country recreational landings'!$A$1:$L$14,7,FALSE)</f>
        <v>NA</v>
      </c>
      <c r="H19" s="27" t="str">
        <f>VLOOKUP(A19,'Country recreational landings'!$A$1:$L$14,12,FALSE)</f>
        <v>NA</v>
      </c>
      <c r="I19" s="27"/>
      <c r="J19" s="27"/>
      <c r="K19" s="27"/>
      <c r="L19" s="27"/>
      <c r="M19" s="27"/>
    </row>
    <row r="20" spans="1:13" x14ac:dyDescent="0.25">
      <c r="A20" s="55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x14ac:dyDescent="0.25">
      <c r="A21" s="5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x14ac:dyDescent="0.25">
      <c r="A22" s="27"/>
      <c r="B22" s="27"/>
      <c r="C22" s="45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x14ac:dyDescent="0.25">
      <c r="A23" s="66" t="s">
        <v>30</v>
      </c>
      <c r="B23" s="66"/>
      <c r="C23" s="66"/>
      <c r="D23" s="66"/>
      <c r="E23" s="66"/>
      <c r="F23" s="66"/>
      <c r="G23" s="66"/>
      <c r="H23" s="66"/>
      <c r="I23" s="66"/>
      <c r="J23" s="66" t="s">
        <v>31</v>
      </c>
      <c r="K23" s="66"/>
      <c r="L23" s="66"/>
      <c r="M23" s="27"/>
    </row>
    <row r="24" spans="1:13" x14ac:dyDescent="0.25">
      <c r="A24" s="27" t="s">
        <v>11</v>
      </c>
      <c r="B24" s="27" t="s">
        <v>32</v>
      </c>
      <c r="C24" s="27" t="s">
        <v>14</v>
      </c>
      <c r="D24" s="27" t="s">
        <v>15</v>
      </c>
      <c r="E24" s="27" t="s">
        <v>16</v>
      </c>
      <c r="F24" s="27" t="s">
        <v>17</v>
      </c>
      <c r="G24" s="27" t="s">
        <v>33</v>
      </c>
      <c r="H24" s="27" t="s">
        <v>34</v>
      </c>
      <c r="I24" s="27" t="s">
        <v>35</v>
      </c>
      <c r="J24" s="27" t="s">
        <v>36</v>
      </c>
      <c r="K24" s="27" t="s">
        <v>37</v>
      </c>
      <c r="L24" s="27" t="s">
        <v>18</v>
      </c>
      <c r="M24" s="27" t="s">
        <v>19</v>
      </c>
    </row>
    <row r="25" spans="1:13" x14ac:dyDescent="0.25">
      <c r="A25" s="55" t="s">
        <v>68</v>
      </c>
      <c r="B25" s="28">
        <f>VLOOKUP(A25,'Country recreational landings'!$A$1:$L$14,3,FALSE)</f>
        <v>4092.0000000000005</v>
      </c>
      <c r="C25" s="47">
        <f>IF(I25 = "None", D15, IF(I25 = "Avg", D25*($B$2/1000), "HELP"))</f>
        <v>0.41456959276018102</v>
      </c>
      <c r="D25" s="28">
        <f>IF(J25 = "EN", B25/$C$16*$E$16, IF(J25 = "Avg",  C25/($B$2/1000), IF(J25 = "None", E15, "help")))</f>
        <v>398.77558371040726</v>
      </c>
      <c r="E25" s="47">
        <f>IF(F15 &lt;&gt;"NA", F15,F25*($B$3/1000))</f>
        <v>1.6756832579185522E-2</v>
      </c>
      <c r="F25" s="28">
        <f>IF(K25 = "EN", B25/$C$16*$G$16, IF(K25 = "Prop", D25*$B$4, IF(K25 = "None", G15, "help")))</f>
        <v>42.234624434389147</v>
      </c>
      <c r="G25" s="27" t="s">
        <v>71</v>
      </c>
      <c r="H25" s="27" t="s">
        <v>71</v>
      </c>
      <c r="I25" s="27" t="s">
        <v>39</v>
      </c>
      <c r="J25" s="27" t="s">
        <v>42</v>
      </c>
      <c r="K25" s="27" t="s">
        <v>42</v>
      </c>
      <c r="L25" s="27"/>
      <c r="M25" s="27">
        <v>0</v>
      </c>
    </row>
    <row r="26" spans="1:13" x14ac:dyDescent="0.25">
      <c r="A26" s="56" t="s">
        <v>24</v>
      </c>
      <c r="B26" s="28">
        <f>VLOOKUP(A26,'Country recreational landings'!$A$1:$L$14,3,FALSE)</f>
        <v>884000</v>
      </c>
      <c r="C26" s="47">
        <f>IF(I26 = "None", D16, IF(I26 = "Avg", D26*($B$2/1000), "HELP"))</f>
        <v>89.56</v>
      </c>
      <c r="D26" s="28">
        <f>IF(J26 = "EN", B26/$C$16*$E$16, IF(J26 = "Avg",  C26/($B$2/1000), IF(J26 = "None", E16, "help")))</f>
        <v>86148</v>
      </c>
      <c r="E26" s="47">
        <f>IF(F16 &lt;&gt;"NA", F16,F26*($B$3/1000))</f>
        <v>3.6199999999999997</v>
      </c>
      <c r="F26" s="28">
        <f>IF(K26 = "EN", B26/$C$16*$G$16, IF(K26 = "Prop", D26*$B$4, IF(K26 = "None", G16, "help")))</f>
        <v>9124</v>
      </c>
      <c r="G26" s="27" t="s">
        <v>72</v>
      </c>
      <c r="H26" s="27" t="s">
        <v>72</v>
      </c>
      <c r="I26" s="27" t="s">
        <v>38</v>
      </c>
      <c r="J26" s="27" t="s">
        <v>38</v>
      </c>
      <c r="K26" s="27" t="s">
        <v>38</v>
      </c>
      <c r="L26" s="27"/>
      <c r="M26" s="27">
        <v>0</v>
      </c>
    </row>
    <row r="27" spans="1:13" x14ac:dyDescent="0.25">
      <c r="A27" s="55" t="s">
        <v>28</v>
      </c>
      <c r="B27" s="28">
        <f>VLOOKUP(A27,'Country recreational landings'!$A$1:$L$14,3,FALSE)</f>
        <v>791000</v>
      </c>
      <c r="C27" s="47">
        <f>IF(I27 = "None", D17, IF(I27 = "Avg", D27*($B$2/1000), "HELP"))</f>
        <v>189.5</v>
      </c>
      <c r="D27" s="28">
        <f>IF(J27 = "EN", B27/$C$16*$E$16, IF(J27 = "Avg",  C27/($B$2/1000), IF(J27 = "None", E17, "help")))</f>
        <v>182280.54935238947</v>
      </c>
      <c r="E27" s="47">
        <f>IF(F17 &lt;&gt;"NA", F17,F27*($B$3/1000))</f>
        <v>6.9260180184697484</v>
      </c>
      <c r="F27" s="28">
        <f>IF(K27 = "EN", B27/$C$16*$G$16, IF(K27 = "Prop", D27*$B$4, IF(K27 = "None", G17, "help")))</f>
        <v>17456.626629977345</v>
      </c>
      <c r="G27" s="27" t="s">
        <v>72</v>
      </c>
      <c r="H27" s="27" t="s">
        <v>71</v>
      </c>
      <c r="I27" s="27" t="s">
        <v>38</v>
      </c>
      <c r="J27" s="27" t="s">
        <v>39</v>
      </c>
      <c r="K27" s="27" t="s">
        <v>40</v>
      </c>
      <c r="L27" s="27"/>
      <c r="M27" s="27">
        <v>1</v>
      </c>
    </row>
    <row r="28" spans="1:13" x14ac:dyDescent="0.25">
      <c r="A28" s="27" t="s">
        <v>69</v>
      </c>
      <c r="B28" s="28">
        <f>VLOOKUP(A28,'Country recreational landings'!$A$1:$L$14,3,FALSE)</f>
        <v>76600</v>
      </c>
      <c r="C28" s="47">
        <f>IF(I28 = "None", D18, IF(I28 = "Avg", D28*($B$2/1000), "HELP"))</f>
        <v>7.7605158371040721</v>
      </c>
      <c r="D28" s="28">
        <f>IF(J28 = "EN", B28/$C$16*$E$16, IF(J28 = "Avg",  C28/($B$2/1000), IF(J28 = "None", E18, "help")))</f>
        <v>7464.8606334841625</v>
      </c>
      <c r="E28" s="47">
        <f>IF(F18 &lt;&gt;"NA", F18,F28*($B$3/1000))</f>
        <v>0.31367873303167415</v>
      </c>
      <c r="F28" s="28">
        <f>IF(K28 = "EN", B28/$C$16*$G$16, IF(K28 = "Prop", D28*$B$4, IF(K28 = "None", G18, "help")))</f>
        <v>790.6090497737556</v>
      </c>
      <c r="G28" s="27" t="s">
        <v>71</v>
      </c>
      <c r="H28" s="27" t="s">
        <v>71</v>
      </c>
      <c r="I28" s="27" t="s">
        <v>39</v>
      </c>
      <c r="J28" s="27" t="s">
        <v>42</v>
      </c>
      <c r="K28" s="27" t="s">
        <v>42</v>
      </c>
      <c r="L28" s="27"/>
      <c r="M28" s="27">
        <v>0</v>
      </c>
    </row>
    <row r="29" spans="1:13" x14ac:dyDescent="0.25">
      <c r="A29" s="55" t="s">
        <v>70</v>
      </c>
      <c r="B29" s="28">
        <f>VLOOKUP(A29,'Country recreational landings'!$A$1:$L$14,3,FALSE)</f>
        <v>76000</v>
      </c>
      <c r="C29" s="47">
        <f>IF(I29 = "None", D19, IF(I29 = "Avg", D29*($B$2/1000), "HELP"))</f>
        <v>7.6997285067873307</v>
      </c>
      <c r="D29" s="28">
        <f>IF(J29 = "EN", B29/$C$16*$E$16, IF(J29 = "Avg",  C29/($B$2/1000), IF(J29 = "None", E19, "help")))</f>
        <v>7406.3891402714935</v>
      </c>
      <c r="E29" s="47">
        <f>IF(F19 &lt;&gt;"NA", F19,F29*($B$3/1000))</f>
        <v>0.31122171945701355</v>
      </c>
      <c r="F29" s="28">
        <f>IF(K29 = "EN", B29/$C$16*$G$16, IF(K29 = "Prop", D29*$B$4, IF(K29 = "None", G19, "help")))</f>
        <v>784.41628959276022</v>
      </c>
      <c r="G29" s="27" t="s">
        <v>71</v>
      </c>
      <c r="H29" s="27" t="s">
        <v>71</v>
      </c>
      <c r="I29" s="27" t="s">
        <v>39</v>
      </c>
      <c r="J29" s="27" t="s">
        <v>42</v>
      </c>
      <c r="K29" s="27" t="s">
        <v>42</v>
      </c>
      <c r="L29" s="27"/>
      <c r="M29" s="27">
        <v>0</v>
      </c>
    </row>
    <row r="30" spans="1:13" x14ac:dyDescent="0.25">
      <c r="A30" s="27"/>
      <c r="B30" s="27"/>
      <c r="C30" s="47">
        <f>C26+C29+C25+C27+C28</f>
        <v>294.93481393665161</v>
      </c>
      <c r="D30" s="47">
        <f>C30-C27</f>
        <v>105.43481393665161</v>
      </c>
      <c r="E30" s="47">
        <f>E26+E29+E25+E27+E28</f>
        <v>11.187675303537622</v>
      </c>
      <c r="F30" s="28"/>
      <c r="G30" s="27"/>
      <c r="H30" s="27"/>
      <c r="I30" s="27"/>
      <c r="J30" s="27"/>
      <c r="K30" s="27"/>
      <c r="L30" s="27"/>
      <c r="M30" s="27"/>
    </row>
    <row r="31" spans="1:13" x14ac:dyDescent="0.25">
      <c r="A31" s="27"/>
      <c r="B31" s="27"/>
      <c r="C31" s="27"/>
      <c r="D31" s="27"/>
      <c r="E31" s="55"/>
      <c r="F31" s="27"/>
      <c r="G31" s="27"/>
      <c r="H31" s="27"/>
      <c r="I31" s="27"/>
      <c r="J31" s="27"/>
      <c r="K31" s="27"/>
      <c r="L31" s="27"/>
      <c r="M31" s="27"/>
    </row>
    <row r="32" spans="1:13" x14ac:dyDescent="0.25">
      <c r="A32" s="66" t="s">
        <v>43</v>
      </c>
      <c r="B32" s="66"/>
      <c r="C32" s="66"/>
      <c r="D32" s="27"/>
      <c r="E32" s="56"/>
      <c r="F32" s="27"/>
      <c r="G32" s="27"/>
      <c r="H32" s="27"/>
      <c r="I32" s="27"/>
      <c r="J32" s="27"/>
      <c r="K32" s="27"/>
      <c r="L32" s="27"/>
      <c r="M32" s="27"/>
    </row>
    <row r="33" spans="1:12" x14ac:dyDescent="0.25">
      <c r="A33" s="27" t="s">
        <v>14</v>
      </c>
      <c r="B33" s="27" t="s">
        <v>44</v>
      </c>
      <c r="C33" s="27" t="s">
        <v>45</v>
      </c>
      <c r="D33" s="27"/>
      <c r="E33" s="55"/>
      <c r="F33" s="27"/>
      <c r="G33" s="27"/>
      <c r="H33" s="27"/>
      <c r="I33" s="27"/>
      <c r="J33" s="27"/>
      <c r="K33" s="27"/>
      <c r="L33" s="27"/>
    </row>
    <row r="34" spans="1:12" x14ac:dyDescent="0.25">
      <c r="A34" s="29">
        <f>SUMIF(G25:G29,"&lt;&gt;N",C25:C29)/SUM(C25:C29)</f>
        <v>5.3824822253982198E-2</v>
      </c>
      <c r="B34" s="29">
        <f>SUMIF(H25:H29,"&lt;&gt;N",E25:E29)/SUM(E25:E29)</f>
        <v>0.67642965122027365</v>
      </c>
      <c r="C34" s="29">
        <f>(SUMIF(G25:G29,"&lt;&gt;N",C25:C29)+SUMIF(H25:H29,"&lt;&gt;N",E25:E29))/SUM(C25:C29,E25:E29)</f>
        <v>7.657878811313272E-2</v>
      </c>
      <c r="D34" s="27">
        <f>(SUMIF(G25:G29,"&lt;&gt;N",C25:C29)+(SUMIF(H25:H29,"&lt;&gt;N",E25:E29))*B5)/(SUM(C25:C29)+(SUM(E25:E29)*B5))</f>
        <v>5.6733754797209629E-2</v>
      </c>
      <c r="E34" s="27"/>
      <c r="F34" s="27"/>
      <c r="G34" s="27"/>
      <c r="H34" s="27"/>
      <c r="I34" s="27"/>
      <c r="J34" s="27"/>
      <c r="K34" s="27"/>
      <c r="L34" s="27"/>
    </row>
    <row r="35" spans="1:12" x14ac:dyDescent="0.25">
      <c r="A35" s="27"/>
      <c r="B35" s="27"/>
      <c r="C35" s="27"/>
      <c r="D35" s="27"/>
      <c r="E35" s="55"/>
      <c r="F35" s="27"/>
      <c r="G35" s="27"/>
      <c r="H35" s="27"/>
      <c r="I35" s="27"/>
      <c r="J35" s="27"/>
      <c r="K35" s="27"/>
      <c r="L35" s="27"/>
    </row>
    <row r="39" spans="1:12" x14ac:dyDescent="0.25">
      <c r="A39" s="66" t="s">
        <v>46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27"/>
    </row>
    <row r="40" spans="1:12" x14ac:dyDescent="0.25">
      <c r="A40" s="27"/>
      <c r="B40" s="66" t="s">
        <v>47</v>
      </c>
      <c r="C40" s="66"/>
      <c r="D40" s="66"/>
      <c r="E40" s="66" t="s">
        <v>48</v>
      </c>
      <c r="F40" s="66"/>
      <c r="G40" s="66"/>
      <c r="H40" s="66" t="s">
        <v>49</v>
      </c>
      <c r="I40" s="66"/>
      <c r="J40" s="27"/>
      <c r="K40" s="27"/>
      <c r="L40" s="27"/>
    </row>
    <row r="41" spans="1:12" x14ac:dyDescent="0.25">
      <c r="A41" s="27" t="s">
        <v>11</v>
      </c>
      <c r="B41" s="27" t="s">
        <v>50</v>
      </c>
      <c r="C41" s="27" t="s">
        <v>51</v>
      </c>
      <c r="D41" s="27" t="s">
        <v>52</v>
      </c>
      <c r="E41" s="27" t="s">
        <v>53</v>
      </c>
      <c r="F41" s="27" t="s">
        <v>54</v>
      </c>
      <c r="G41" s="27" t="s">
        <v>52</v>
      </c>
      <c r="H41" s="27" t="s">
        <v>47</v>
      </c>
      <c r="I41" s="27" t="s">
        <v>48</v>
      </c>
      <c r="J41" s="27" t="s">
        <v>2</v>
      </c>
      <c r="K41" s="27" t="s">
        <v>55</v>
      </c>
      <c r="L41" s="27" t="s">
        <v>19</v>
      </c>
    </row>
    <row r="42" spans="1:12" x14ac:dyDescent="0.25">
      <c r="A42" s="27" t="str">
        <f>A25</f>
        <v>Channel Islands</v>
      </c>
      <c r="B42" s="50">
        <f>C25</f>
        <v>0.41456959276018102</v>
      </c>
      <c r="C42" s="50">
        <f>E25*$B$6</f>
        <v>2.7648773755656114E-3</v>
      </c>
      <c r="D42" s="50">
        <f>SUM(B42:C42)</f>
        <v>0.41733447013574665</v>
      </c>
      <c r="E42" s="50">
        <f>VLOOKUP($A42,'Country commercial landings'!$A$1:$F$13,2)</f>
        <v>0.58890000000000009</v>
      </c>
      <c r="F42" s="50">
        <f>E42*($B$5*$B$7)</f>
        <v>2.2591468607825297E-2</v>
      </c>
      <c r="G42" s="50">
        <f>SUM(E42:F42)</f>
        <v>0.61149146860782544</v>
      </c>
      <c r="H42" s="29">
        <f t="shared" ref="H42:H47" si="0">D42/K42</f>
        <v>0.40564147385845067</v>
      </c>
      <c r="I42" s="29">
        <f t="shared" ref="I42:I47" si="1">G42/K42</f>
        <v>0.59435852614154938</v>
      </c>
      <c r="J42" s="27" t="str">
        <f>VLOOKUP($A42,'Country commercial landings'!$A$1:$F$13,3)</f>
        <v>MMO (2016)</v>
      </c>
      <c r="K42" s="50">
        <f t="shared" ref="K42:K47" si="2">D42+G42</f>
        <v>1.0288259387435721</v>
      </c>
      <c r="L42" s="27">
        <f>(D42*M25)/$D$47</f>
        <v>0</v>
      </c>
    </row>
    <row r="43" spans="1:12" x14ac:dyDescent="0.25">
      <c r="A43" s="27" t="str">
        <f>A26</f>
        <v>England</v>
      </c>
      <c r="B43" s="50">
        <f>C26</f>
        <v>89.56</v>
      </c>
      <c r="C43" s="50">
        <f>E26*$B$6</f>
        <v>0.59729999999999994</v>
      </c>
      <c r="D43" s="50">
        <f>SUM(B43:C43)</f>
        <v>90.157300000000006</v>
      </c>
      <c r="E43" s="50">
        <f>VLOOKUP($A43,'Country commercial landings'!$A$1:$F$13,2)</f>
        <v>558.20779999999991</v>
      </c>
      <c r="F43" s="50">
        <f>E43*($B$5*$B$7)</f>
        <v>21.414049907188346</v>
      </c>
      <c r="G43" s="50">
        <f>SUM(E43:F43)</f>
        <v>579.62184990718822</v>
      </c>
      <c r="H43" s="29">
        <f t="shared" si="0"/>
        <v>0.13460750459684087</v>
      </c>
      <c r="I43" s="29">
        <f t="shared" si="1"/>
        <v>0.86539249540315921</v>
      </c>
      <c r="J43" s="27" t="str">
        <f>VLOOKUP($A43,'Country commercial landings'!$A$1:$F$13,3)</f>
        <v>MMO (2016)</v>
      </c>
      <c r="K43" s="50">
        <f t="shared" si="2"/>
        <v>669.77914990718818</v>
      </c>
      <c r="L43" s="27">
        <f t="shared" ref="L43:L46" si="3">(D43*M26)/$D$47</f>
        <v>0</v>
      </c>
    </row>
    <row r="44" spans="1:12" x14ac:dyDescent="0.25">
      <c r="A44" s="27" t="str">
        <f>A27</f>
        <v>France</v>
      </c>
      <c r="B44" s="50">
        <f>C27</f>
        <v>189.5</v>
      </c>
      <c r="C44" s="50">
        <f>E27*$B$6</f>
        <v>1.1427929730475086</v>
      </c>
      <c r="D44" s="50">
        <f>SUM(B44:C44)</f>
        <v>190.64279297304751</v>
      </c>
      <c r="E44" s="50">
        <f>VLOOKUP($A44,'Country commercial landings'!$A$1:$F$13,2)</f>
        <v>5166</v>
      </c>
      <c r="F44" s="50">
        <f>E44*($B$5*$B$7)</f>
        <v>198.17885350318468</v>
      </c>
      <c r="G44" s="50">
        <f>SUM(E44:F44)</f>
        <v>5364.1788535031847</v>
      </c>
      <c r="H44" s="29">
        <f t="shared" si="0"/>
        <v>3.4320236563127833E-2</v>
      </c>
      <c r="I44" s="29">
        <f t="shared" si="1"/>
        <v>0.96567976343687223</v>
      </c>
      <c r="J44" s="27" t="str">
        <f>VLOOKUP($A44,'Country commercial landings'!$A$1:$F$13,3)</f>
        <v>WGCSE (2017)</v>
      </c>
      <c r="K44" s="50">
        <f t="shared" si="2"/>
        <v>5554.8216464762318</v>
      </c>
      <c r="L44" s="27">
        <f>(D44*M27)</f>
        <v>190.64279297304751</v>
      </c>
    </row>
    <row r="45" spans="1:12" x14ac:dyDescent="0.25">
      <c r="A45" s="27" t="str">
        <f>A28</f>
        <v>Ireland</v>
      </c>
      <c r="B45" s="50">
        <f>C28</f>
        <v>7.7605158371040721</v>
      </c>
      <c r="C45" s="50">
        <f>E28*$B$6</f>
        <v>5.1756990950226241E-2</v>
      </c>
      <c r="D45" s="50">
        <f>SUM(B45:C45)</f>
        <v>7.8122728280542981</v>
      </c>
      <c r="E45" s="50">
        <f>VLOOKUP($A45,'Country commercial landings'!$A$1:$F$13,2)</f>
        <v>1536</v>
      </c>
      <c r="F45" s="50">
        <f>E45*($B$5*$B$7)</f>
        <v>58.924258416742489</v>
      </c>
      <c r="G45" s="50">
        <f>SUM(E45:F45)</f>
        <v>1594.9242584167425</v>
      </c>
      <c r="H45" s="29">
        <f t="shared" si="0"/>
        <v>4.8743337883405844E-3</v>
      </c>
      <c r="I45" s="29">
        <f t="shared" si="1"/>
        <v>0.99512566621165943</v>
      </c>
      <c r="J45" s="27" t="str">
        <f>VLOOKUP($A45,'Country commercial landings'!$A$1:$F$13,3)</f>
        <v>WGCSE (2017)</v>
      </c>
      <c r="K45" s="50">
        <f t="shared" si="2"/>
        <v>1602.7365312447969</v>
      </c>
      <c r="L45" s="27">
        <f t="shared" si="3"/>
        <v>0</v>
      </c>
    </row>
    <row r="46" spans="1:12" x14ac:dyDescent="0.25">
      <c r="A46" s="27" t="str">
        <f>A29</f>
        <v>Wales</v>
      </c>
      <c r="B46" s="50">
        <f>C29</f>
        <v>7.6997285067873307</v>
      </c>
      <c r="C46" s="50">
        <f>E29*$B$6</f>
        <v>5.1351583710407239E-2</v>
      </c>
      <c r="D46" s="50">
        <f>SUM(B46:C46)</f>
        <v>7.7510800904977382</v>
      </c>
      <c r="E46" s="50">
        <f>VLOOKUP($A46,'Country commercial landings'!$A$1:$F$13,2)</f>
        <v>1.8438000000000003</v>
      </c>
      <c r="F46" s="50">
        <f>E46*($B$5*$B$7)</f>
        <v>7.0732127388535029E-2</v>
      </c>
      <c r="G46" s="50">
        <f>SUM(E46:F46)</f>
        <v>1.9145321273885354</v>
      </c>
      <c r="H46" s="29">
        <f t="shared" si="0"/>
        <v>0.80192334595777781</v>
      </c>
      <c r="I46" s="29">
        <f t="shared" si="1"/>
        <v>0.19807665404222219</v>
      </c>
      <c r="J46" s="27" t="str">
        <f>VLOOKUP($A46,'Country commercial landings'!$A$1:$F$13,3)</f>
        <v>MMO (2016)</v>
      </c>
      <c r="K46" s="50">
        <f t="shared" si="2"/>
        <v>9.6656122178862738</v>
      </c>
      <c r="L46" s="27">
        <f t="shared" si="3"/>
        <v>0</v>
      </c>
    </row>
    <row r="47" spans="1:12" x14ac:dyDescent="0.25">
      <c r="A47" s="57" t="s">
        <v>73</v>
      </c>
      <c r="B47" s="58">
        <f t="shared" ref="B47:G47" si="4">SUM(B42:B46)</f>
        <v>294.93481393665161</v>
      </c>
      <c r="C47" s="58">
        <f t="shared" si="4"/>
        <v>1.8459664250837076</v>
      </c>
      <c r="D47" s="58">
        <f t="shared" si="4"/>
        <v>296.78078036173531</v>
      </c>
      <c r="E47" s="58">
        <f t="shared" si="4"/>
        <v>7262.6404999999995</v>
      </c>
      <c r="F47" s="58">
        <f t="shared" si="4"/>
        <v>278.61048542311187</v>
      </c>
      <c r="G47" s="58">
        <f t="shared" si="4"/>
        <v>7541.2509854231112</v>
      </c>
      <c r="H47" s="59">
        <f t="shared" si="0"/>
        <v>3.786419719007323E-2</v>
      </c>
      <c r="I47" s="59">
        <f t="shared" si="1"/>
        <v>0.96213580280992683</v>
      </c>
      <c r="J47" s="57" t="s">
        <v>74</v>
      </c>
      <c r="K47" s="58">
        <f t="shared" si="2"/>
        <v>7838.0317657848464</v>
      </c>
      <c r="L47" s="27">
        <f>SUM(L42:L46)/D47</f>
        <v>0.64236906696141149</v>
      </c>
    </row>
    <row r="48" spans="1:12" x14ac:dyDescent="0.25">
      <c r="A48" s="37" t="s">
        <v>56</v>
      </c>
      <c r="B48" s="38">
        <f>B47</f>
        <v>294.93481393665161</v>
      </c>
      <c r="C48" s="38">
        <f t="shared" ref="C48:D48" si="5">C47</f>
        <v>1.8459664250837076</v>
      </c>
      <c r="D48" s="38">
        <f t="shared" si="5"/>
        <v>296.78078036173531</v>
      </c>
      <c r="E48" s="37">
        <f>VLOOKUP($A48,'Country commercial landings'!$A$1:$F$15,2,FALSE)</f>
        <v>7693</v>
      </c>
      <c r="F48" s="37">
        <f>B8*$B$7</f>
        <v>295.12</v>
      </c>
      <c r="G48" s="37">
        <f>E48+F48</f>
        <v>7988.12</v>
      </c>
      <c r="H48" s="39">
        <f>D48/K48</f>
        <v>3.5821887096730842E-2</v>
      </c>
      <c r="I48" s="39">
        <f>G48/K48</f>
        <v>0.96417811290326916</v>
      </c>
      <c r="J48" s="37" t="str">
        <f>VLOOKUP($A48,'Country commercial landings'!$A$1:$F$13,3)</f>
        <v>WGCSE (2017)</v>
      </c>
      <c r="K48" s="38">
        <f>G48+D48</f>
        <v>8284.9007803617351</v>
      </c>
      <c r="L48" s="27"/>
    </row>
    <row r="51" spans="1:11" x14ac:dyDescent="0.25">
      <c r="A51" s="65" t="s">
        <v>57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spans="1:11" x14ac:dyDescent="0.25">
      <c r="A52" s="27" t="s">
        <v>11</v>
      </c>
      <c r="B52" s="27" t="s">
        <v>32</v>
      </c>
      <c r="C52" s="27" t="s">
        <v>14</v>
      </c>
      <c r="D52" s="27" t="s">
        <v>15</v>
      </c>
      <c r="E52" s="27" t="s">
        <v>16</v>
      </c>
      <c r="F52" s="27" t="s">
        <v>17</v>
      </c>
      <c r="G52" s="27" t="s">
        <v>58</v>
      </c>
      <c r="H52" s="27" t="s">
        <v>52</v>
      </c>
      <c r="I52" s="27"/>
      <c r="J52" s="27"/>
      <c r="K52" s="27"/>
    </row>
    <row r="53" spans="1:11" x14ac:dyDescent="0.25">
      <c r="A53" s="27" t="str">
        <f>A25</f>
        <v>Channel Islands</v>
      </c>
      <c r="B53" s="27">
        <f t="shared" ref="B53:F53" si="6">B25</f>
        <v>4092.0000000000005</v>
      </c>
      <c r="C53" s="27">
        <f t="shared" si="6"/>
        <v>0.41456959276018102</v>
      </c>
      <c r="D53" s="27">
        <f t="shared" si="6"/>
        <v>398.77558371040726</v>
      </c>
      <c r="E53" s="27">
        <f t="shared" si="6"/>
        <v>1.6756832579185522E-2</v>
      </c>
      <c r="F53" s="27">
        <f t="shared" si="6"/>
        <v>42.234624434389147</v>
      </c>
      <c r="G53" s="41">
        <f>E53*$B$6</f>
        <v>2.7648773755656114E-3</v>
      </c>
      <c r="H53" s="41">
        <f>C53+G53</f>
        <v>0.41733447013574665</v>
      </c>
      <c r="I53" s="27"/>
      <c r="J53" s="27"/>
      <c r="K53" s="27"/>
    </row>
    <row r="54" spans="1:11" x14ac:dyDescent="0.25">
      <c r="A54" s="41" t="s">
        <v>59</v>
      </c>
      <c r="B54" s="27">
        <f t="shared" ref="A54:F57" si="7">B26</f>
        <v>884000</v>
      </c>
      <c r="C54" s="27">
        <f>B54/B27*C27</f>
        <v>211.78002528445006</v>
      </c>
      <c r="D54" s="27">
        <f>C54/(B2/1000)</f>
        <v>203711.76438370705</v>
      </c>
      <c r="E54" s="27">
        <f>F54*(B3/1000)</f>
        <v>7.7403286072405253</v>
      </c>
      <c r="F54" s="27">
        <f>D54*B4</f>
        <v>19509.049229962035</v>
      </c>
      <c r="G54" s="41">
        <f t="shared" ref="G54:G57" si="8">E54*$B$6</f>
        <v>1.2771542201946868</v>
      </c>
      <c r="H54" s="41">
        <f t="shared" ref="H54:H57" si="9">C54+G54</f>
        <v>213.05717950464475</v>
      </c>
      <c r="I54" s="27"/>
      <c r="J54" s="27"/>
      <c r="K54" s="27"/>
    </row>
    <row r="55" spans="1:11" x14ac:dyDescent="0.25">
      <c r="A55" s="41" t="s">
        <v>75</v>
      </c>
      <c r="B55" s="27">
        <f t="shared" si="7"/>
        <v>791000</v>
      </c>
      <c r="C55" s="27">
        <f>D55*(B2/1000)</f>
        <v>80.137963800904984</v>
      </c>
      <c r="D55" s="27">
        <f>B55/B26*D26</f>
        <v>77084.918552036208</v>
      </c>
      <c r="E55" s="27">
        <f>F55*(B3/1000)</f>
        <v>3.2391628959276013</v>
      </c>
      <c r="F55" s="27">
        <f>B55/B26*F26</f>
        <v>8164.1221719457017</v>
      </c>
      <c r="G55" s="41">
        <f t="shared" si="8"/>
        <v>0.53446187782805421</v>
      </c>
      <c r="H55" s="41">
        <f t="shared" si="9"/>
        <v>80.672425678733035</v>
      </c>
      <c r="I55" s="27"/>
      <c r="J55" s="27"/>
      <c r="K55" s="27"/>
    </row>
    <row r="56" spans="1:11" x14ac:dyDescent="0.25">
      <c r="A56" s="27" t="str">
        <f t="shared" si="7"/>
        <v>Ireland</v>
      </c>
      <c r="B56" s="27">
        <f t="shared" si="7"/>
        <v>76600</v>
      </c>
      <c r="C56" s="27">
        <f t="shared" si="7"/>
        <v>7.7605158371040721</v>
      </c>
      <c r="D56" s="27">
        <f t="shared" si="7"/>
        <v>7464.8606334841625</v>
      </c>
      <c r="E56" s="27">
        <f t="shared" si="7"/>
        <v>0.31367873303167415</v>
      </c>
      <c r="F56" s="27">
        <f t="shared" si="7"/>
        <v>790.6090497737556</v>
      </c>
      <c r="G56" s="41">
        <f t="shared" si="8"/>
        <v>5.1756990950226241E-2</v>
      </c>
      <c r="H56" s="41">
        <f t="shared" si="9"/>
        <v>7.8122728280542981</v>
      </c>
      <c r="I56" s="27"/>
      <c r="J56" s="27"/>
      <c r="K56" s="27"/>
    </row>
    <row r="57" spans="1:11" x14ac:dyDescent="0.25">
      <c r="A57" s="27" t="str">
        <f t="shared" si="7"/>
        <v>Wales</v>
      </c>
      <c r="B57" s="27">
        <f t="shared" si="7"/>
        <v>76000</v>
      </c>
      <c r="C57" s="27">
        <f t="shared" si="7"/>
        <v>7.6997285067873307</v>
      </c>
      <c r="D57" s="27">
        <f t="shared" si="7"/>
        <v>7406.3891402714935</v>
      </c>
      <c r="E57" s="27">
        <f t="shared" si="7"/>
        <v>0.31122171945701355</v>
      </c>
      <c r="F57" s="27">
        <f t="shared" si="7"/>
        <v>784.41628959276022</v>
      </c>
      <c r="G57" s="41">
        <f t="shared" si="8"/>
        <v>5.1351583710407239E-2</v>
      </c>
      <c r="H57" s="41">
        <f t="shared" si="9"/>
        <v>7.7510800904977382</v>
      </c>
      <c r="I57" s="41" t="s">
        <v>61</v>
      </c>
      <c r="J57" s="41" t="s">
        <v>62</v>
      </c>
      <c r="K57" s="41" t="s">
        <v>63</v>
      </c>
    </row>
    <row r="58" spans="1:11" x14ac:dyDescent="0.25">
      <c r="A58" s="27"/>
      <c r="B58" s="41"/>
      <c r="C58" s="27"/>
      <c r="D58" s="27"/>
      <c r="E58" s="27"/>
      <c r="F58" s="27"/>
      <c r="G58" t="s">
        <v>64</v>
      </c>
      <c r="H58" s="27">
        <f t="shared" ref="H58" si="10">SUM(H53:H57)</f>
        <v>309.71029257206555</v>
      </c>
      <c r="I58" s="41">
        <v>413.11884626353554</v>
      </c>
      <c r="J58" s="41">
        <v>180.44271445993508</v>
      </c>
      <c r="K58" s="27" t="str">
        <f>IF((AND(H58&lt;=I58,H58&gt;=J58)),"Good","Bad")</f>
        <v>Good</v>
      </c>
    </row>
  </sheetData>
  <sortState ref="A25:G29">
    <sortCondition ref="A25:A29"/>
  </sortState>
  <mergeCells count="10">
    <mergeCell ref="A51:K51"/>
    <mergeCell ref="C2:C3"/>
    <mergeCell ref="A13:H13"/>
    <mergeCell ref="B40:D40"/>
    <mergeCell ref="E40:G40"/>
    <mergeCell ref="H40:I40"/>
    <mergeCell ref="A39:K39"/>
    <mergeCell ref="A23:I23"/>
    <mergeCell ref="A32:C32"/>
    <mergeCell ref="J23:L23"/>
  </mergeCells>
  <conditionalFormatting sqref="A15">
    <cfRule type="cellIs" dxfId="11" priority="6" operator="equal">
      <formula>"NA"</formula>
    </cfRule>
  </conditionalFormatting>
  <conditionalFormatting sqref="A16">
    <cfRule type="cellIs" dxfId="10" priority="5" operator="equal">
      <formula>"NA"</formula>
    </cfRule>
  </conditionalFormatting>
  <conditionalFormatting sqref="A25">
    <cfRule type="cellIs" dxfId="9" priority="4" operator="equal">
      <formula>"NA"</formula>
    </cfRule>
  </conditionalFormatting>
  <conditionalFormatting sqref="A26">
    <cfRule type="cellIs" dxfId="8" priority="3" operator="equal">
      <formula>"NA"</formula>
    </cfRule>
  </conditionalFormatting>
  <conditionalFormatting sqref="E31">
    <cfRule type="cellIs" dxfId="7" priority="2" operator="equal">
      <formula>"NA"</formula>
    </cfRule>
  </conditionalFormatting>
  <conditionalFormatting sqref="E32">
    <cfRule type="cellIs" dxfId="6" priority="1" operator="equal">
      <formula>"NA"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59"/>
  <sheetViews>
    <sheetView topLeftCell="G16" zoomScale="55" zoomScaleNormal="55" workbookViewId="0">
      <selection activeCell="L39" sqref="L39"/>
    </sheetView>
  </sheetViews>
  <sheetFormatPr defaultColWidth="9.140625" defaultRowHeight="15" x14ac:dyDescent="0.25"/>
  <cols>
    <col min="1" max="1" width="34.7109375" style="35" bestFit="1" customWidth="1"/>
    <col min="2" max="2" width="16.28515625" style="35" bestFit="1" customWidth="1"/>
    <col min="3" max="3" width="43.140625" style="35" bestFit="1" customWidth="1"/>
    <col min="4" max="4" width="17.85546875" style="35" bestFit="1" customWidth="1"/>
    <col min="5" max="5" width="17.85546875" style="35" customWidth="1"/>
    <col min="6" max="6" width="18.28515625" style="35" bestFit="1" customWidth="1"/>
    <col min="7" max="7" width="25.28515625" style="35" bestFit="1" customWidth="1"/>
    <col min="8" max="8" width="25.7109375" style="35" bestFit="1" customWidth="1"/>
    <col min="9" max="9" width="12.85546875" style="35" bestFit="1" customWidth="1"/>
    <col min="10" max="10" width="22.85546875" style="35" bestFit="1" customWidth="1"/>
    <col min="11" max="11" width="23.140625" style="35" customWidth="1"/>
    <col min="12" max="12" width="36.28515625" style="35" bestFit="1" customWidth="1"/>
    <col min="13" max="16384" width="9.140625" style="35"/>
  </cols>
  <sheetData>
    <row r="1" spans="1:9" x14ac:dyDescent="0.25">
      <c r="A1" s="27" t="s">
        <v>0</v>
      </c>
      <c r="B1" s="27" t="s">
        <v>1</v>
      </c>
      <c r="C1" s="27" t="s">
        <v>2</v>
      </c>
      <c r="D1" s="27"/>
      <c r="E1" s="27"/>
      <c r="F1" s="27"/>
      <c r="G1" s="27"/>
      <c r="H1" s="27"/>
      <c r="I1" s="27"/>
    </row>
    <row r="2" spans="1:9" x14ac:dyDescent="0.25">
      <c r="A2" s="27" t="s">
        <v>3</v>
      </c>
      <c r="B2" s="27">
        <f>(SUMIFS('Baltic recreational landings'!H2:H14,'Baltic recreational landings'!H2:H14,"&lt;&gt;NA",'Baltic recreational landings'!I2:I14,"&lt;&gt;NA")/SUMIFS('Baltic recreational landings'!I2:I14,'Baltic recreational landings'!I2:I14,"&lt;&gt;NA",'Baltic recreational landings'!H2:H14,"&lt;&gt;NA"))*1000</f>
        <v>1.2644566795574654</v>
      </c>
      <c r="C2" s="27"/>
      <c r="D2" s="27"/>
      <c r="E2" s="27"/>
      <c r="F2" s="27"/>
      <c r="G2" s="27"/>
      <c r="H2" s="27"/>
      <c r="I2" s="27"/>
    </row>
    <row r="3" spans="1:9" x14ac:dyDescent="0.25">
      <c r="A3" s="27" t="s">
        <v>4</v>
      </c>
      <c r="B3" s="27">
        <f>(SUMIFS('Baltic recreational landings'!J3:J15,'Baltic recreational landings'!J3:J15,"&lt;&gt;NA",'Baltic recreational landings'!K3:K15,"&lt;&gt;NA")/SUMIFS('Baltic recreational landings'!I3:I15,'Baltic recreational landings'!K3:K15,"&lt;&gt;NA",'Baltic recreational landings'!J3:J15,"&lt;&gt;NA"))*1000</f>
        <v>0.17762160433535421</v>
      </c>
      <c r="C3" s="27"/>
      <c r="D3" s="27"/>
      <c r="E3" s="27"/>
      <c r="F3" s="27"/>
      <c r="G3" s="27"/>
      <c r="H3" s="27"/>
      <c r="I3" s="27"/>
    </row>
    <row r="4" spans="1:9" x14ac:dyDescent="0.25">
      <c r="A4" s="27" t="s">
        <v>5</v>
      </c>
      <c r="B4" s="27">
        <f>G17/(G17+E17)</f>
        <v>0.31904249756342523</v>
      </c>
      <c r="C4" s="27"/>
      <c r="D4" s="27"/>
      <c r="E4" s="27"/>
      <c r="F4" s="27"/>
      <c r="G4" s="27"/>
      <c r="H4" s="27"/>
      <c r="I4" s="27"/>
    </row>
    <row r="5" spans="1:9" x14ac:dyDescent="0.25">
      <c r="A5" s="27" t="s">
        <v>6</v>
      </c>
      <c r="B5" s="27">
        <f>ROUND('Discard rate'!E2,3)</f>
        <v>0.04</v>
      </c>
      <c r="C5" s="27" t="str">
        <f>'Discard rate'!F2</f>
        <v>WGBFAS (2017)</v>
      </c>
      <c r="D5" s="27"/>
      <c r="E5" s="27"/>
      <c r="F5" s="27"/>
      <c r="G5" s="27"/>
      <c r="H5" s="27"/>
      <c r="I5" s="27"/>
    </row>
    <row r="6" spans="1:9" x14ac:dyDescent="0.25">
      <c r="A6" s="27" t="s">
        <v>7</v>
      </c>
      <c r="B6" s="27">
        <f>'Discard Mortality'!E2</f>
        <v>0.112</v>
      </c>
      <c r="C6" s="27" t="str">
        <f>'Discard Mortality'!F2</f>
        <v>Welterbach &amp; Strehlow (2013)</v>
      </c>
      <c r="D6" s="27"/>
      <c r="E6" s="27"/>
      <c r="F6" s="27"/>
      <c r="G6" s="27"/>
      <c r="H6" s="27"/>
      <c r="I6" s="27"/>
    </row>
    <row r="7" spans="1:9" x14ac:dyDescent="0.25">
      <c r="A7" s="27" t="s">
        <v>8</v>
      </c>
      <c r="B7" s="27">
        <f>'Discard Mortality'!A2</f>
        <v>0.31</v>
      </c>
      <c r="C7" s="27" t="str">
        <f>'Discard Mortality'!B2</f>
        <v>Depestele et al. (2014)</v>
      </c>
      <c r="D7" s="27"/>
      <c r="E7" s="27"/>
      <c r="F7" s="27"/>
      <c r="G7" s="27"/>
      <c r="H7" s="27"/>
      <c r="I7" s="27"/>
    </row>
    <row r="8" spans="1:9" x14ac:dyDescent="0.25">
      <c r="A8" s="41" t="s">
        <v>76</v>
      </c>
      <c r="B8">
        <v>564</v>
      </c>
      <c r="C8" s="27"/>
      <c r="D8" s="27"/>
      <c r="E8" s="27"/>
      <c r="F8" s="27"/>
      <c r="G8" s="27"/>
      <c r="H8" s="27"/>
      <c r="I8" s="27"/>
    </row>
    <row r="14" spans="1:9" x14ac:dyDescent="0.25">
      <c r="A14" s="66" t="s">
        <v>10</v>
      </c>
      <c r="B14" s="66"/>
      <c r="C14" s="66"/>
      <c r="D14" s="66"/>
      <c r="E14" s="66"/>
      <c r="F14" s="66"/>
      <c r="G14" s="66"/>
      <c r="H14" s="66"/>
      <c r="I14" s="27"/>
    </row>
    <row r="15" spans="1:9" x14ac:dyDescent="0.25">
      <c r="A15" s="27" t="s">
        <v>11</v>
      </c>
      <c r="B15" s="27" t="s">
        <v>12</v>
      </c>
      <c r="C15" s="27" t="s">
        <v>13</v>
      </c>
      <c r="D15" s="27" t="s">
        <v>14</v>
      </c>
      <c r="E15" s="27" t="s">
        <v>15</v>
      </c>
      <c r="F15" s="27" t="s">
        <v>16</v>
      </c>
      <c r="G15" s="27" t="s">
        <v>17</v>
      </c>
      <c r="H15" s="27" t="s">
        <v>2</v>
      </c>
      <c r="I15" s="27" t="s">
        <v>18</v>
      </c>
    </row>
    <row r="16" spans="1:9" x14ac:dyDescent="0.25">
      <c r="A16" s="27" t="s">
        <v>21</v>
      </c>
      <c r="B16" s="27">
        <f>VLOOKUP($A16,'Baltic recreational landings'!$A$1:$L$14,2,FALSE)</f>
        <v>2012</v>
      </c>
      <c r="C16" s="28">
        <f>VLOOKUP(A16,'Baltic recreational landings'!$A$1:$L$14,3,FALSE)</f>
        <v>386000</v>
      </c>
      <c r="D16" s="27">
        <f>VLOOKUP($A16,'Baltic recreational landings'!$A$1:$L$14,8,FALSE)</f>
        <v>1272</v>
      </c>
      <c r="E16" s="27">
        <f>VLOOKUP($A16,'Baltic recreational landings'!$A$1:$L$14,9,FALSE)</f>
        <v>978462</v>
      </c>
      <c r="F16" s="27">
        <f>VLOOKUP($A16,'Baltic recreational landings'!$A$1:$L$14,10,FALSE)</f>
        <v>220</v>
      </c>
      <c r="G16" s="27">
        <f>VLOOKUP($A16,'Baltic recreational landings'!$A$1:$L$14,11,FALSE)</f>
        <v>657419</v>
      </c>
      <c r="H16" s="27" t="str">
        <f>VLOOKUP($A16,'Baltic recreational landings'!$A$1:$L$14,12,FALSE)</f>
        <v>Hyder et al. (2018)</v>
      </c>
      <c r="I16" s="27"/>
    </row>
    <row r="17" spans="1:13" x14ac:dyDescent="0.25">
      <c r="A17" s="27" t="s">
        <v>20</v>
      </c>
      <c r="B17" s="27">
        <f>VLOOKUP($A17,'Baltic recreational landings'!$A$1:$L$14,2,FALSE)</f>
        <v>2015</v>
      </c>
      <c r="C17" s="28">
        <f>VLOOKUP(A17,'Baltic recreational landings'!$A$1:$L$14,3,FALSE)</f>
        <v>163000</v>
      </c>
      <c r="D17" s="27">
        <f>VLOOKUP($A17,'Baltic recreational landings'!$A$1:$L$14,8,FALSE)</f>
        <v>3032</v>
      </c>
      <c r="E17" s="27">
        <f>VLOOKUP($A17,'Baltic recreational landings'!$A$1:$L$14,9,FALSE)</f>
        <v>2430020</v>
      </c>
      <c r="F17" s="27">
        <f>VLOOKUP($A17,'Baltic recreational landings'!$A$1:$L$14,10,FALSE)</f>
        <v>410</v>
      </c>
      <c r="G17" s="27">
        <f>VLOOKUP($A17,'Baltic recreational landings'!$A$1:$L$14,11,FALSE)</f>
        <v>1138514</v>
      </c>
      <c r="H17" s="27" t="str">
        <f>VLOOKUP($A17,'Baltic recreational landings'!$A$1:$L$14,12,FALSE)</f>
        <v>Hyder et al. (2018)</v>
      </c>
      <c r="I17" s="27"/>
      <c r="J17" s="27"/>
      <c r="K17" s="27"/>
      <c r="L17" s="27"/>
      <c r="M17" s="27"/>
    </row>
    <row r="18" spans="1:13" x14ac:dyDescent="0.25">
      <c r="A18" s="27" t="s">
        <v>22</v>
      </c>
      <c r="B18" s="27">
        <f>VLOOKUP($A18,'Baltic recreational landings'!$A$1:$L$14,2,FALSE)</f>
        <v>2015</v>
      </c>
      <c r="C18" s="28">
        <f>VLOOKUP(A18,'Baltic recreational landings'!$A$1:$L$14,3,FALSE)</f>
        <v>565634</v>
      </c>
      <c r="D18" s="27">
        <f>VLOOKUP($A18,'Baltic recreational landings'!$A$1:$L$14,8,FALSE)</f>
        <v>215</v>
      </c>
      <c r="E18" s="27">
        <f>VLOOKUP($A18,'Baltic recreational landings'!$A$1:$L$14,9,FALSE)</f>
        <v>165385</v>
      </c>
      <c r="F18" s="27">
        <f>VLOOKUP($A18,'Baltic recreational landings'!$A$1:$L$14,10,FALSE)</f>
        <v>51</v>
      </c>
      <c r="G18" s="27">
        <f>VLOOKUP($A18,'Baltic recreational landings'!$A$1:$L$14,11,FALSE)</f>
        <v>152663</v>
      </c>
      <c r="H18" s="27" t="str">
        <f>VLOOKUP($A18,'Baltic recreational landings'!$A$1:$L$14,12,FALSE)</f>
        <v>Hyder et al. (2018)</v>
      </c>
      <c r="I18" s="27"/>
      <c r="J18" s="27"/>
      <c r="K18" s="27"/>
      <c r="L18" s="27"/>
      <c r="M18" s="27"/>
    </row>
    <row r="24" spans="1:13" x14ac:dyDescent="0.25">
      <c r="A24" s="66" t="s">
        <v>30</v>
      </c>
      <c r="B24" s="66"/>
      <c r="C24" s="66"/>
      <c r="D24" s="66"/>
      <c r="E24" s="66"/>
      <c r="F24" s="66"/>
      <c r="G24" s="66"/>
      <c r="H24" s="66"/>
      <c r="I24" s="66"/>
      <c r="J24" s="69" t="s">
        <v>31</v>
      </c>
      <c r="K24" s="66"/>
      <c r="L24" s="66"/>
      <c r="M24" s="27"/>
    </row>
    <row r="25" spans="1:13" x14ac:dyDescent="0.25">
      <c r="A25" s="27" t="s">
        <v>11</v>
      </c>
      <c r="B25" s="27" t="s">
        <v>32</v>
      </c>
      <c r="C25" s="27" t="s">
        <v>14</v>
      </c>
      <c r="D25" s="27" t="s">
        <v>15</v>
      </c>
      <c r="E25" s="27" t="s">
        <v>16</v>
      </c>
      <c r="F25" s="27" t="s">
        <v>17</v>
      </c>
      <c r="G25" s="27" t="s">
        <v>33</v>
      </c>
      <c r="H25" s="27" t="s">
        <v>34</v>
      </c>
      <c r="I25" s="27" t="s">
        <v>35</v>
      </c>
      <c r="J25" s="27" t="s">
        <v>36</v>
      </c>
      <c r="K25" s="27" t="s">
        <v>37</v>
      </c>
      <c r="L25" s="27" t="s">
        <v>18</v>
      </c>
      <c r="M25" s="27" t="s">
        <v>19</v>
      </c>
    </row>
    <row r="26" spans="1:13" x14ac:dyDescent="0.25">
      <c r="A26" s="27" t="str">
        <f>A16</f>
        <v>Denmark</v>
      </c>
      <c r="B26" s="28">
        <f>C16</f>
        <v>386000</v>
      </c>
      <c r="C26" s="27">
        <f>IF(I26 = "None",D16, "Help")</f>
        <v>1272</v>
      </c>
      <c r="D26" s="27">
        <f>ROUND(IF(J26 = "DE", B26/$C$17*$E$17, IF(J26 = "None",E16, IF(J26 = "Avg", C26/(B2/1000), "Help"))),0)</f>
        <v>978462</v>
      </c>
      <c r="E26" s="27">
        <f>ROUND(IF(F16&lt;&gt;"NA",F16,F26*($B$3/1000)),2)</f>
        <v>220</v>
      </c>
      <c r="F26" s="27">
        <f>ROUND(IF(K26 = "DE", B26/$C$17*$G$17, IF(K26 = "None",G16, IF(K26 = "Prop", D26*B4, "Help"))),0)</f>
        <v>657419</v>
      </c>
      <c r="G26" s="27" t="str">
        <f>IF(D16 = "NA", "Y", "N")</f>
        <v>N</v>
      </c>
      <c r="H26" s="27" t="str">
        <f>IF(F16 = "NA", "Y", "N")</f>
        <v>N</v>
      </c>
      <c r="I26" s="27" t="s">
        <v>38</v>
      </c>
      <c r="J26" s="41" t="s">
        <v>38</v>
      </c>
      <c r="K26" s="27" t="s">
        <v>38</v>
      </c>
      <c r="L26" s="27"/>
      <c r="M26" s="27">
        <v>2</v>
      </c>
    </row>
    <row r="27" spans="1:13" x14ac:dyDescent="0.25">
      <c r="A27" s="27" t="str">
        <f t="shared" ref="A27:A28" si="0">A17</f>
        <v>Germany</v>
      </c>
      <c r="B27" s="28">
        <f t="shared" ref="B27:B28" si="1">C17</f>
        <v>163000</v>
      </c>
      <c r="C27" s="27">
        <f t="shared" ref="C27:C28" si="2">IF(I27 = "None",D17, "Help")</f>
        <v>3032</v>
      </c>
      <c r="D27" s="27">
        <f t="shared" ref="D27:D28" si="3">ROUND(IF(J27 = "DE", B27/$C$17*$E$17, IF(J27 = "None",E17, IF(J27 = "Avg", C27/(B3/1000), "Help"))),0)</f>
        <v>2430020</v>
      </c>
      <c r="E27" s="27">
        <f t="shared" ref="E27:E28" si="4">ROUND(IF(F17&lt;&gt;"NA",F17,F27*($B$3/1000)),2)</f>
        <v>410</v>
      </c>
      <c r="F27" s="27">
        <f t="shared" ref="F27:F28" si="5">ROUND(IF(K27 = "DE", B27/$C$17*$G$17, IF(K27 = "None",G17, IF(K27 = "Prop", D27*B5, "Help"))),0)</f>
        <v>1138514</v>
      </c>
      <c r="G27" s="27" t="str">
        <f t="shared" ref="G27:G28" si="6">IF(D17 = "NA", "Y", "N")</f>
        <v>N</v>
      </c>
      <c r="H27" s="27" t="str">
        <f t="shared" ref="H27:H28" si="7">IF(F17 = "NA", "Y", "N")</f>
        <v>N</v>
      </c>
      <c r="I27" s="27" t="s">
        <v>38</v>
      </c>
      <c r="J27" s="27" t="s">
        <v>38</v>
      </c>
      <c r="K27" s="27" t="s">
        <v>38</v>
      </c>
      <c r="L27" s="27"/>
      <c r="M27" s="27">
        <v>1</v>
      </c>
    </row>
    <row r="28" spans="1:13" x14ac:dyDescent="0.25">
      <c r="A28" s="27" t="str">
        <f t="shared" si="0"/>
        <v>Sweden</v>
      </c>
      <c r="B28" s="28">
        <f t="shared" si="1"/>
        <v>565634</v>
      </c>
      <c r="C28" s="27">
        <f t="shared" si="2"/>
        <v>215</v>
      </c>
      <c r="D28" s="27">
        <f t="shared" si="3"/>
        <v>165385</v>
      </c>
      <c r="E28" s="27">
        <f t="shared" si="4"/>
        <v>51</v>
      </c>
      <c r="F28" s="27">
        <f t="shared" si="5"/>
        <v>152663</v>
      </c>
      <c r="G28" s="27" t="str">
        <f t="shared" si="6"/>
        <v>N</v>
      </c>
      <c r="H28" s="27" t="str">
        <f t="shared" si="7"/>
        <v>N</v>
      </c>
      <c r="I28" s="27" t="s">
        <v>38</v>
      </c>
      <c r="J28" s="41" t="s">
        <v>38</v>
      </c>
      <c r="K28" s="41" t="s">
        <v>38</v>
      </c>
      <c r="L28" s="27" t="s">
        <v>77</v>
      </c>
      <c r="M28" s="27">
        <v>-3</v>
      </c>
    </row>
    <row r="29" spans="1:13" x14ac:dyDescent="0.25">
      <c r="A29" s="27"/>
      <c r="B29" s="27"/>
      <c r="C29" s="27">
        <f>SUM(C26:C28)</f>
        <v>4519</v>
      </c>
      <c r="D29" s="27"/>
      <c r="E29" s="27">
        <f>SUM(E26:E28)</f>
        <v>681</v>
      </c>
      <c r="F29" s="27"/>
      <c r="G29" s="27"/>
      <c r="H29" s="27"/>
      <c r="I29" s="27"/>
      <c r="J29" s="27"/>
      <c r="K29" s="27"/>
      <c r="L29" s="27"/>
      <c r="M29" s="27"/>
    </row>
    <row r="32" spans="1:13" x14ac:dyDescent="0.25">
      <c r="A32" s="66" t="s">
        <v>43</v>
      </c>
      <c r="B32" s="66"/>
      <c r="C32" s="66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2" x14ac:dyDescent="0.25">
      <c r="A33" s="27" t="s">
        <v>14</v>
      </c>
      <c r="B33" s="27" t="s">
        <v>44</v>
      </c>
      <c r="C33" s="27" t="s">
        <v>45</v>
      </c>
      <c r="D33" s="27"/>
      <c r="E33" s="27"/>
      <c r="F33" s="27"/>
      <c r="G33" s="27"/>
      <c r="H33" s="27"/>
      <c r="I33" s="27"/>
      <c r="J33" s="27"/>
      <c r="K33" s="27"/>
      <c r="L33" s="27"/>
    </row>
    <row r="34" spans="1:12" x14ac:dyDescent="0.25">
      <c r="A34" s="29">
        <f>SUMIF(G26:G28,"&lt;&gt;N",C26:C28)/SUM(C26:C28)</f>
        <v>0</v>
      </c>
      <c r="B34" s="29">
        <f>SUMIF(H26:H28,"&lt;&gt;N",E26:E28)/SUM(E26:E28)</f>
        <v>0</v>
      </c>
      <c r="C34" s="29">
        <f>(SUMIF(G19:G27,"&lt;&gt;N",C19:C27)+SUMIF(H19:H27,"&lt;&gt;N",E19:E27))/SUM(C19:C27,E19:E27)</f>
        <v>0</v>
      </c>
      <c r="D34" s="29">
        <f>(SUMIF(G26:G28,"&lt;&gt;N",C26:C28)+(SUMIF(H26:H28,"&lt;&gt;N",E26:E28))*B6)/(SUM(C26:C28)+(SUM(E26:E28)*B6))</f>
        <v>0</v>
      </c>
      <c r="E34" s="27"/>
      <c r="F34" s="27"/>
      <c r="G34" s="27"/>
      <c r="H34" s="27"/>
      <c r="I34" s="27"/>
      <c r="J34" s="27"/>
      <c r="K34" s="27"/>
      <c r="L34" s="27"/>
    </row>
    <row r="38" spans="1:12" x14ac:dyDescent="0.25">
      <c r="A38" s="66" t="s">
        <v>46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x14ac:dyDescent="0.25">
      <c r="A39" s="27"/>
      <c r="B39" s="66" t="s">
        <v>47</v>
      </c>
      <c r="C39" s="66"/>
      <c r="D39" s="66"/>
      <c r="E39" s="66" t="s">
        <v>48</v>
      </c>
      <c r="F39" s="66"/>
      <c r="G39" s="66"/>
      <c r="H39" s="66" t="s">
        <v>49</v>
      </c>
      <c r="I39" s="66"/>
      <c r="J39" s="62"/>
      <c r="K39" s="27"/>
      <c r="L39" s="27"/>
    </row>
    <row r="40" spans="1:12" x14ac:dyDescent="0.25">
      <c r="A40" s="27" t="s">
        <v>11</v>
      </c>
      <c r="B40" s="27" t="s">
        <v>50</v>
      </c>
      <c r="C40" s="27" t="s">
        <v>51</v>
      </c>
      <c r="D40" s="27" t="s">
        <v>52</v>
      </c>
      <c r="E40" s="27" t="s">
        <v>53</v>
      </c>
      <c r="F40" s="27" t="s">
        <v>54</v>
      </c>
      <c r="G40" s="27" t="s">
        <v>52</v>
      </c>
      <c r="H40" s="27" t="s">
        <v>47</v>
      </c>
      <c r="I40" s="27" t="s">
        <v>48</v>
      </c>
      <c r="J40" s="27" t="s">
        <v>2</v>
      </c>
      <c r="K40" s="27" t="s">
        <v>55</v>
      </c>
      <c r="L40" s="27" t="s">
        <v>19</v>
      </c>
    </row>
    <row r="41" spans="1:12" x14ac:dyDescent="0.25">
      <c r="A41" s="27" t="str">
        <f>A26</f>
        <v>Denmark</v>
      </c>
      <c r="B41" s="27">
        <f>C26</f>
        <v>1272</v>
      </c>
      <c r="C41" s="27">
        <f>ROUND(E26*$B$6,2)</f>
        <v>24.64</v>
      </c>
      <c r="D41" s="27">
        <f>B41+C41</f>
        <v>1296.6400000000001</v>
      </c>
      <c r="E41" s="27">
        <v>7361</v>
      </c>
      <c r="F41" s="27">
        <f>ROUND((E41*$B$5)*$B$7,2)</f>
        <v>91.28</v>
      </c>
      <c r="G41" s="27">
        <f t="shared" ref="G41:G43" si="8">E41+F41</f>
        <v>7452.28</v>
      </c>
      <c r="H41" s="29">
        <f>D41/K41</f>
        <v>0.14820572139189753</v>
      </c>
      <c r="I41" s="29">
        <f t="shared" ref="I41:I43" si="9">G41/K41</f>
        <v>0.85179427860810242</v>
      </c>
      <c r="J41" s="27"/>
      <c r="K41" s="27">
        <f t="shared" ref="K41:K43" si="10">G41+D41</f>
        <v>8748.92</v>
      </c>
      <c r="L41" s="60">
        <f>(D41*M26)/$D$44</f>
        <v>0.56433680719522461</v>
      </c>
    </row>
    <row r="42" spans="1:12" x14ac:dyDescent="0.25">
      <c r="A42" s="27" t="str">
        <f t="shared" ref="A42:A43" si="11">A27</f>
        <v>Germany</v>
      </c>
      <c r="B42" s="27">
        <f t="shared" ref="B42:B43" si="12">C27</f>
        <v>3032</v>
      </c>
      <c r="C42" s="27">
        <f t="shared" ref="C42:C43" si="13">ROUND(E27*$B$6,2)</f>
        <v>45.92</v>
      </c>
      <c r="D42" s="27">
        <f t="shared" ref="D42:D43" si="14">B42+C42</f>
        <v>3077.92</v>
      </c>
      <c r="E42" s="27">
        <v>2915</v>
      </c>
      <c r="F42" s="27">
        <f>ROUND((E42*$B$5)*$B$7,2)</f>
        <v>36.15</v>
      </c>
      <c r="G42" s="27">
        <f t="shared" si="8"/>
        <v>2951.15</v>
      </c>
      <c r="H42" s="29">
        <f t="shared" ref="H42:H44" si="15">D42/K42</f>
        <v>0.51051323006699212</v>
      </c>
      <c r="I42" s="29">
        <f t="shared" si="9"/>
        <v>0.48948676993300794</v>
      </c>
      <c r="J42" s="27"/>
      <c r="K42" s="27">
        <f t="shared" si="10"/>
        <v>6029.07</v>
      </c>
      <c r="L42" s="60">
        <f>(D42*M27)/$D$44</f>
        <v>0.66980177443327593</v>
      </c>
    </row>
    <row r="43" spans="1:12" x14ac:dyDescent="0.25">
      <c r="A43" s="27" t="str">
        <f t="shared" si="11"/>
        <v>Sweden</v>
      </c>
      <c r="B43" s="27">
        <f t="shared" si="12"/>
        <v>215</v>
      </c>
      <c r="C43" s="27">
        <f t="shared" si="13"/>
        <v>5.71</v>
      </c>
      <c r="D43" s="27">
        <f t="shared" si="14"/>
        <v>220.71</v>
      </c>
      <c r="E43" s="27">
        <v>2351</v>
      </c>
      <c r="F43" s="27">
        <f>ROUND((E43*$B$5)*$B$7,2)</f>
        <v>29.15</v>
      </c>
      <c r="G43" s="27">
        <f t="shared" si="8"/>
        <v>2380.15</v>
      </c>
      <c r="H43" s="29">
        <f t="shared" si="15"/>
        <v>8.486039233176719E-2</v>
      </c>
      <c r="I43" s="29">
        <f t="shared" si="9"/>
        <v>0.91513960766823277</v>
      </c>
      <c r="J43" s="27"/>
      <c r="K43" s="27">
        <f t="shared" si="10"/>
        <v>2600.86</v>
      </c>
      <c r="L43" s="60">
        <f>(D43*M28)/$D$44</f>
        <v>-0.14408946590733512</v>
      </c>
    </row>
    <row r="44" spans="1:12" x14ac:dyDescent="0.25">
      <c r="A44" s="27" t="s">
        <v>73</v>
      </c>
      <c r="B44" s="27">
        <f>SUM(B41:B43)</f>
        <v>4519</v>
      </c>
      <c r="C44" s="27">
        <f>SUM(C41:C43)</f>
        <v>76.27</v>
      </c>
      <c r="D44" s="27">
        <f>SUM(D41:D43)</f>
        <v>4595.2700000000004</v>
      </c>
      <c r="E44">
        <f>SUM(E41:E43)</f>
        <v>12627</v>
      </c>
      <c r="F44" s="27">
        <f>B8*$B$7</f>
        <v>174.84</v>
      </c>
      <c r="G44" s="27">
        <f>E44+F44</f>
        <v>12801.84</v>
      </c>
      <c r="H44" s="29">
        <f t="shared" si="15"/>
        <v>0.2641398485150695</v>
      </c>
      <c r="I44" s="29">
        <f>G44/K44</f>
        <v>0.73586015148493056</v>
      </c>
      <c r="J44" s="27"/>
      <c r="K44" s="27">
        <f>G44+D44</f>
        <v>17397.11</v>
      </c>
      <c r="L44" s="60">
        <f>SUM(L41:L43)/D44</f>
        <v>2.3721111397614623E-4</v>
      </c>
    </row>
    <row r="45" spans="1:12" x14ac:dyDescent="0.25">
      <c r="A45" s="27"/>
      <c r="B45" s="27">
        <f>B41+B42</f>
        <v>4304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7" spans="1:12" x14ac:dyDescent="0.25">
      <c r="A47" s="65" t="s">
        <v>57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27"/>
    </row>
    <row r="48" spans="1:12" x14ac:dyDescent="0.25">
      <c r="A48" s="27" t="s">
        <v>11</v>
      </c>
      <c r="B48" s="27" t="s">
        <v>32</v>
      </c>
      <c r="C48" s="27" t="s">
        <v>14</v>
      </c>
      <c r="D48" s="27" t="s">
        <v>15</v>
      </c>
      <c r="E48" s="27" t="s">
        <v>16</v>
      </c>
      <c r="F48" s="27" t="s">
        <v>17</v>
      </c>
      <c r="G48" s="27" t="s">
        <v>58</v>
      </c>
      <c r="H48" s="27" t="s">
        <v>52</v>
      </c>
      <c r="I48" s="27"/>
      <c r="J48" s="27"/>
      <c r="K48" s="27"/>
      <c r="L48" s="27"/>
    </row>
    <row r="49" spans="1:11" x14ac:dyDescent="0.25">
      <c r="A49" s="41" t="s">
        <v>78</v>
      </c>
      <c r="B49" s="27">
        <f t="shared" ref="B49" si="16">B26</f>
        <v>386000</v>
      </c>
      <c r="C49" s="27">
        <f>B49/B27*C27</f>
        <v>7180.0736196319021</v>
      </c>
      <c r="D49" s="41">
        <f>B49/C17*E17</f>
        <v>5754525.8895705519</v>
      </c>
      <c r="E49" s="27">
        <f>B49/B27*E27</f>
        <v>970.92024539877309</v>
      </c>
      <c r="F49" s="27">
        <f>B49/C17*G17</f>
        <v>2696112.9079754604</v>
      </c>
      <c r="G49" s="41">
        <f>E49*$B$6</f>
        <v>108.74306748466259</v>
      </c>
      <c r="H49" s="41">
        <f>C49+G49</f>
        <v>7288.8166871165649</v>
      </c>
      <c r="I49" s="27"/>
      <c r="J49" s="27"/>
      <c r="K49" s="27"/>
    </row>
    <row r="50" spans="1:11" x14ac:dyDescent="0.25">
      <c r="A50" s="41" t="s">
        <v>79</v>
      </c>
      <c r="B50" s="27">
        <f t="shared" ref="A50:F51" si="17">B27</f>
        <v>163000</v>
      </c>
      <c r="C50" s="27">
        <f>B50/B26*C26</f>
        <v>537.13989637305701</v>
      </c>
      <c r="D50" s="27">
        <f>B50/B26*D26</f>
        <v>413184.73056994821</v>
      </c>
      <c r="E50" s="27">
        <f>B50/B26*E26</f>
        <v>92.901554404145074</v>
      </c>
      <c r="F50" s="27">
        <f>B50/B26*F26</f>
        <v>277614.75906735752</v>
      </c>
      <c r="G50" s="41">
        <f t="shared" ref="G50:G51" si="18">E50*$B$6</f>
        <v>10.404974093264249</v>
      </c>
      <c r="H50" s="41">
        <f t="shared" ref="H50:H51" si="19">C50+G50</f>
        <v>547.5448704663213</v>
      </c>
      <c r="I50" s="27"/>
      <c r="J50" s="27"/>
      <c r="K50" s="27"/>
    </row>
    <row r="51" spans="1:11" x14ac:dyDescent="0.25">
      <c r="A51" s="27" t="str">
        <f t="shared" si="17"/>
        <v>Sweden</v>
      </c>
      <c r="B51" s="27">
        <f t="shared" si="17"/>
        <v>565634</v>
      </c>
      <c r="C51" s="27">
        <f t="shared" si="17"/>
        <v>215</v>
      </c>
      <c r="D51" s="27">
        <f>D28</f>
        <v>165385</v>
      </c>
      <c r="E51" s="27">
        <f t="shared" si="17"/>
        <v>51</v>
      </c>
      <c r="F51" s="27">
        <f t="shared" si="17"/>
        <v>152663</v>
      </c>
      <c r="G51" s="41">
        <f t="shared" si="18"/>
        <v>5.7119999999999997</v>
      </c>
      <c r="H51" s="41">
        <f t="shared" si="19"/>
        <v>220.71199999999999</v>
      </c>
      <c r="I51" s="41" t="s">
        <v>61</v>
      </c>
      <c r="J51" s="41" t="s">
        <v>62</v>
      </c>
      <c r="K51" s="41" t="s">
        <v>63</v>
      </c>
    </row>
    <row r="52" spans="1:11" x14ac:dyDescent="0.25">
      <c r="A52" s="27"/>
      <c r="B52" s="41"/>
      <c r="C52" s="41"/>
      <c r="D52" s="41"/>
      <c r="E52" s="41"/>
      <c r="F52" s="41"/>
      <c r="G52" s="41" t="s">
        <v>64</v>
      </c>
      <c r="H52" s="41">
        <v>6396.6186240000015</v>
      </c>
      <c r="I52">
        <v>2793.9253760000001</v>
      </c>
      <c r="J52">
        <v>3708.0353618637009</v>
      </c>
      <c r="K52" s="27" t="str">
        <f>IF((AND(H52&lt;=I52,H52&gt;=J52)),"Good","Bad")</f>
        <v>Bad</v>
      </c>
    </row>
    <row r="53" spans="1:11" x14ac:dyDescent="0.25">
      <c r="A53" s="27"/>
      <c r="B53" s="27"/>
      <c r="C53" s="27"/>
      <c r="D53" s="27"/>
      <c r="E53" s="27"/>
      <c r="F53" s="27"/>
      <c r="G53" s="41"/>
      <c r="H53" s="41"/>
      <c r="I53" s="27"/>
      <c r="J53" s="27"/>
      <c r="K53" s="27"/>
    </row>
    <row r="54" spans="1:11" x14ac:dyDescent="0.25">
      <c r="A54" s="27"/>
      <c r="B54" s="41"/>
      <c r="C54" s="27"/>
      <c r="D54" s="27"/>
      <c r="E54" s="27"/>
      <c r="F54" s="27"/>
      <c r="G54" s="27"/>
      <c r="H54" s="27"/>
      <c r="I54" s="27"/>
      <c r="J54" s="27"/>
      <c r="K54" s="27"/>
    </row>
    <row r="58" spans="1:11" x14ac:dyDescent="0.25">
      <c r="A58" s="27"/>
      <c r="B58" s="27"/>
      <c r="C58" s="61"/>
      <c r="D58" s="61"/>
      <c r="E58" s="27"/>
      <c r="F58" s="27"/>
      <c r="G58" s="27"/>
      <c r="H58" s="27"/>
      <c r="I58" s="27"/>
      <c r="J58" s="27"/>
      <c r="K58" s="27"/>
    </row>
    <row r="59" spans="1:11" x14ac:dyDescent="0.25">
      <c r="A59" s="27"/>
      <c r="B59" s="27"/>
      <c r="C59" s="61"/>
      <c r="D59" s="27"/>
      <c r="E59" s="27"/>
      <c r="F59" s="27"/>
      <c r="G59" s="27"/>
      <c r="H59" s="27"/>
      <c r="I59" s="27"/>
      <c r="J59" s="27"/>
      <c r="K59" s="27"/>
    </row>
  </sheetData>
  <mergeCells count="9">
    <mergeCell ref="B39:D39"/>
    <mergeCell ref="E39:G39"/>
    <mergeCell ref="H39:I39"/>
    <mergeCell ref="A47:K47"/>
    <mergeCell ref="A14:H14"/>
    <mergeCell ref="A24:I24"/>
    <mergeCell ref="J24:L24"/>
    <mergeCell ref="A32:C32"/>
    <mergeCell ref="A38:L3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M72"/>
  <sheetViews>
    <sheetView zoomScale="70" zoomScaleNormal="70" workbookViewId="0">
      <selection activeCell="A42" sqref="A42"/>
    </sheetView>
  </sheetViews>
  <sheetFormatPr defaultColWidth="9.140625" defaultRowHeight="15" x14ac:dyDescent="0.25"/>
  <cols>
    <col min="1" max="1" width="34.7109375" bestFit="1" customWidth="1"/>
    <col min="2" max="2" width="15.7109375" bestFit="1" customWidth="1"/>
    <col min="3" max="3" width="35.5703125" customWidth="1"/>
    <col min="4" max="5" width="17.5703125" bestFit="1" customWidth="1"/>
    <col min="6" max="6" width="18" bestFit="1" customWidth="1"/>
    <col min="7" max="7" width="24" bestFit="1" customWidth="1"/>
    <col min="8" max="8" width="24.28515625" bestFit="1" customWidth="1"/>
    <col min="9" max="9" width="12.5703125" bestFit="1" customWidth="1"/>
    <col min="10" max="10" width="22.28515625" bestFit="1" customWidth="1"/>
    <col min="11" max="11" width="22.7109375" bestFit="1" customWidth="1"/>
  </cols>
  <sheetData>
    <row r="1" spans="1:9" x14ac:dyDescent="0.25">
      <c r="A1" t="s">
        <v>0</v>
      </c>
      <c r="B1" t="s">
        <v>1</v>
      </c>
      <c r="C1" t="s">
        <v>2</v>
      </c>
    </row>
    <row r="2" spans="1:9" x14ac:dyDescent="0.25">
      <c r="A2" t="s">
        <v>3</v>
      </c>
      <c r="B2" s="8" t="e">
        <f>(SUMIFS('Baltic recreational landings'!D2:D14,'Baltic recreational landings'!D2:D14,"&lt;&gt;NA",'Baltic recreational landings'!E2:E14,"&lt;&gt;NA")/SUMIFS('Baltic recreational landings'!E2:E14,'Baltic recreational landings'!E2:E14,"&lt;&gt;NA",'Baltic recreational landings'!D2:D14,"&lt;&gt;NA"))*1000</f>
        <v>#DIV/0!</v>
      </c>
      <c r="C2" s="33"/>
    </row>
    <row r="3" spans="1:9" x14ac:dyDescent="0.25">
      <c r="A3" t="s">
        <v>4</v>
      </c>
      <c r="B3" s="8" t="e">
        <f>(SUMIFS('Baltic recreational landings'!F2:F14,'Baltic recreational landings'!F2:F14,"&lt;&gt;NA",'Baltic recreational landings'!G2:G14,"&lt;&gt;NA")/SUMIFS('Baltic recreational landings'!G2:G14,'Baltic recreational landings'!G2:G14,"&lt;&gt;NA",'Baltic recreational landings'!F2:F14,"&lt;&gt;NA"))*1000</f>
        <v>#DIV/0!</v>
      </c>
      <c r="C3" s="33"/>
    </row>
    <row r="4" spans="1:9" x14ac:dyDescent="0.25">
      <c r="A4" t="s">
        <v>80</v>
      </c>
      <c r="B4" t="e">
        <f>SUMIFS('Baltic recreational landings'!F2:F14,'Baltic recreational landings'!F2:F14,"&lt;&gt;NA",'Baltic recreational landings'!D2:D14,"&lt;&gt;NA")/SUMIFS('Baltic recreational landings'!D2:D14,'Baltic recreational landings'!F2:F14,"&lt;&gt;NA",'Baltic recreational landings'!D2:D14,"&lt;&gt;NA")</f>
        <v>#DIV/0!</v>
      </c>
    </row>
    <row r="5" spans="1:9" x14ac:dyDescent="0.25">
      <c r="A5" t="s">
        <v>5</v>
      </c>
      <c r="B5" t="e">
        <f>SUMIFS('Baltic recreational landings'!G2:G14,'Baltic recreational landings'!G2:G14,"&lt;&gt;NA",'Baltic recreational landings'!E2:E14,"&lt;&gt;NA")/SUMIFS('Baltic recreational landings'!E2:E14,'Baltic recreational landings'!G2:G14,"&lt;&gt;NA",'Baltic recreational landings'!E2:E14,"&lt;&gt;NA")</f>
        <v>#DIV/0!</v>
      </c>
    </row>
    <row r="6" spans="1:9" x14ac:dyDescent="0.25">
      <c r="A6" t="s">
        <v>66</v>
      </c>
      <c r="B6">
        <f>(6795 + 564)/59644</f>
        <v>0.12338206693045403</v>
      </c>
      <c r="C6" t="str">
        <f>'Discard rate'!B2</f>
        <v>WGCSE (2017)</v>
      </c>
    </row>
    <row r="7" spans="1:9" x14ac:dyDescent="0.25">
      <c r="A7" t="s">
        <v>7</v>
      </c>
      <c r="B7">
        <f>'Discard Mortality'!E2</f>
        <v>0.112</v>
      </c>
      <c r="C7" t="str">
        <f>'Discard Mortality'!F2</f>
        <v>Welterbach &amp; Strehlow (2013)</v>
      </c>
    </row>
    <row r="8" spans="1:9" x14ac:dyDescent="0.25">
      <c r="A8" t="s">
        <v>8</v>
      </c>
      <c r="B8" s="27">
        <f>'Discard Mortality'!A2</f>
        <v>0.31</v>
      </c>
      <c r="C8" s="27" t="str">
        <f>'Discard Mortality'!B2</f>
        <v>Depestele et al. (2014)</v>
      </c>
    </row>
    <row r="9" spans="1:9" x14ac:dyDescent="0.25">
      <c r="A9" s="41" t="s">
        <v>76</v>
      </c>
      <c r="B9">
        <v>6795</v>
      </c>
    </row>
    <row r="13" spans="1:9" x14ac:dyDescent="0.25">
      <c r="A13" s="70" t="s">
        <v>10</v>
      </c>
      <c r="B13" s="70"/>
      <c r="C13" s="70"/>
      <c r="D13" s="70"/>
      <c r="E13" s="70"/>
      <c r="F13" s="70"/>
      <c r="G13" s="70"/>
      <c r="H13" s="70"/>
    </row>
    <row r="14" spans="1:9" x14ac:dyDescent="0.25">
      <c r="A14" t="s">
        <v>11</v>
      </c>
      <c r="B14" t="s">
        <v>12</v>
      </c>
      <c r="C14" t="s">
        <v>13</v>
      </c>
      <c r="D14" t="s">
        <v>14</v>
      </c>
      <c r="E14" t="s">
        <v>15</v>
      </c>
      <c r="F14" t="s">
        <v>16</v>
      </c>
      <c r="G14" t="s">
        <v>17</v>
      </c>
      <c r="H14" t="s">
        <v>2</v>
      </c>
      <c r="I14" t="s">
        <v>18</v>
      </c>
    </row>
    <row r="15" spans="1:9" x14ac:dyDescent="0.25">
      <c r="A15" t="s">
        <v>81</v>
      </c>
      <c r="B15" s="27">
        <f>VLOOKUP($A15,'Baltic recreational landings'!$A$1:$L$14,2,FALSE)</f>
        <v>2014</v>
      </c>
      <c r="C15" s="28">
        <f>VLOOKUP(A15,'Baltic recreational landings'!$A$1:$L$14,3,FALSE)</f>
        <v>20000</v>
      </c>
      <c r="D15" s="27">
        <f>VLOOKUP($A15,'Baltic recreational landings'!$A$1:$L$14,4,FALSE)</f>
        <v>0.9</v>
      </c>
      <c r="E15" s="27" t="str">
        <f>VLOOKUP($A15,'Baltic recreational landings'!$A$1:$L$14,5,FALSE)</f>
        <v>NA</v>
      </c>
      <c r="F15" s="27" t="str">
        <f>VLOOKUP($A15,'Baltic recreational landings'!$A$1:$L$14,6,FALSE)</f>
        <v>NA</v>
      </c>
      <c r="G15" s="27" t="str">
        <f>VLOOKUP($A15,'Baltic recreational landings'!$A$1:$L$14,7,FALSE)</f>
        <v>NA</v>
      </c>
      <c r="H15" s="27" t="str">
        <f>VLOOKUP($A15,'Baltic recreational landings'!$A$1:$L$14,12,FALSE)</f>
        <v>WGRFS (2016)</v>
      </c>
    </row>
    <row r="16" spans="1:9" x14ac:dyDescent="0.25">
      <c r="A16" t="s">
        <v>82</v>
      </c>
      <c r="B16" s="27">
        <f>VLOOKUP($A16,'Baltic recreational landings'!$A$1:$L$14,2,FALSE)</f>
        <v>2014</v>
      </c>
      <c r="C16" s="28">
        <f>VLOOKUP(A16,'Baltic recreational landings'!$A$1:$L$14,3,FALSE)</f>
        <v>300000</v>
      </c>
      <c r="D16" s="27">
        <f>VLOOKUP($A16,'Baltic recreational landings'!$A$1:$L$14,4,FALSE)</f>
        <v>0</v>
      </c>
      <c r="E16" s="27" t="str">
        <f>VLOOKUP($A16,'Baltic recreational landings'!$A$1:$L$14,5,FALSE)</f>
        <v>NA</v>
      </c>
      <c r="F16" s="27" t="str">
        <f>VLOOKUP($A16,'Baltic recreational landings'!$A$1:$L$14,6,FALSE)</f>
        <v>NA</v>
      </c>
      <c r="G16" s="27" t="str">
        <f>VLOOKUP($A16,'Baltic recreational landings'!$A$1:$L$14,7,FALSE)</f>
        <v>NA</v>
      </c>
      <c r="H16" s="27" t="str">
        <f>VLOOKUP($A16,'Baltic recreational landings'!$A$1:$L$14,12,FALSE)</f>
        <v>WGRFS (2016)</v>
      </c>
    </row>
    <row r="17" spans="1:13" x14ac:dyDescent="0.25">
      <c r="A17" t="s">
        <v>83</v>
      </c>
      <c r="B17" s="27">
        <f>VLOOKUP($A17,'Baltic recreational landings'!$A$1:$L$14,2,FALSE)</f>
        <v>2012</v>
      </c>
      <c r="C17" s="28">
        <f>VLOOKUP(A17,'Baltic recreational landings'!$A$1:$L$14,3,FALSE)</f>
        <v>41000</v>
      </c>
      <c r="D17" s="27">
        <f>VLOOKUP($A17,'Baltic recreational landings'!$A$1:$L$14,4,FALSE)</f>
        <v>0.1</v>
      </c>
      <c r="E17" s="27" t="str">
        <f>VLOOKUP($A17,'Baltic recreational landings'!$A$1:$L$14,5,FALSE)</f>
        <v>NA</v>
      </c>
      <c r="F17" s="27" t="str">
        <f>VLOOKUP($A17,'Baltic recreational landings'!$A$1:$L$14,6,FALSE)</f>
        <v>NA</v>
      </c>
      <c r="G17" s="27" t="str">
        <f>VLOOKUP($A17,'Baltic recreational landings'!$A$1:$L$14,7,FALSE)</f>
        <v>NA</v>
      </c>
      <c r="H17" s="27" t="str">
        <f>VLOOKUP($A17,'Baltic recreational landings'!$A$1:$L$14,12,FALSE)</f>
        <v>WGRFS (2016)</v>
      </c>
    </row>
    <row r="18" spans="1:13" x14ac:dyDescent="0.25">
      <c r="A18" t="s">
        <v>84</v>
      </c>
      <c r="B18" s="27">
        <f>VLOOKUP($A18,'Baltic recreational landings'!$A$1:$L$14,2,FALSE)</f>
        <v>2015</v>
      </c>
      <c r="C18" s="28">
        <f>VLOOKUP(A18,'Baltic recreational landings'!$A$1:$L$14,3,FALSE)</f>
        <v>60000</v>
      </c>
      <c r="D18" s="27">
        <f>VLOOKUP($A18,'Baltic recreational landings'!$A$1:$L$14,4,FALSE)</f>
        <v>30</v>
      </c>
      <c r="E18" s="27" t="str">
        <f>VLOOKUP($A18,'Baltic recreational landings'!$A$1:$L$14,5,FALSE)</f>
        <v>NA</v>
      </c>
      <c r="F18" s="27" t="str">
        <f>VLOOKUP($A18,'Baltic recreational landings'!$A$1:$L$14,6,FALSE)</f>
        <v>NA</v>
      </c>
      <c r="G18" s="27" t="str">
        <f>VLOOKUP($A18,'Baltic recreational landings'!$A$1:$L$14,7,FALSE)</f>
        <v>NA</v>
      </c>
      <c r="H18" s="27" t="str">
        <f>VLOOKUP($A18,'Baltic recreational landings'!$A$1:$L$14,12,FALSE)</f>
        <v>WGRFS (2016)</v>
      </c>
    </row>
    <row r="19" spans="1:13" x14ac:dyDescent="0.25">
      <c r="A19" t="s">
        <v>85</v>
      </c>
      <c r="B19" s="27">
        <f>VLOOKUP($A19,'Baltic recreational landings'!$A$1:$L$14,2,FALSE)</f>
        <v>2015</v>
      </c>
      <c r="C19" s="28">
        <f>VLOOKUP(A19,'Baltic recreational landings'!$A$1:$L$14,3,FALSE)</f>
        <v>82000</v>
      </c>
      <c r="D19" s="27">
        <f>VLOOKUP($A19,'Baltic recreational landings'!$A$1:$L$14,4,FALSE)</f>
        <v>857</v>
      </c>
      <c r="E19" s="27" t="str">
        <f>VLOOKUP($A19,'Baltic recreational landings'!$A$1:$L$14,5,FALSE)</f>
        <v>NA</v>
      </c>
      <c r="F19" s="27" t="str">
        <f>VLOOKUP($A19,'Baltic recreational landings'!$A$1:$L$14,6,FALSE)</f>
        <v>NA</v>
      </c>
      <c r="G19" s="27" t="str">
        <f>VLOOKUP($A19,'Baltic recreational landings'!$A$1:$L$14,7,FALSE)</f>
        <v>NA</v>
      </c>
      <c r="H19" s="27" t="str">
        <f>VLOOKUP($A19,'Baltic recreational landings'!$A$1:$L$14,12,FALSE)</f>
        <v>WGRFS (2016)</v>
      </c>
    </row>
    <row r="20" spans="1:13" x14ac:dyDescent="0.25">
      <c r="A20" t="s">
        <v>22</v>
      </c>
      <c r="B20" s="27">
        <f>VLOOKUP($A20,'Baltic recreational landings'!$A$1:$L$14,2,FALSE)</f>
        <v>2015</v>
      </c>
      <c r="C20" s="28">
        <f>VLOOKUP(A20,'Baltic recreational landings'!$A$1:$L$14,3,FALSE)</f>
        <v>565634</v>
      </c>
      <c r="D20" s="27" t="str">
        <f>VLOOKUP($A20,'Baltic recreational landings'!$A$1:$L$14,4,FALSE)</f>
        <v>NA</v>
      </c>
      <c r="E20" s="27" t="str">
        <f>VLOOKUP($A20,'Baltic recreational landings'!$A$1:$L$14,5,FALSE)</f>
        <v>NA</v>
      </c>
      <c r="F20" s="27" t="str">
        <f>VLOOKUP($A20,'Baltic recreational landings'!$A$1:$L$14,6,FALSE)</f>
        <v>NA</v>
      </c>
      <c r="G20" s="27" t="str">
        <f>VLOOKUP($A20,'Baltic recreational landings'!$A$1:$L$14,7,FALSE)</f>
        <v>NA</v>
      </c>
      <c r="H20" s="27" t="str">
        <f>VLOOKUP($A20,'Baltic recreational landings'!$A$1:$L$14,12,FALSE)</f>
        <v>Hyder et al. (2018)</v>
      </c>
    </row>
    <row r="25" spans="1:13" x14ac:dyDescent="0.25">
      <c r="A25" s="70" t="s">
        <v>30</v>
      </c>
      <c r="B25" s="70"/>
      <c r="C25" s="70"/>
      <c r="D25" s="70"/>
      <c r="E25" s="70"/>
      <c r="F25" s="70"/>
      <c r="G25" s="70"/>
      <c r="H25" s="70"/>
      <c r="I25" s="70"/>
      <c r="J25" s="70" t="s">
        <v>31</v>
      </c>
      <c r="K25" s="70"/>
      <c r="L25" s="70"/>
    </row>
    <row r="26" spans="1:13" x14ac:dyDescent="0.25">
      <c r="A26" t="s">
        <v>11</v>
      </c>
      <c r="B26" t="s">
        <v>32</v>
      </c>
      <c r="C26" t="s">
        <v>14</v>
      </c>
      <c r="D26" t="s">
        <v>15</v>
      </c>
      <c r="E26" t="s">
        <v>16</v>
      </c>
      <c r="F26" t="s">
        <v>17</v>
      </c>
      <c r="G26" t="s">
        <v>33</v>
      </c>
      <c r="H26" t="s">
        <v>34</v>
      </c>
      <c r="I26" t="s">
        <v>35</v>
      </c>
      <c r="J26" t="s">
        <v>36</v>
      </c>
      <c r="K26" t="s">
        <v>37</v>
      </c>
      <c r="L26" t="s">
        <v>18</v>
      </c>
      <c r="M26" t="s">
        <v>19</v>
      </c>
    </row>
    <row r="27" spans="1:13" x14ac:dyDescent="0.25">
      <c r="A27" t="str">
        <f>A15</f>
        <v>Estonia</v>
      </c>
      <c r="B27" s="6">
        <f>C15</f>
        <v>20000</v>
      </c>
      <c r="C27">
        <f>ROUND(IF(I27 = "SE",B27/$C$20*$D$20,IF(I27 = "None",D15, IF(I27 = "LT", B27/$C$18*$D$18,"help"))),2)</f>
        <v>0.9</v>
      </c>
      <c r="D27" t="s">
        <v>86</v>
      </c>
      <c r="E27" t="s">
        <v>86</v>
      </c>
      <c r="F27" t="s">
        <v>86</v>
      </c>
      <c r="G27" t="s">
        <v>71</v>
      </c>
      <c r="H27" t="s">
        <v>71</v>
      </c>
      <c r="I27" t="s">
        <v>38</v>
      </c>
      <c r="J27" t="s">
        <v>87</v>
      </c>
      <c r="K27" t="s">
        <v>87</v>
      </c>
    </row>
    <row r="28" spans="1:13" x14ac:dyDescent="0.25">
      <c r="A28" t="str">
        <f t="shared" ref="A28:A32" si="0">A16</f>
        <v>Finland</v>
      </c>
      <c r="B28" s="6">
        <f t="shared" ref="B28:B32" si="1">C16</f>
        <v>300000</v>
      </c>
      <c r="C28">
        <f t="shared" ref="C28:C32" si="2">ROUND(IF(I28 = "SE",B28/$C$20*$D$20,IF(I28 = "None",D16, IF(I28 = "LT", B28/$C$18*$D$18,"help"))),2)</f>
        <v>0</v>
      </c>
      <c r="D28" t="s">
        <v>86</v>
      </c>
      <c r="E28" t="s">
        <v>86</v>
      </c>
      <c r="F28" t="s">
        <v>86</v>
      </c>
      <c r="G28" t="s">
        <v>71</v>
      </c>
      <c r="H28" t="s">
        <v>71</v>
      </c>
      <c r="I28" t="s">
        <v>38</v>
      </c>
      <c r="J28" t="s">
        <v>87</v>
      </c>
      <c r="K28" t="s">
        <v>87</v>
      </c>
    </row>
    <row r="29" spans="1:13" x14ac:dyDescent="0.25">
      <c r="A29" t="str">
        <f t="shared" si="0"/>
        <v>Latvia</v>
      </c>
      <c r="B29" s="6">
        <f t="shared" si="1"/>
        <v>41000</v>
      </c>
      <c r="C29">
        <f t="shared" si="2"/>
        <v>0.1</v>
      </c>
      <c r="D29" t="s">
        <v>86</v>
      </c>
      <c r="E29" t="s">
        <v>86</v>
      </c>
      <c r="F29" t="s">
        <v>86</v>
      </c>
      <c r="G29" t="s">
        <v>71</v>
      </c>
      <c r="H29" t="s">
        <v>71</v>
      </c>
      <c r="I29" t="s">
        <v>38</v>
      </c>
      <c r="J29" t="s">
        <v>87</v>
      </c>
      <c r="K29" t="s">
        <v>87</v>
      </c>
    </row>
    <row r="30" spans="1:13" x14ac:dyDescent="0.25">
      <c r="A30" t="str">
        <f t="shared" si="0"/>
        <v>Lithuania</v>
      </c>
      <c r="B30" s="6">
        <f t="shared" si="1"/>
        <v>60000</v>
      </c>
      <c r="C30">
        <f t="shared" si="2"/>
        <v>30</v>
      </c>
      <c r="D30" t="s">
        <v>86</v>
      </c>
      <c r="E30" t="s">
        <v>86</v>
      </c>
      <c r="F30" t="s">
        <v>86</v>
      </c>
      <c r="G30" t="s">
        <v>71</v>
      </c>
      <c r="H30" t="s">
        <v>71</v>
      </c>
      <c r="I30" t="s">
        <v>38</v>
      </c>
      <c r="J30" t="s">
        <v>87</v>
      </c>
      <c r="K30" t="s">
        <v>87</v>
      </c>
    </row>
    <row r="31" spans="1:13" x14ac:dyDescent="0.25">
      <c r="A31" t="str">
        <f t="shared" si="0"/>
        <v>Poland</v>
      </c>
      <c r="B31" s="6">
        <f t="shared" si="1"/>
        <v>82000</v>
      </c>
      <c r="C31">
        <f t="shared" si="2"/>
        <v>857</v>
      </c>
      <c r="D31" t="s">
        <v>86</v>
      </c>
      <c r="E31" t="s">
        <v>86</v>
      </c>
      <c r="F31" t="s">
        <v>86</v>
      </c>
      <c r="G31" t="s">
        <v>71</v>
      </c>
      <c r="H31" t="s">
        <v>71</v>
      </c>
      <c r="I31" t="s">
        <v>38</v>
      </c>
      <c r="J31" t="s">
        <v>87</v>
      </c>
      <c r="K31" t="s">
        <v>87</v>
      </c>
    </row>
    <row r="32" spans="1:13" x14ac:dyDescent="0.25">
      <c r="A32" t="str">
        <f t="shared" si="0"/>
        <v>Sweden</v>
      </c>
      <c r="B32" s="6">
        <f t="shared" si="1"/>
        <v>565634</v>
      </c>
      <c r="C32">
        <f t="shared" si="2"/>
        <v>282.82</v>
      </c>
      <c r="D32" t="s">
        <v>86</v>
      </c>
      <c r="E32" t="s">
        <v>86</v>
      </c>
      <c r="F32" t="s">
        <v>86</v>
      </c>
      <c r="G32" t="s">
        <v>72</v>
      </c>
      <c r="H32" t="s">
        <v>71</v>
      </c>
      <c r="I32" t="s">
        <v>88</v>
      </c>
      <c r="J32" t="s">
        <v>38</v>
      </c>
      <c r="K32" t="s">
        <v>38</v>
      </c>
    </row>
    <row r="36" spans="1:12" x14ac:dyDescent="0.25">
      <c r="A36" s="66" t="s">
        <v>43</v>
      </c>
      <c r="B36" s="66"/>
      <c r="C36" s="66"/>
    </row>
    <row r="37" spans="1:12" x14ac:dyDescent="0.25">
      <c r="A37" s="27" t="s">
        <v>14</v>
      </c>
      <c r="B37" s="27" t="s">
        <v>44</v>
      </c>
      <c r="C37" s="27" t="s">
        <v>45</v>
      </c>
    </row>
    <row r="38" spans="1:12" x14ac:dyDescent="0.25">
      <c r="A38" s="29">
        <f>SUMIF(G27:G32,"&lt;&gt;N",C27:C32)/SUM(C27:C32)</f>
        <v>0.75844280077210846</v>
      </c>
      <c r="B38" s="29" t="e">
        <f>SUMIF(H30:H32,"&lt;&gt;N",E30:E32)/SUM(E30:E32)</f>
        <v>#DIV/0!</v>
      </c>
      <c r="C38" s="29">
        <f>(SUMIF(G27:G32,"&lt;&gt;N",C27:C32)+SUMIF(H27:H32,"&lt;&gt;N",E27:E32))/SUM(C27:C32,E27:E32)</f>
        <v>0.75844280077210846</v>
      </c>
      <c r="D38" s="29"/>
    </row>
    <row r="39" spans="1:12" x14ac:dyDescent="0.25">
      <c r="E39" t="s">
        <v>89</v>
      </c>
    </row>
    <row r="43" spans="1:12" x14ac:dyDescent="0.25">
      <c r="A43" s="66" t="s">
        <v>46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x14ac:dyDescent="0.25">
      <c r="A44" s="27"/>
      <c r="B44" s="66" t="s">
        <v>47</v>
      </c>
      <c r="C44" s="66"/>
      <c r="D44" s="66"/>
      <c r="E44" s="66" t="s">
        <v>48</v>
      </c>
      <c r="F44" s="66"/>
      <c r="G44" s="66"/>
      <c r="H44" s="66" t="s">
        <v>49</v>
      </c>
      <c r="I44" s="66"/>
      <c r="J44" s="62"/>
      <c r="K44" s="27"/>
      <c r="L44" s="27"/>
    </row>
    <row r="45" spans="1:12" x14ac:dyDescent="0.25">
      <c r="A45" s="27" t="s">
        <v>11</v>
      </c>
      <c r="B45" s="27" t="s">
        <v>50</v>
      </c>
      <c r="C45" s="27" t="s">
        <v>51</v>
      </c>
      <c r="D45" s="27" t="s">
        <v>52</v>
      </c>
      <c r="E45" s="27" t="s">
        <v>53</v>
      </c>
      <c r="F45" s="27" t="s">
        <v>54</v>
      </c>
      <c r="G45" s="27" t="s">
        <v>52</v>
      </c>
      <c r="H45" s="27" t="s">
        <v>47</v>
      </c>
      <c r="I45" s="27" t="s">
        <v>48</v>
      </c>
      <c r="J45" s="27" t="s">
        <v>2</v>
      </c>
      <c r="K45" s="27" t="s">
        <v>55</v>
      </c>
      <c r="L45" s="27" t="s">
        <v>19</v>
      </c>
    </row>
    <row r="46" spans="1:12" x14ac:dyDescent="0.25">
      <c r="A46" t="str">
        <f>A27</f>
        <v>Estonia</v>
      </c>
      <c r="B46">
        <f>C27</f>
        <v>0.9</v>
      </c>
      <c r="C46">
        <v>0</v>
      </c>
      <c r="D46">
        <f>B46+C46</f>
        <v>0.9</v>
      </c>
      <c r="E46" s="34">
        <v>686</v>
      </c>
      <c r="F46">
        <f>ROUND((E46*$B$6)*$B$8,2)</f>
        <v>26.24</v>
      </c>
      <c r="G46">
        <f t="shared" ref="G46:G51" si="3">E46+F46</f>
        <v>712.24</v>
      </c>
      <c r="H46" s="5">
        <f>D46/$K46</f>
        <v>1.3102343863735624E-3</v>
      </c>
      <c r="I46" s="5">
        <f>E46/$K46</f>
        <v>0.99868976561362643</v>
      </c>
      <c r="K46">
        <f>E46+D46</f>
        <v>686.9</v>
      </c>
    </row>
    <row r="47" spans="1:12" x14ac:dyDescent="0.25">
      <c r="A47" t="str">
        <f t="shared" ref="A47:A51" si="4">A28</f>
        <v>Finland</v>
      </c>
      <c r="B47">
        <f t="shared" ref="B47:B51" si="5">C28</f>
        <v>0</v>
      </c>
      <c r="C47">
        <v>0</v>
      </c>
      <c r="D47">
        <f t="shared" ref="D47:D51" si="6">B47+C47</f>
        <v>0</v>
      </c>
      <c r="E47" s="34">
        <v>1405</v>
      </c>
      <c r="F47">
        <f t="shared" ref="F47:F51" si="7">ROUND((E47*$B$6)*$B$8,2)</f>
        <v>53.74</v>
      </c>
      <c r="G47">
        <f t="shared" si="3"/>
        <v>1458.74</v>
      </c>
      <c r="H47" s="5">
        <f t="shared" ref="H47:I52" si="8">D47/$K47</f>
        <v>0</v>
      </c>
      <c r="I47" s="5">
        <f t="shared" si="8"/>
        <v>1</v>
      </c>
      <c r="K47">
        <f t="shared" ref="K47:K52" si="9">E47+D47</f>
        <v>1405</v>
      </c>
    </row>
    <row r="48" spans="1:12" x14ac:dyDescent="0.25">
      <c r="A48" t="str">
        <f t="shared" si="4"/>
        <v>Latvia</v>
      </c>
      <c r="B48">
        <f t="shared" si="5"/>
        <v>0.1</v>
      </c>
      <c r="C48">
        <v>0</v>
      </c>
      <c r="D48">
        <f t="shared" si="6"/>
        <v>0.1</v>
      </c>
      <c r="E48" s="34">
        <v>4269</v>
      </c>
      <c r="F48">
        <f t="shared" si="7"/>
        <v>163.28</v>
      </c>
      <c r="G48">
        <f t="shared" si="3"/>
        <v>4432.28</v>
      </c>
      <c r="H48" s="5">
        <f t="shared" si="8"/>
        <v>2.3424140919631773E-5</v>
      </c>
      <c r="I48" s="5">
        <f t="shared" si="8"/>
        <v>0.99997657585908029</v>
      </c>
      <c r="K48">
        <f t="shared" si="9"/>
        <v>4269.1000000000004</v>
      </c>
    </row>
    <row r="49" spans="1:11" x14ac:dyDescent="0.25">
      <c r="A49" t="str">
        <f t="shared" si="4"/>
        <v>Lithuania</v>
      </c>
      <c r="B49">
        <f t="shared" si="5"/>
        <v>30</v>
      </c>
      <c r="C49">
        <v>0</v>
      </c>
      <c r="D49">
        <f t="shared" si="6"/>
        <v>30</v>
      </c>
      <c r="E49" s="34">
        <v>2261</v>
      </c>
      <c r="F49">
        <f>ROUND((E49*$B$6)*$B$8,2)</f>
        <v>86.48</v>
      </c>
      <c r="G49">
        <f t="shared" si="3"/>
        <v>2347.48</v>
      </c>
      <c r="H49" s="5">
        <f t="shared" si="8"/>
        <v>1.3094718463553033E-2</v>
      </c>
      <c r="I49" s="5">
        <f t="shared" si="8"/>
        <v>0.98690528153644697</v>
      </c>
      <c r="K49">
        <f t="shared" si="9"/>
        <v>2291</v>
      </c>
    </row>
    <row r="50" spans="1:11" x14ac:dyDescent="0.25">
      <c r="A50" t="str">
        <f t="shared" si="4"/>
        <v>Poland</v>
      </c>
      <c r="B50">
        <f t="shared" si="5"/>
        <v>857</v>
      </c>
      <c r="C50">
        <v>0</v>
      </c>
      <c r="D50">
        <f t="shared" si="6"/>
        <v>857</v>
      </c>
      <c r="E50" s="34">
        <v>14007</v>
      </c>
      <c r="F50">
        <f t="shared" si="7"/>
        <v>535.75</v>
      </c>
      <c r="G50">
        <f t="shared" si="3"/>
        <v>14542.75</v>
      </c>
      <c r="H50" s="5">
        <f t="shared" si="8"/>
        <v>5.7656081808396126E-2</v>
      </c>
      <c r="I50" s="5">
        <f t="shared" si="8"/>
        <v>0.9423439181916039</v>
      </c>
      <c r="K50">
        <f t="shared" si="9"/>
        <v>14864</v>
      </c>
    </row>
    <row r="51" spans="1:11" x14ac:dyDescent="0.25">
      <c r="A51" t="str">
        <f t="shared" si="4"/>
        <v>Sweden</v>
      </c>
      <c r="B51">
        <f t="shared" si="5"/>
        <v>282.82</v>
      </c>
      <c r="C51">
        <v>0</v>
      </c>
      <c r="D51">
        <f t="shared" si="6"/>
        <v>282.82</v>
      </c>
      <c r="E51" s="34">
        <v>10109</v>
      </c>
      <c r="F51">
        <f t="shared" si="7"/>
        <v>386.65</v>
      </c>
      <c r="G51">
        <f t="shared" si="3"/>
        <v>10495.65</v>
      </c>
      <c r="H51" s="5">
        <f t="shared" si="8"/>
        <v>2.7215636914419226E-2</v>
      </c>
      <c r="I51" s="5">
        <f t="shared" si="8"/>
        <v>0.97278436308558081</v>
      </c>
      <c r="K51">
        <f t="shared" si="9"/>
        <v>10391.82</v>
      </c>
    </row>
    <row r="52" spans="1:11" x14ac:dyDescent="0.25">
      <c r="A52" t="s">
        <v>73</v>
      </c>
      <c r="B52">
        <f>SUM(B46:B51)</f>
        <v>1170.82</v>
      </c>
      <c r="C52">
        <f t="shared" ref="C52:D52" si="10">SUM(C46:C51)</f>
        <v>0</v>
      </c>
      <c r="D52">
        <f t="shared" si="10"/>
        <v>1170.82</v>
      </c>
      <c r="E52" s="34">
        <v>51225</v>
      </c>
      <c r="F52">
        <f>B9*B8</f>
        <v>2106.4499999999998</v>
      </c>
      <c r="G52">
        <f>E52+F52</f>
        <v>53331.45</v>
      </c>
      <c r="H52" s="5">
        <f t="shared" si="8"/>
        <v>2.2345675666494005E-2</v>
      </c>
      <c r="I52" s="5">
        <f t="shared" si="8"/>
        <v>0.97765432433350596</v>
      </c>
      <c r="K52">
        <f t="shared" si="9"/>
        <v>52395.82</v>
      </c>
    </row>
    <row r="57" spans="1:11" x14ac:dyDescent="0.25">
      <c r="C57" s="34"/>
    </row>
    <row r="66" spans="7:10" x14ac:dyDescent="0.25">
      <c r="G66" t="s">
        <v>81</v>
      </c>
      <c r="H66">
        <f>B46/$B$52</f>
        <v>7.6869202780956939E-4</v>
      </c>
      <c r="I66">
        <f>E46/$E$52</f>
        <v>1.3391898487066862E-2</v>
      </c>
    </row>
    <row r="67" spans="7:10" x14ac:dyDescent="0.25">
      <c r="G67" t="s">
        <v>82</v>
      </c>
      <c r="H67">
        <f t="shared" ref="H67:H71" si="11">B47/$B$52</f>
        <v>0</v>
      </c>
      <c r="I67">
        <f t="shared" ref="I67:I71" si="12">E47/$E$52</f>
        <v>2.7428013665202537E-2</v>
      </c>
    </row>
    <row r="68" spans="7:10" x14ac:dyDescent="0.25">
      <c r="G68" t="s">
        <v>83</v>
      </c>
      <c r="H68">
        <f t="shared" si="11"/>
        <v>8.5410225312174378E-5</v>
      </c>
      <c r="I68">
        <f t="shared" si="12"/>
        <v>8.3338213762811128E-2</v>
      </c>
    </row>
    <row r="69" spans="7:10" x14ac:dyDescent="0.25">
      <c r="G69" t="s">
        <v>84</v>
      </c>
      <c r="H69">
        <f t="shared" si="11"/>
        <v>2.5623067593652314E-2</v>
      </c>
      <c r="I69">
        <f t="shared" si="12"/>
        <v>4.4138604197169348E-2</v>
      </c>
    </row>
    <row r="70" spans="7:10" x14ac:dyDescent="0.25">
      <c r="G70" t="s">
        <v>85</v>
      </c>
      <c r="H70">
        <f t="shared" si="11"/>
        <v>0.7319656309253344</v>
      </c>
      <c r="I70">
        <f t="shared" si="12"/>
        <v>0.27344070278184479</v>
      </c>
    </row>
    <row r="71" spans="7:10" x14ac:dyDescent="0.25">
      <c r="G71" t="s">
        <v>22</v>
      </c>
      <c r="H71">
        <f t="shared" si="11"/>
        <v>0.24155719922789157</v>
      </c>
      <c r="I71">
        <f t="shared" si="12"/>
        <v>0.19734504636408004</v>
      </c>
    </row>
    <row r="72" spans="7:10" x14ac:dyDescent="0.25">
      <c r="I72">
        <f>SUM(I66:I71)</f>
        <v>0.63908247925817474</v>
      </c>
      <c r="J72">
        <f>1-I72</f>
        <v>0.36091752074182526</v>
      </c>
    </row>
  </sheetData>
  <sortState ref="A15:A20">
    <sortCondition ref="A15"/>
  </sortState>
  <mergeCells count="8">
    <mergeCell ref="B44:D44"/>
    <mergeCell ref="E44:G44"/>
    <mergeCell ref="H44:I44"/>
    <mergeCell ref="A13:H13"/>
    <mergeCell ref="A25:I25"/>
    <mergeCell ref="J25:L25"/>
    <mergeCell ref="A36:C36"/>
    <mergeCell ref="A43:L4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XFD14"/>
  <sheetViews>
    <sheetView zoomScale="85" zoomScaleNormal="85" workbookViewId="0">
      <selection activeCell="L19" sqref="L19"/>
    </sheetView>
  </sheetViews>
  <sheetFormatPr defaultColWidth="9.140625" defaultRowHeight="15" x14ac:dyDescent="0.25"/>
  <cols>
    <col min="1" max="1" width="15.5703125" style="1" bestFit="1" customWidth="1"/>
    <col min="2" max="2" width="9.7109375" style="1" bestFit="1" customWidth="1"/>
    <col min="3" max="3" width="17.7109375" style="1" bestFit="1" customWidth="1"/>
    <col min="4" max="4" width="11.85546875" style="1" bestFit="1" customWidth="1"/>
    <col min="5" max="7" width="9.140625" style="1"/>
    <col min="8" max="8" width="9.42578125" style="23" bestFit="1" customWidth="1"/>
    <col min="9" max="9" width="9.42578125" style="1" bestFit="1" customWidth="1"/>
    <col min="10" max="11" width="9.28515625" style="1" bestFit="1" customWidth="1"/>
    <col min="12" max="12" width="39.42578125" style="1" bestFit="1" customWidth="1"/>
    <col min="13" max="16384" width="9.140625" style="1"/>
  </cols>
  <sheetData>
    <row r="1" spans="1:12 16384:16384" x14ac:dyDescent="0.25">
      <c r="A1" s="3" t="s">
        <v>11</v>
      </c>
      <c r="B1" s="3" t="s">
        <v>12</v>
      </c>
      <c r="C1" s="3" t="s">
        <v>90</v>
      </c>
      <c r="D1" s="3" t="s">
        <v>91</v>
      </c>
      <c r="E1" s="3" t="s">
        <v>92</v>
      </c>
      <c r="F1" s="3" t="s">
        <v>93</v>
      </c>
      <c r="G1" s="3" t="s">
        <v>94</v>
      </c>
      <c r="H1" s="19" t="s">
        <v>95</v>
      </c>
      <c r="I1" s="3" t="s">
        <v>96</v>
      </c>
      <c r="J1" s="3" t="s">
        <v>97</v>
      </c>
      <c r="K1" s="3" t="s">
        <v>98</v>
      </c>
      <c r="L1" s="3" t="s">
        <v>2</v>
      </c>
    </row>
    <row r="2" spans="1:12 16384:16384" x14ac:dyDescent="0.25">
      <c r="A2" s="20" t="s">
        <v>26</v>
      </c>
      <c r="B2" s="3" t="s">
        <v>99</v>
      </c>
      <c r="C2" s="21">
        <v>24409</v>
      </c>
      <c r="D2" s="3" t="s">
        <v>86</v>
      </c>
      <c r="E2" s="3" t="s">
        <v>86</v>
      </c>
      <c r="F2" s="3" t="s">
        <v>86</v>
      </c>
      <c r="G2" s="3" t="s">
        <v>86</v>
      </c>
      <c r="H2" s="3">
        <f>AVERAGE(154,375)</f>
        <v>264.5</v>
      </c>
      <c r="I2" s="3" t="s">
        <v>86</v>
      </c>
      <c r="J2" s="3" t="s">
        <v>86</v>
      </c>
      <c r="K2" s="3" t="s">
        <v>86</v>
      </c>
      <c r="L2" s="3" t="s">
        <v>100</v>
      </c>
    </row>
    <row r="3" spans="1:12 16384:16384" x14ac:dyDescent="0.25">
      <c r="A3" s="3" t="s">
        <v>68</v>
      </c>
      <c r="B3" s="3">
        <v>2012</v>
      </c>
      <c r="C3" s="22">
        <f>186000*2.2/100</f>
        <v>4092.0000000000005</v>
      </c>
      <c r="D3" s="3" t="s">
        <v>86</v>
      </c>
      <c r="E3" s="3" t="s">
        <v>86</v>
      </c>
      <c r="F3" s="3" t="s">
        <v>86</v>
      </c>
      <c r="G3" s="3" t="s">
        <v>86</v>
      </c>
      <c r="H3" s="19" t="s">
        <v>86</v>
      </c>
      <c r="I3" s="3" t="s">
        <v>86</v>
      </c>
      <c r="J3" s="3" t="s">
        <v>86</v>
      </c>
      <c r="K3" s="3" t="s">
        <v>86</v>
      </c>
      <c r="L3" s="3" t="s">
        <v>86</v>
      </c>
    </row>
    <row r="4" spans="1:12 16384:16384" x14ac:dyDescent="0.25">
      <c r="A4" s="20" t="s">
        <v>21</v>
      </c>
      <c r="B4" s="3">
        <v>2015</v>
      </c>
      <c r="C4" s="21">
        <v>386000</v>
      </c>
      <c r="D4" s="3" t="s">
        <v>86</v>
      </c>
      <c r="E4" s="3" t="s">
        <v>86</v>
      </c>
      <c r="F4" s="3" t="s">
        <v>86</v>
      </c>
      <c r="G4" s="3" t="s">
        <v>86</v>
      </c>
      <c r="H4" s="19">
        <v>523</v>
      </c>
      <c r="I4" s="3">
        <f>ROUNDUP(H4/(1.5/1000),0)</f>
        <v>348667</v>
      </c>
      <c r="J4" s="3" t="s">
        <v>86</v>
      </c>
      <c r="K4" s="3" t="s">
        <v>86</v>
      </c>
      <c r="L4" s="3" t="s">
        <v>101</v>
      </c>
    </row>
    <row r="5" spans="1:12 16384:16384" x14ac:dyDescent="0.25">
      <c r="A5" s="20" t="s">
        <v>24</v>
      </c>
      <c r="B5" s="3">
        <v>2012</v>
      </c>
      <c r="C5" s="21">
        <v>884000</v>
      </c>
      <c r="D5" s="1">
        <f>'English combined'!B16</f>
        <v>89.56</v>
      </c>
      <c r="E5" s="1">
        <f>'English combined'!C16</f>
        <v>86148</v>
      </c>
      <c r="F5" s="1">
        <f>'English combined'!D16</f>
        <v>3.6199999999999997</v>
      </c>
      <c r="G5" s="1">
        <f>'English combined'!E16</f>
        <v>9124</v>
      </c>
      <c r="H5" s="19">
        <f>'English combined'!B15</f>
        <v>280.47000000000003</v>
      </c>
      <c r="I5" s="19">
        <f>'English combined'!C15</f>
        <v>227126</v>
      </c>
      <c r="J5" s="19">
        <f>'English combined'!D15</f>
        <v>43.3</v>
      </c>
      <c r="K5" s="19">
        <f>'English combined'!E15</f>
        <v>85455</v>
      </c>
      <c r="L5" s="4" t="s">
        <v>102</v>
      </c>
    </row>
    <row r="6" spans="1:12 16384:16384" x14ac:dyDescent="0.25">
      <c r="A6" s="3" t="s">
        <v>28</v>
      </c>
      <c r="B6" s="3">
        <v>2006</v>
      </c>
      <c r="C6" s="21">
        <v>791000</v>
      </c>
      <c r="D6" s="1">
        <v>189.5</v>
      </c>
      <c r="E6" s="3" t="s">
        <v>86</v>
      </c>
      <c r="F6" s="3" t="s">
        <v>86</v>
      </c>
      <c r="G6" s="3" t="s">
        <v>86</v>
      </c>
      <c r="H6" s="19">
        <v>189.5</v>
      </c>
      <c r="I6" s="3" t="s">
        <v>86</v>
      </c>
      <c r="J6" s="3" t="s">
        <v>86</v>
      </c>
      <c r="K6" s="3" t="s">
        <v>86</v>
      </c>
      <c r="L6" s="3" t="s">
        <v>103</v>
      </c>
    </row>
    <row r="7" spans="1:12 16384:16384" x14ac:dyDescent="0.25">
      <c r="A7" s="20" t="s">
        <v>20</v>
      </c>
      <c r="B7" s="3">
        <v>2007</v>
      </c>
      <c r="C7" s="21">
        <v>32000</v>
      </c>
      <c r="D7" s="3" t="s">
        <v>86</v>
      </c>
      <c r="E7" s="3" t="s">
        <v>86</v>
      </c>
      <c r="F7" s="3" t="s">
        <v>86</v>
      </c>
      <c r="G7" s="3" t="s">
        <v>86</v>
      </c>
      <c r="H7" s="19">
        <v>30</v>
      </c>
      <c r="I7" s="3" t="s">
        <v>86</v>
      </c>
      <c r="J7" s="3" t="s">
        <v>86</v>
      </c>
      <c r="K7" s="3" t="s">
        <v>86</v>
      </c>
      <c r="L7" s="3" t="s">
        <v>104</v>
      </c>
    </row>
    <row r="8" spans="1:12 16384:16384" x14ac:dyDescent="0.25">
      <c r="A8" s="3" t="s">
        <v>69</v>
      </c>
      <c r="B8" s="3">
        <v>2012</v>
      </c>
      <c r="C8" s="21">
        <v>76600</v>
      </c>
      <c r="D8" s="3" t="s">
        <v>86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XFD8" s="3"/>
    </row>
    <row r="9" spans="1:12 16384:16384" x14ac:dyDescent="0.25">
      <c r="A9" s="20" t="s">
        <v>27</v>
      </c>
      <c r="B9" s="3" t="s">
        <v>105</v>
      </c>
      <c r="C9" s="21">
        <v>504108</v>
      </c>
      <c r="D9" s="3" t="s">
        <v>86</v>
      </c>
      <c r="E9" s="3" t="s">
        <v>86</v>
      </c>
      <c r="F9" s="3" t="s">
        <v>86</v>
      </c>
      <c r="G9" s="3" t="s">
        <v>86</v>
      </c>
      <c r="H9" s="3">
        <v>1145</v>
      </c>
      <c r="I9" s="3">
        <v>527000</v>
      </c>
      <c r="J9" s="3">
        <v>73</v>
      </c>
      <c r="K9" s="4">
        <v>170000</v>
      </c>
      <c r="L9" s="3" t="s">
        <v>106</v>
      </c>
    </row>
    <row r="10" spans="1:12 16384:16384" x14ac:dyDescent="0.25">
      <c r="A10" s="3" t="s">
        <v>23</v>
      </c>
      <c r="B10" s="3">
        <v>2012</v>
      </c>
      <c r="C10" s="21">
        <v>1285163</v>
      </c>
      <c r="D10" s="3" t="s">
        <v>86</v>
      </c>
      <c r="E10" s="3" t="s">
        <v>86</v>
      </c>
      <c r="F10" s="3" t="s">
        <v>86</v>
      </c>
      <c r="G10" s="3" t="s">
        <v>86</v>
      </c>
      <c r="H10" s="19" t="s">
        <v>86</v>
      </c>
      <c r="I10" s="3" t="s">
        <v>86</v>
      </c>
      <c r="J10" s="3" t="s">
        <v>86</v>
      </c>
      <c r="K10" s="3" t="s">
        <v>86</v>
      </c>
      <c r="L10" s="3" t="s">
        <v>86</v>
      </c>
    </row>
    <row r="11" spans="1:12 16384:16384" x14ac:dyDescent="0.25">
      <c r="A11" s="3" t="s">
        <v>29</v>
      </c>
      <c r="B11" s="3" t="s">
        <v>107</v>
      </c>
      <c r="C11" s="3" t="s">
        <v>86</v>
      </c>
      <c r="D11" s="3" t="s">
        <v>86</v>
      </c>
      <c r="E11" s="3" t="s">
        <v>86</v>
      </c>
      <c r="F11" s="3" t="s">
        <v>86</v>
      </c>
      <c r="G11" s="3" t="s">
        <v>86</v>
      </c>
      <c r="H11" s="19">
        <v>27</v>
      </c>
      <c r="I11" s="3">
        <v>13129</v>
      </c>
      <c r="J11" s="3" t="s">
        <v>86</v>
      </c>
      <c r="K11" s="3" t="s">
        <v>86</v>
      </c>
      <c r="L11" s="3" t="s">
        <v>108</v>
      </c>
    </row>
    <row r="12" spans="1:12 16384:16384" x14ac:dyDescent="0.25">
      <c r="A12" s="3" t="s">
        <v>25</v>
      </c>
      <c r="B12" s="3">
        <v>2012</v>
      </c>
      <c r="C12" s="22">
        <v>125188</v>
      </c>
      <c r="D12" s="3" t="s">
        <v>86</v>
      </c>
      <c r="E12" s="3" t="s">
        <v>86</v>
      </c>
      <c r="F12" s="3" t="s">
        <v>86</v>
      </c>
      <c r="G12" s="3" t="s">
        <v>86</v>
      </c>
      <c r="H12" s="19" t="s">
        <v>86</v>
      </c>
      <c r="I12" s="3" t="s">
        <v>86</v>
      </c>
      <c r="J12" s="3" t="s">
        <v>86</v>
      </c>
      <c r="K12" s="3" t="s">
        <v>86</v>
      </c>
      <c r="L12" s="3" t="s">
        <v>86</v>
      </c>
    </row>
    <row r="13" spans="1:12 16384:16384" x14ac:dyDescent="0.25">
      <c r="A13" s="20" t="s">
        <v>22</v>
      </c>
      <c r="B13" s="3">
        <v>2015</v>
      </c>
      <c r="C13">
        <v>565634</v>
      </c>
      <c r="D13" s="3" t="s">
        <v>86</v>
      </c>
      <c r="E13" s="3" t="s">
        <v>86</v>
      </c>
      <c r="F13" s="3" t="s">
        <v>86</v>
      </c>
      <c r="G13" s="3" t="s">
        <v>86</v>
      </c>
      <c r="H13" s="19">
        <f>ROUND('Sweden landings'!I7,2)</f>
        <v>795</v>
      </c>
      <c r="I13" s="3" t="s">
        <v>86</v>
      </c>
      <c r="J13" s="3" t="s">
        <v>86</v>
      </c>
      <c r="K13" s="3" t="s">
        <v>86</v>
      </c>
      <c r="L13" t="s">
        <v>109</v>
      </c>
    </row>
    <row r="14" spans="1:12 16384:16384" x14ac:dyDescent="0.25">
      <c r="A14" s="3" t="s">
        <v>70</v>
      </c>
      <c r="B14" s="3">
        <v>2012</v>
      </c>
      <c r="C14" s="22">
        <v>76000</v>
      </c>
      <c r="D14" s="3" t="s">
        <v>86</v>
      </c>
      <c r="E14" s="3" t="s">
        <v>86</v>
      </c>
      <c r="F14" s="3" t="s">
        <v>86</v>
      </c>
      <c r="G14" s="3" t="s">
        <v>86</v>
      </c>
      <c r="H14" s="19" t="s">
        <v>86</v>
      </c>
      <c r="I14" s="3" t="s">
        <v>86</v>
      </c>
      <c r="J14" s="3" t="s">
        <v>86</v>
      </c>
      <c r="K14" s="3" t="s">
        <v>86</v>
      </c>
      <c r="L14" s="3" t="s">
        <v>86</v>
      </c>
    </row>
  </sheetData>
  <sortState ref="A2:L15">
    <sortCondition ref="A2:A15"/>
  </sortState>
  <conditionalFormatting sqref="A2">
    <cfRule type="cellIs" dxfId="5" priority="5" operator="equal">
      <formula>"NA"</formula>
    </cfRule>
  </conditionalFormatting>
  <conditionalFormatting sqref="A3">
    <cfRule type="cellIs" dxfId="4" priority="4" operator="equal">
      <formula>"NA"</formula>
    </cfRule>
  </conditionalFormatting>
  <conditionalFormatting sqref="A4">
    <cfRule type="cellIs" dxfId="3" priority="3" operator="equal">
      <formula>"NA"</formula>
    </cfRule>
  </conditionalFormatting>
  <conditionalFormatting sqref="A5">
    <cfRule type="cellIs" dxfId="2" priority="2" operator="equal">
      <formula>"NA"</formula>
    </cfRule>
  </conditionalFormatting>
  <conditionalFormatting sqref="A8:A9">
    <cfRule type="cellIs" dxfId="1" priority="1" operator="equal">
      <formula>"NA"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L9"/>
  <sheetViews>
    <sheetView workbookViewId="0">
      <selection activeCell="L8" sqref="L8"/>
    </sheetView>
  </sheetViews>
  <sheetFormatPr defaultColWidth="9.140625" defaultRowHeight="15" x14ac:dyDescent="0.25"/>
  <cols>
    <col min="3" max="3" width="17.7109375" bestFit="1" customWidth="1"/>
    <col min="5" max="5" width="12.140625" customWidth="1"/>
    <col min="6" max="6" width="13.7109375" customWidth="1"/>
    <col min="7" max="7" width="9.5703125" bestFit="1" customWidth="1"/>
    <col min="8" max="8" width="10.85546875" customWidth="1"/>
    <col min="9" max="9" width="22" customWidth="1"/>
    <col min="10" max="11" width="15" customWidth="1"/>
    <col min="19" max="19" width="20.85546875" bestFit="1" customWidth="1"/>
  </cols>
  <sheetData>
    <row r="1" spans="1:12" x14ac:dyDescent="0.25">
      <c r="A1" s="3" t="s">
        <v>11</v>
      </c>
      <c r="B1" s="3" t="s">
        <v>12</v>
      </c>
      <c r="C1" s="3" t="s">
        <v>90</v>
      </c>
      <c r="D1" s="3" t="s">
        <v>110</v>
      </c>
      <c r="E1" s="3" t="s">
        <v>111</v>
      </c>
      <c r="F1" s="3" t="s">
        <v>112</v>
      </c>
      <c r="G1" s="3" t="s">
        <v>113</v>
      </c>
      <c r="H1" s="3" t="s">
        <v>114</v>
      </c>
      <c r="I1" s="3" t="s">
        <v>115</v>
      </c>
      <c r="J1" s="3" t="s">
        <v>116</v>
      </c>
      <c r="K1" s="3" t="s">
        <v>117</v>
      </c>
      <c r="L1" s="3" t="s">
        <v>2</v>
      </c>
    </row>
    <row r="2" spans="1:12" x14ac:dyDescent="0.25">
      <c r="A2" t="s">
        <v>21</v>
      </c>
      <c r="B2">
        <v>2012</v>
      </c>
      <c r="C2" s="21">
        <v>386000</v>
      </c>
      <c r="D2" t="s">
        <v>86</v>
      </c>
      <c r="E2" t="s">
        <v>86</v>
      </c>
      <c r="F2" t="s">
        <v>86</v>
      </c>
      <c r="G2" t="s">
        <v>86</v>
      </c>
      <c r="H2" s="31">
        <v>1272</v>
      </c>
      <c r="I2">
        <v>978462</v>
      </c>
      <c r="J2">
        <v>220</v>
      </c>
      <c r="K2" s="31">
        <v>657419</v>
      </c>
      <c r="L2" t="s">
        <v>109</v>
      </c>
    </row>
    <row r="3" spans="1:12" x14ac:dyDescent="0.25">
      <c r="A3" t="s">
        <v>81</v>
      </c>
      <c r="B3">
        <v>2014</v>
      </c>
      <c r="C3" s="30">
        <v>20000</v>
      </c>
      <c r="D3">
        <v>0.9</v>
      </c>
      <c r="E3" t="s">
        <v>86</v>
      </c>
      <c r="F3" t="s">
        <v>86</v>
      </c>
      <c r="G3" t="s">
        <v>86</v>
      </c>
      <c r="H3" t="s">
        <v>86</v>
      </c>
      <c r="I3" t="s">
        <v>86</v>
      </c>
      <c r="J3" t="s">
        <v>86</v>
      </c>
      <c r="K3" t="s">
        <v>86</v>
      </c>
      <c r="L3" t="s">
        <v>118</v>
      </c>
    </row>
    <row r="4" spans="1:12" x14ac:dyDescent="0.25">
      <c r="A4" t="s">
        <v>82</v>
      </c>
      <c r="B4">
        <v>2014</v>
      </c>
      <c r="C4" s="30">
        <v>300000</v>
      </c>
      <c r="D4">
        <v>0</v>
      </c>
      <c r="E4" t="s">
        <v>86</v>
      </c>
      <c r="F4" t="s">
        <v>86</v>
      </c>
      <c r="G4" t="s">
        <v>86</v>
      </c>
      <c r="H4" t="s">
        <v>86</v>
      </c>
      <c r="I4" t="s">
        <v>86</v>
      </c>
      <c r="J4" t="s">
        <v>86</v>
      </c>
      <c r="K4" t="s">
        <v>86</v>
      </c>
      <c r="L4" t="s">
        <v>118</v>
      </c>
    </row>
    <row r="5" spans="1:12" x14ac:dyDescent="0.25">
      <c r="A5" t="s">
        <v>20</v>
      </c>
      <c r="B5">
        <v>2015</v>
      </c>
      <c r="C5" s="21">
        <v>163000</v>
      </c>
      <c r="D5" t="s">
        <v>86</v>
      </c>
      <c r="E5" t="s">
        <v>86</v>
      </c>
      <c r="F5" t="s">
        <v>86</v>
      </c>
      <c r="G5" t="s">
        <v>86</v>
      </c>
      <c r="H5" s="31">
        <v>3032</v>
      </c>
      <c r="I5">
        <v>2430020</v>
      </c>
      <c r="J5" s="32">
        <v>410</v>
      </c>
      <c r="K5" s="32">
        <v>1138514</v>
      </c>
      <c r="L5" t="s">
        <v>109</v>
      </c>
    </row>
    <row r="6" spans="1:12" x14ac:dyDescent="0.25">
      <c r="A6" t="s">
        <v>83</v>
      </c>
      <c r="B6">
        <v>2012</v>
      </c>
      <c r="C6" s="30">
        <v>41000</v>
      </c>
      <c r="D6">
        <v>0.1</v>
      </c>
      <c r="E6" t="s">
        <v>86</v>
      </c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  <c r="L6" t="s">
        <v>118</v>
      </c>
    </row>
    <row r="7" spans="1:12" x14ac:dyDescent="0.25">
      <c r="A7" t="s">
        <v>84</v>
      </c>
      <c r="B7">
        <v>2015</v>
      </c>
      <c r="C7" s="30">
        <v>60000</v>
      </c>
      <c r="D7">
        <v>30</v>
      </c>
      <c r="E7" t="s">
        <v>86</v>
      </c>
      <c r="F7" t="s">
        <v>86</v>
      </c>
      <c r="G7" t="s">
        <v>86</v>
      </c>
      <c r="H7" t="s">
        <v>86</v>
      </c>
      <c r="I7" t="s">
        <v>86</v>
      </c>
      <c r="J7" t="s">
        <v>86</v>
      </c>
      <c r="K7" t="s">
        <v>86</v>
      </c>
      <c r="L7" t="s">
        <v>118</v>
      </c>
    </row>
    <row r="8" spans="1:12" x14ac:dyDescent="0.25">
      <c r="A8" t="s">
        <v>85</v>
      </c>
      <c r="B8">
        <v>2015</v>
      </c>
      <c r="C8" s="30">
        <v>82000</v>
      </c>
      <c r="D8">
        <v>857</v>
      </c>
      <c r="E8" t="s">
        <v>86</v>
      </c>
      <c r="F8" t="s">
        <v>86</v>
      </c>
      <c r="G8" t="s">
        <v>86</v>
      </c>
      <c r="H8" t="s">
        <v>86</v>
      </c>
      <c r="I8" t="s">
        <v>86</v>
      </c>
      <c r="J8" t="s">
        <v>86</v>
      </c>
      <c r="K8" t="s">
        <v>86</v>
      </c>
      <c r="L8" t="s">
        <v>118</v>
      </c>
    </row>
    <row r="9" spans="1:12" x14ac:dyDescent="0.25">
      <c r="A9" t="s">
        <v>22</v>
      </c>
      <c r="B9">
        <v>2015</v>
      </c>
      <c r="C9" s="30">
        <v>565634</v>
      </c>
      <c r="D9" s="31" t="s">
        <v>86</v>
      </c>
      <c r="E9" s="31" t="s">
        <v>86</v>
      </c>
      <c r="F9" t="s">
        <v>86</v>
      </c>
      <c r="G9" t="s">
        <v>86</v>
      </c>
      <c r="H9">
        <v>215</v>
      </c>
      <c r="I9">
        <v>165385</v>
      </c>
      <c r="J9">
        <v>51</v>
      </c>
      <c r="K9">
        <v>152663</v>
      </c>
      <c r="L9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E14"/>
  <sheetViews>
    <sheetView zoomScale="115" zoomScaleNormal="115" workbookViewId="0">
      <selection activeCell="F22" sqref="F22"/>
    </sheetView>
  </sheetViews>
  <sheetFormatPr defaultColWidth="9.140625" defaultRowHeight="15" x14ac:dyDescent="0.25"/>
  <cols>
    <col min="1" max="1" width="29.7109375" bestFit="1" customWidth="1"/>
    <col min="3" max="3" width="24.28515625" bestFit="1" customWidth="1"/>
    <col min="5" max="5" width="10.85546875" bestFit="1" customWidth="1"/>
    <col min="6" max="6" width="19.7109375" bestFit="1" customWidth="1"/>
  </cols>
  <sheetData>
    <row r="1" spans="1:5" x14ac:dyDescent="0.25">
      <c r="A1" t="s">
        <v>11</v>
      </c>
      <c r="B1" t="s">
        <v>119</v>
      </c>
      <c r="C1" t="s">
        <v>2</v>
      </c>
      <c r="D1" t="s">
        <v>120</v>
      </c>
      <c r="E1" t="s">
        <v>2</v>
      </c>
    </row>
    <row r="2" spans="1:5" x14ac:dyDescent="0.25">
      <c r="A2" s="7" t="s">
        <v>26</v>
      </c>
      <c r="B2">
        <v>290</v>
      </c>
      <c r="C2" t="s">
        <v>121</v>
      </c>
      <c r="D2">
        <f>862+40</f>
        <v>902</v>
      </c>
      <c r="E2" t="s">
        <v>122</v>
      </c>
    </row>
    <row r="3" spans="1:5" x14ac:dyDescent="0.25">
      <c r="A3" t="s">
        <v>68</v>
      </c>
      <c r="B3">
        <v>0.58890000000000009</v>
      </c>
      <c r="C3" t="s">
        <v>123</v>
      </c>
      <c r="D3">
        <v>0</v>
      </c>
      <c r="E3" t="s">
        <v>122</v>
      </c>
    </row>
    <row r="4" spans="1:5" x14ac:dyDescent="0.25">
      <c r="A4" t="s">
        <v>21</v>
      </c>
      <c r="B4">
        <v>0</v>
      </c>
      <c r="C4" t="s">
        <v>121</v>
      </c>
      <c r="D4">
        <f>3178+4803</f>
        <v>7981</v>
      </c>
      <c r="E4" t="s">
        <v>122</v>
      </c>
    </row>
    <row r="5" spans="1:5" x14ac:dyDescent="0.25">
      <c r="A5" t="s">
        <v>24</v>
      </c>
      <c r="B5">
        <v>558.20779999999991</v>
      </c>
      <c r="C5" t="s">
        <v>123</v>
      </c>
      <c r="D5">
        <v>1479.58</v>
      </c>
      <c r="E5" t="s">
        <v>123</v>
      </c>
    </row>
    <row r="6" spans="1:5" x14ac:dyDescent="0.25">
      <c r="A6" t="s">
        <v>28</v>
      </c>
      <c r="B6">
        <v>5166</v>
      </c>
      <c r="C6" t="s">
        <v>121</v>
      </c>
      <c r="D6">
        <f>885+368</f>
        <v>1253</v>
      </c>
      <c r="E6" t="s">
        <v>122</v>
      </c>
    </row>
    <row r="7" spans="1:5" x14ac:dyDescent="0.25">
      <c r="A7" t="s">
        <v>20</v>
      </c>
      <c r="B7">
        <v>0</v>
      </c>
      <c r="C7" t="s">
        <v>121</v>
      </c>
      <c r="D7">
        <f>2385+78</f>
        <v>2463</v>
      </c>
      <c r="E7" t="s">
        <v>122</v>
      </c>
    </row>
    <row r="8" spans="1:5" x14ac:dyDescent="0.25">
      <c r="A8" t="s">
        <v>69</v>
      </c>
      <c r="B8">
        <v>1536</v>
      </c>
      <c r="C8" t="s">
        <v>121</v>
      </c>
      <c r="D8">
        <v>0</v>
      </c>
      <c r="E8" t="s">
        <v>122</v>
      </c>
    </row>
    <row r="9" spans="1:5" x14ac:dyDescent="0.25">
      <c r="A9" t="s">
        <v>27</v>
      </c>
      <c r="B9">
        <v>0</v>
      </c>
      <c r="C9" t="s">
        <v>121</v>
      </c>
      <c r="D9">
        <f>40+1955</f>
        <v>1995</v>
      </c>
      <c r="E9" t="s">
        <v>122</v>
      </c>
    </row>
    <row r="10" spans="1:5" x14ac:dyDescent="0.25">
      <c r="A10" t="s">
        <v>23</v>
      </c>
      <c r="B10">
        <v>0</v>
      </c>
      <c r="C10" t="s">
        <v>121</v>
      </c>
      <c r="D10">
        <f>4601+615</f>
        <v>5216</v>
      </c>
      <c r="E10" t="s">
        <v>122</v>
      </c>
    </row>
    <row r="11" spans="1:5" x14ac:dyDescent="0.25">
      <c r="A11" t="s">
        <v>25</v>
      </c>
      <c r="B11">
        <v>41.844799999999992</v>
      </c>
      <c r="C11" t="s">
        <v>123</v>
      </c>
      <c r="D11">
        <f>0+10565</f>
        <v>10565</v>
      </c>
      <c r="E11" t="s">
        <v>122</v>
      </c>
    </row>
    <row r="12" spans="1:5" x14ac:dyDescent="0.25">
      <c r="A12" t="s">
        <v>22</v>
      </c>
      <c r="B12">
        <v>0</v>
      </c>
      <c r="C12" t="s">
        <v>121</v>
      </c>
      <c r="D12">
        <f>472+520</f>
        <v>992</v>
      </c>
      <c r="E12" t="s">
        <v>122</v>
      </c>
    </row>
    <row r="13" spans="1:5" x14ac:dyDescent="0.25">
      <c r="A13" t="s">
        <v>70</v>
      </c>
      <c r="B13">
        <v>1.8438000000000003</v>
      </c>
      <c r="C13" t="s">
        <v>123</v>
      </c>
      <c r="D13">
        <v>1.1599999999999999</v>
      </c>
      <c r="E13" t="s">
        <v>123</v>
      </c>
    </row>
    <row r="14" spans="1:5" x14ac:dyDescent="0.25">
      <c r="A14" t="s">
        <v>56</v>
      </c>
      <c r="B14">
        <v>7693</v>
      </c>
      <c r="C14" t="s">
        <v>121</v>
      </c>
      <c r="D14">
        <v>32696</v>
      </c>
      <c r="E14" t="s">
        <v>122</v>
      </c>
    </row>
  </sheetData>
  <sortState ref="A2:E13">
    <sortCondition ref="A2:A13"/>
  </sortState>
  <conditionalFormatting sqref="A2">
    <cfRule type="cellIs" dxfId="0" priority="3" operator="equal">
      <formula>"NA"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H3"/>
  <sheetViews>
    <sheetView workbookViewId="0">
      <selection activeCell="E16" sqref="E16"/>
    </sheetView>
  </sheetViews>
  <sheetFormatPr defaultColWidth="9.140625" defaultRowHeight="15" x14ac:dyDescent="0.25"/>
  <cols>
    <col min="1" max="1" width="11.5703125" bestFit="1" customWidth="1"/>
    <col min="2" max="2" width="20.28515625" bestFit="1" customWidth="1"/>
    <col min="3" max="3" width="12.140625" bestFit="1" customWidth="1"/>
    <col min="4" max="4" width="19.7109375" bestFit="1" customWidth="1"/>
    <col min="5" max="5" width="21.28515625" bestFit="1" customWidth="1"/>
    <col min="6" max="6" width="27" bestFit="1" customWidth="1"/>
    <col min="7" max="7" width="17" bestFit="1" customWidth="1"/>
  </cols>
  <sheetData>
    <row r="1" spans="1:8" x14ac:dyDescent="0.25">
      <c r="A1" s="2" t="s">
        <v>48</v>
      </c>
      <c r="B1" s="2" t="s">
        <v>124</v>
      </c>
      <c r="C1" s="2" t="s">
        <v>47</v>
      </c>
      <c r="D1" s="2" t="s">
        <v>125</v>
      </c>
      <c r="E1" s="2" t="s">
        <v>126</v>
      </c>
      <c r="F1" s="2" t="s">
        <v>125</v>
      </c>
      <c r="G1" s="2"/>
      <c r="H1" s="2"/>
    </row>
    <row r="2" spans="1:8" x14ac:dyDescent="0.25">
      <c r="A2" s="2">
        <v>0.31</v>
      </c>
      <c r="B2" s="2" t="s">
        <v>127</v>
      </c>
      <c r="C2" s="2">
        <v>0.16500000000000001</v>
      </c>
      <c r="D2" s="2" t="s">
        <v>128</v>
      </c>
      <c r="E2">
        <v>0.112</v>
      </c>
      <c r="F2" t="s">
        <v>129</v>
      </c>
    </row>
    <row r="3" spans="1:8" x14ac:dyDescent="0.25">
      <c r="C3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F2"/>
  <sheetViews>
    <sheetView workbookViewId="0">
      <selection activeCell="D3" sqref="D3"/>
    </sheetView>
  </sheetViews>
  <sheetFormatPr defaultColWidth="9.140625" defaultRowHeight="15" x14ac:dyDescent="0.25"/>
  <cols>
    <col min="2" max="2" width="39.5703125" bestFit="1" customWidth="1"/>
    <col min="4" max="4" width="40.140625" bestFit="1" customWidth="1"/>
  </cols>
  <sheetData>
    <row r="1" spans="1:6" x14ac:dyDescent="0.25">
      <c r="A1" t="s">
        <v>130</v>
      </c>
      <c r="B1" t="s">
        <v>2</v>
      </c>
      <c r="C1" t="s">
        <v>131</v>
      </c>
      <c r="D1" t="s">
        <v>2</v>
      </c>
      <c r="E1" t="s">
        <v>132</v>
      </c>
    </row>
    <row r="2" spans="1:6" x14ac:dyDescent="0.25">
      <c r="A2">
        <f>952/7693</f>
        <v>0.12374886260236578</v>
      </c>
      <c r="B2" t="s">
        <v>121</v>
      </c>
      <c r="C2">
        <v>0.233194817892935</v>
      </c>
      <c r="D2" t="s">
        <v>122</v>
      </c>
      <c r="E2">
        <f>342/8654</f>
        <v>3.9519297434712275E-2</v>
      </c>
      <c r="F2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Cod-347d</vt:lpstr>
      <vt:lpstr>Cod-7e-k</vt:lpstr>
      <vt:lpstr>Cod-2224</vt:lpstr>
      <vt:lpstr>Cod-2532</vt:lpstr>
      <vt:lpstr>Country recreational landings</vt:lpstr>
      <vt:lpstr>Baltic recreational landings</vt:lpstr>
      <vt:lpstr>Country commercial landings</vt:lpstr>
      <vt:lpstr>Discard Mortality</vt:lpstr>
      <vt:lpstr>Discard rate</vt:lpstr>
      <vt:lpstr>Denmark recreation calculations</vt:lpstr>
      <vt:lpstr>English charter boats</vt:lpstr>
      <vt:lpstr>English boat + shore</vt:lpstr>
      <vt:lpstr>English combined</vt:lpstr>
      <vt:lpstr>Sweden landings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 Radford (Cefas)</dc:creator>
  <cp:keywords/>
  <dc:description/>
  <cp:lastModifiedBy>Zachary Radford (Cefas)</cp:lastModifiedBy>
  <cp:revision/>
  <dcterms:created xsi:type="dcterms:W3CDTF">2017-04-05T13:44:50Z</dcterms:created>
  <dcterms:modified xsi:type="dcterms:W3CDTF">2018-06-22T06:57:49Z</dcterms:modified>
  <cp:category/>
  <cp:contentStatus/>
</cp:coreProperties>
</file>