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filterPrivacy="1"/>
  <xr:revisionPtr revIDLastSave="52" documentId="8_{B96135F3-2608-4290-8039-B56C7F87B62A}" xr6:coauthVersionLast="34" xr6:coauthVersionMax="34" xr10:uidLastSave="{4EF760D3-5363-4F73-A673-0FB659CCEDA7}"/>
  <bookViews>
    <workbookView xWindow="0" yWindow="0" windowWidth="28800" windowHeight="12360" xr2:uid="{9085DFB0-22FE-4B90-8193-0C1971F599C9}"/>
  </bookViews>
  <sheets>
    <sheet name="bss-47" sheetId="1" r:id="rId1"/>
    <sheet name="Bss-8c9a" sheetId="6" r:id="rId2"/>
    <sheet name="Bss-8ab" sheetId="11" r:id="rId3"/>
    <sheet name="Recreational landings (Bss-47)" sheetId="3" r:id="rId4"/>
    <sheet name="Recreational landings (Bss-8c9a" sheetId="8" r:id="rId5"/>
    <sheet name="Recreational landings (Bss-8ab)" sheetId="12" r:id="rId6"/>
    <sheet name="Commercial landings (Bss-47)" sheetId="2" r:id="rId7"/>
    <sheet name="Commercial landings (Bss-8c9a)" sheetId="10" r:id="rId8"/>
    <sheet name="Commercial landings (bss-8ab)" sheetId="13" r:id="rId9"/>
    <sheet name="Discard mortality" sheetId="4" r:id="rId10"/>
    <sheet name="Discard rate" sheetId="5" r:id="rId11"/>
    <sheet name="Portugal calculation" sheetId="15" r:id="rId1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C12" i="3"/>
  <c r="G4" i="3"/>
  <c r="E4" i="3"/>
  <c r="D7" i="15" l="1"/>
  <c r="C7" i="15"/>
  <c r="E7" i="15" s="1"/>
  <c r="G7" i="15" s="1"/>
  <c r="D3" i="8" s="1"/>
  <c r="E6" i="15"/>
  <c r="D6" i="15"/>
  <c r="C6" i="15"/>
  <c r="B3" i="15"/>
  <c r="E1" i="15"/>
  <c r="F6" i="15" s="1"/>
  <c r="C3" i="8"/>
  <c r="C6" i="3"/>
  <c r="J32" i="11"/>
  <c r="E32" i="11"/>
  <c r="J31" i="11"/>
  <c r="E31" i="11"/>
  <c r="H12" i="11"/>
  <c r="G12" i="11"/>
  <c r="F19" i="11" s="1"/>
  <c r="F12" i="11"/>
  <c r="E19" i="11" s="1"/>
  <c r="E12" i="11"/>
  <c r="D19" i="11" s="1"/>
  <c r="D12" i="11"/>
  <c r="C19" i="11" s="1"/>
  <c r="B31" i="11" s="1"/>
  <c r="C12" i="11"/>
  <c r="B19" i="11" s="1"/>
  <c r="B12" i="11"/>
  <c r="C7" i="11"/>
  <c r="B7" i="11"/>
  <c r="C6" i="11"/>
  <c r="B6" i="11"/>
  <c r="C5" i="11"/>
  <c r="B5" i="11"/>
  <c r="F32" i="11" s="1"/>
  <c r="B3" i="11"/>
  <c r="B2" i="11"/>
  <c r="E40" i="6"/>
  <c r="F40" i="6" s="1"/>
  <c r="G40" i="6" s="1"/>
  <c r="A24" i="6"/>
  <c r="A39" i="6" s="1"/>
  <c r="C15" i="6"/>
  <c r="B24" i="6" s="1"/>
  <c r="B15" i="6"/>
  <c r="A15" i="6"/>
  <c r="E15" i="6" s="1"/>
  <c r="F14" i="6"/>
  <c r="C14" i="6"/>
  <c r="B23" i="6" s="1"/>
  <c r="B14" i="6"/>
  <c r="A14" i="6"/>
  <c r="A23" i="6" s="1"/>
  <c r="A38" i="6" s="1"/>
  <c r="F13" i="6"/>
  <c r="A13" i="6"/>
  <c r="A12" i="6"/>
  <c r="E12" i="6" s="1"/>
  <c r="C7" i="6"/>
  <c r="B7" i="6"/>
  <c r="C6" i="6"/>
  <c r="B6" i="6"/>
  <c r="C5" i="6"/>
  <c r="B5" i="6"/>
  <c r="B3" i="6"/>
  <c r="F49" i="1"/>
  <c r="E49" i="1"/>
  <c r="D49" i="1"/>
  <c r="C49" i="1"/>
  <c r="B49" i="1"/>
  <c r="A49" i="1"/>
  <c r="J45" i="1"/>
  <c r="E45" i="1"/>
  <c r="A17" i="1"/>
  <c r="B17" i="1" s="1"/>
  <c r="A16" i="1"/>
  <c r="B16" i="1" s="1"/>
  <c r="E15" i="1"/>
  <c r="D15" i="1"/>
  <c r="A15" i="1"/>
  <c r="B15" i="1" s="1"/>
  <c r="A14" i="1"/>
  <c r="B14" i="1" s="1"/>
  <c r="A13" i="1"/>
  <c r="A12" i="1"/>
  <c r="A11" i="1"/>
  <c r="C7" i="1"/>
  <c r="B7" i="1"/>
  <c r="C6" i="1"/>
  <c r="B6" i="1"/>
  <c r="C5" i="1"/>
  <c r="B5" i="1"/>
  <c r="B3" i="1"/>
  <c r="B2" i="1"/>
  <c r="G12" i="6" l="1"/>
  <c r="B4" i="6" s="1"/>
  <c r="H13" i="1"/>
  <c r="B13" i="1"/>
  <c r="D13" i="1"/>
  <c r="D17" i="1"/>
  <c r="B12" i="6"/>
  <c r="E13" i="6"/>
  <c r="G13" i="6"/>
  <c r="G6" i="15"/>
  <c r="H15" i="1"/>
  <c r="E17" i="1"/>
  <c r="C12" i="6"/>
  <c r="B13" i="6"/>
  <c r="G14" i="6"/>
  <c r="F15" i="6"/>
  <c r="H11" i="1"/>
  <c r="B11" i="1"/>
  <c r="H17" i="1"/>
  <c r="F12" i="6"/>
  <c r="C13" i="6"/>
  <c r="D24" i="6" s="1"/>
  <c r="F24" i="6" s="1"/>
  <c r="E24" i="6" s="1"/>
  <c r="C39" i="6" s="1"/>
  <c r="G15" i="6"/>
  <c r="B48" i="6"/>
  <c r="F31" i="11"/>
  <c r="G31" i="11" s="1"/>
  <c r="F7" i="15"/>
  <c r="E3" i="8" s="1"/>
  <c r="B2" i="6" s="1"/>
  <c r="H12" i="1"/>
  <c r="B12" i="1"/>
  <c r="C31" i="11"/>
  <c r="C32" i="11" s="1"/>
  <c r="E38" i="6"/>
  <c r="J38" i="6"/>
  <c r="B47" i="6"/>
  <c r="D23" i="6"/>
  <c r="D48" i="6" s="1"/>
  <c r="F23" i="6"/>
  <c r="F48" i="6" s="1"/>
  <c r="E48" i="6" s="1"/>
  <c r="G48" i="6" s="1"/>
  <c r="J39" i="6"/>
  <c r="E39" i="6"/>
  <c r="E11" i="1"/>
  <c r="E13" i="1"/>
  <c r="D23" i="1" s="1"/>
  <c r="G14" i="1"/>
  <c r="F24" i="1" s="1"/>
  <c r="C14" i="1"/>
  <c r="B24" i="1" s="1"/>
  <c r="B53" i="1" s="1"/>
  <c r="F14" i="1"/>
  <c r="G16" i="1"/>
  <c r="C16" i="1"/>
  <c r="B26" i="1" s="1"/>
  <c r="A23" i="1"/>
  <c r="A40" i="1" s="1"/>
  <c r="H27" i="1"/>
  <c r="H16" i="1"/>
  <c r="B32" i="11"/>
  <c r="D31" i="11"/>
  <c r="F16" i="1"/>
  <c r="A21" i="1"/>
  <c r="H25" i="1"/>
  <c r="F11" i="1"/>
  <c r="F12" i="1"/>
  <c r="F13" i="1"/>
  <c r="H14" i="1"/>
  <c r="A24" i="1"/>
  <c r="A41" i="1" s="1"/>
  <c r="A26" i="1"/>
  <c r="C11" i="1"/>
  <c r="B21" i="1" s="1"/>
  <c r="B50" i="1" s="1"/>
  <c r="G11" i="1"/>
  <c r="C12" i="1"/>
  <c r="B22" i="1" s="1"/>
  <c r="B51" i="1" s="1"/>
  <c r="G12" i="1"/>
  <c r="C13" i="1"/>
  <c r="B23" i="1" s="1"/>
  <c r="B52" i="1" s="1"/>
  <c r="G13" i="1"/>
  <c r="D14" i="1"/>
  <c r="G15" i="1"/>
  <c r="C15" i="1"/>
  <c r="B25" i="1" s="1"/>
  <c r="F15" i="1"/>
  <c r="D16" i="1"/>
  <c r="G17" i="1"/>
  <c r="C17" i="1"/>
  <c r="B27" i="1" s="1"/>
  <c r="F17" i="1"/>
  <c r="A22" i="1"/>
  <c r="F45" i="1"/>
  <c r="G45" i="1" s="1"/>
  <c r="E23" i="6"/>
  <c r="B4" i="11"/>
  <c r="G32" i="11"/>
  <c r="E12" i="1"/>
  <c r="D11" i="1"/>
  <c r="D12" i="1"/>
  <c r="E14" i="1"/>
  <c r="D24" i="1" s="1"/>
  <c r="E16" i="1"/>
  <c r="D26" i="1" s="1"/>
  <c r="A25" i="1"/>
  <c r="A27" i="1"/>
  <c r="D12" i="6"/>
  <c r="H12" i="6"/>
  <c r="D13" i="6"/>
  <c r="C24" i="6" s="1"/>
  <c r="B39" i="6" s="1"/>
  <c r="H13" i="6"/>
  <c r="D14" i="6"/>
  <c r="H14" i="6"/>
  <c r="D15" i="6"/>
  <c r="H15" i="6"/>
  <c r="E14" i="6"/>
  <c r="C48" i="6" l="1"/>
  <c r="D47" i="6"/>
  <c r="C23" i="6"/>
  <c r="C25" i="6" s="1"/>
  <c r="D39" i="6"/>
  <c r="M39" i="6" s="1"/>
  <c r="C23" i="1"/>
  <c r="B40" i="1" s="1"/>
  <c r="H23" i="1"/>
  <c r="A50" i="1"/>
  <c r="A38" i="1"/>
  <c r="E40" i="1"/>
  <c r="J40" i="1"/>
  <c r="F39" i="6"/>
  <c r="G39" i="6" s="1"/>
  <c r="A42" i="1"/>
  <c r="A54" i="1"/>
  <c r="I21" i="1"/>
  <c r="M31" i="11"/>
  <c r="D32" i="11"/>
  <c r="K31" i="11"/>
  <c r="I31" i="11" s="1"/>
  <c r="D25" i="1"/>
  <c r="D53" i="1"/>
  <c r="C53" i="1" s="1"/>
  <c r="A44" i="1"/>
  <c r="A56" i="1"/>
  <c r="A55" i="1"/>
  <c r="A43" i="1"/>
  <c r="C47" i="6"/>
  <c r="F47" i="6"/>
  <c r="E47" i="6" s="1"/>
  <c r="G47" i="6" s="1"/>
  <c r="H22" i="1"/>
  <c r="C22" i="1"/>
  <c r="A51" i="1"/>
  <c r="A39" i="1"/>
  <c r="H26" i="1"/>
  <c r="C24" i="1"/>
  <c r="B41" i="1" s="1"/>
  <c r="H24" i="1"/>
  <c r="J41" i="1"/>
  <c r="E41" i="1"/>
  <c r="I23" i="1"/>
  <c r="I26" i="1"/>
  <c r="F26" i="1"/>
  <c r="F55" i="1" s="1"/>
  <c r="B55" i="1"/>
  <c r="H48" i="6"/>
  <c r="D55" i="1"/>
  <c r="H21" i="1"/>
  <c r="I27" i="1"/>
  <c r="I25" i="1"/>
  <c r="F23" i="1"/>
  <c r="F53" i="1" s="1"/>
  <c r="E53" i="1" s="1"/>
  <c r="G53" i="1" s="1"/>
  <c r="B4" i="1"/>
  <c r="D27" i="1"/>
  <c r="D22" i="1"/>
  <c r="C38" i="6"/>
  <c r="C40" i="6" s="1"/>
  <c r="B30" i="6"/>
  <c r="E25" i="6"/>
  <c r="F27" i="1"/>
  <c r="F56" i="1" s="1"/>
  <c r="B56" i="1"/>
  <c r="F25" i="1"/>
  <c r="F54" i="1" s="1"/>
  <c r="B54" i="1"/>
  <c r="F52" i="1"/>
  <c r="E52" i="1" s="1"/>
  <c r="G52" i="1" s="1"/>
  <c r="D52" i="1"/>
  <c r="C52" i="1" s="1"/>
  <c r="I22" i="1"/>
  <c r="E22" i="1"/>
  <c r="I24" i="1"/>
  <c r="E24" i="1"/>
  <c r="C41" i="1" s="1"/>
  <c r="D21" i="1"/>
  <c r="C21" i="1" s="1"/>
  <c r="C30" i="6"/>
  <c r="A30" i="6"/>
  <c r="F38" i="6"/>
  <c r="G38" i="6" s="1"/>
  <c r="B38" i="6" l="1"/>
  <c r="H31" i="11"/>
  <c r="E25" i="1"/>
  <c r="C42" i="1" s="1"/>
  <c r="C26" i="1"/>
  <c r="H52" i="1"/>
  <c r="K39" i="6"/>
  <c r="H39" i="6" s="1"/>
  <c r="I39" i="6"/>
  <c r="K38" i="6"/>
  <c r="I38" i="6" s="1"/>
  <c r="D38" i="6"/>
  <c r="B40" i="6"/>
  <c r="D51" i="1"/>
  <c r="F22" i="1"/>
  <c r="F51" i="1" s="1"/>
  <c r="D54" i="1"/>
  <c r="C25" i="1"/>
  <c r="E42" i="1"/>
  <c r="J42" i="1"/>
  <c r="F40" i="1"/>
  <c r="G40" i="1" s="1"/>
  <c r="D41" i="1"/>
  <c r="H47" i="6"/>
  <c r="H49" i="6" s="1"/>
  <c r="K49" i="6" s="1"/>
  <c r="J38" i="1"/>
  <c r="E38" i="1"/>
  <c r="H53" i="1"/>
  <c r="B38" i="1"/>
  <c r="C50" i="1"/>
  <c r="E23" i="1"/>
  <c r="J39" i="1"/>
  <c r="E39" i="1"/>
  <c r="E51" i="1"/>
  <c r="G51" i="1" s="1"/>
  <c r="C39" i="1"/>
  <c r="D56" i="1"/>
  <c r="C27" i="1"/>
  <c r="D50" i="1"/>
  <c r="F21" i="1"/>
  <c r="E27" i="1"/>
  <c r="E26" i="1"/>
  <c r="F41" i="1"/>
  <c r="G41" i="1"/>
  <c r="B39" i="1"/>
  <c r="C51" i="1"/>
  <c r="J43" i="1"/>
  <c r="E43" i="1"/>
  <c r="J44" i="1"/>
  <c r="E44" i="1"/>
  <c r="M32" i="11"/>
  <c r="K32" i="11"/>
  <c r="I32" i="11" s="1"/>
  <c r="C55" i="1" l="1"/>
  <c r="C28" i="1"/>
  <c r="E54" i="1"/>
  <c r="G54" i="1" s="1"/>
  <c r="B43" i="1"/>
  <c r="A32" i="1"/>
  <c r="D39" i="1"/>
  <c r="X40" i="1"/>
  <c r="H32" i="11"/>
  <c r="F50" i="1"/>
  <c r="E21" i="1"/>
  <c r="C32" i="1" s="1"/>
  <c r="F38" i="1"/>
  <c r="G38" i="1" s="1"/>
  <c r="L41" i="1"/>
  <c r="F42" i="1"/>
  <c r="G42" i="1" s="1"/>
  <c r="L39" i="1"/>
  <c r="C44" i="1"/>
  <c r="E56" i="1"/>
  <c r="G56" i="1" s="1"/>
  <c r="F43" i="1"/>
  <c r="G43" i="1" s="1"/>
  <c r="K41" i="1"/>
  <c r="H41" i="1" s="1"/>
  <c r="X41" i="1"/>
  <c r="C40" i="1"/>
  <c r="F44" i="1"/>
  <c r="G44" i="1" s="1"/>
  <c r="H51" i="1"/>
  <c r="E55" i="1"/>
  <c r="G55" i="1" s="1"/>
  <c r="H55" i="1" s="1"/>
  <c r="C43" i="1"/>
  <c r="D43" i="1" s="1"/>
  <c r="C56" i="1"/>
  <c r="B44" i="1"/>
  <c r="F39" i="1"/>
  <c r="G39" i="1" s="1"/>
  <c r="C54" i="1"/>
  <c r="B42" i="1"/>
  <c r="D42" i="1" s="1"/>
  <c r="M38" i="6"/>
  <c r="H38" i="6"/>
  <c r="D40" i="6"/>
  <c r="H54" i="1" l="1"/>
  <c r="E28" i="1"/>
  <c r="B45" i="1"/>
  <c r="H56" i="1"/>
  <c r="X44" i="1"/>
  <c r="L43" i="1"/>
  <c r="X42" i="1"/>
  <c r="K42" i="1"/>
  <c r="I42" i="1" s="1"/>
  <c r="K39" i="1"/>
  <c r="H39" i="1" s="1"/>
  <c r="X39" i="1"/>
  <c r="X43" i="1"/>
  <c r="K43" i="1"/>
  <c r="H43" i="1" s="1"/>
  <c r="X38" i="1"/>
  <c r="L42" i="1"/>
  <c r="I41" i="1"/>
  <c r="M40" i="6"/>
  <c r="K40" i="6"/>
  <c r="I40" i="6" s="1"/>
  <c r="D44" i="1"/>
  <c r="D40" i="1"/>
  <c r="C38" i="1"/>
  <c r="D38" i="1" s="1"/>
  <c r="E50" i="1"/>
  <c r="G50" i="1" s="1"/>
  <c r="H50" i="1" s="1"/>
  <c r="B32" i="1"/>
  <c r="H57" i="1" l="1"/>
  <c r="K57" i="1" s="1"/>
  <c r="H42" i="1"/>
  <c r="I43" i="1"/>
  <c r="I39" i="1"/>
  <c r="L38" i="1"/>
  <c r="D45" i="1"/>
  <c r="W40" i="1" s="1"/>
  <c r="K38" i="1"/>
  <c r="I38" i="1" s="1"/>
  <c r="L40" i="1"/>
  <c r="K40" i="1"/>
  <c r="I40" i="1" s="1"/>
  <c r="C45" i="1"/>
  <c r="H40" i="6"/>
  <c r="L44" i="1"/>
  <c r="K44" i="1"/>
  <c r="I44" i="1" s="1"/>
  <c r="W38" i="1" l="1"/>
  <c r="H40" i="1"/>
  <c r="W42" i="1"/>
  <c r="L45" i="1"/>
  <c r="W39" i="1"/>
  <c r="K45" i="1"/>
  <c r="I45" i="1" s="1"/>
  <c r="W41" i="1"/>
  <c r="W43" i="1"/>
  <c r="W44" i="1"/>
  <c r="H44" i="1"/>
  <c r="H38" i="1"/>
  <c r="H45" i="1" l="1"/>
</calcChain>
</file>

<file path=xl/sharedStrings.xml><?xml version="1.0" encoding="utf-8"?>
<sst xmlns="http://schemas.openxmlformats.org/spreadsheetml/2006/main" count="398" uniqueCount="132">
  <si>
    <t>Country</t>
  </si>
  <si>
    <t>Bss-47</t>
  </si>
  <si>
    <t>Source</t>
  </si>
  <si>
    <t>Belgium</t>
  </si>
  <si>
    <t>France</t>
  </si>
  <si>
    <t>Netherlands</t>
  </si>
  <si>
    <t>England</t>
  </si>
  <si>
    <t>Wales</t>
  </si>
  <si>
    <t>Channel Islands</t>
  </si>
  <si>
    <t>Scotland</t>
  </si>
  <si>
    <t>ICES Bss-47 2016 assessment</t>
  </si>
  <si>
    <t>ICES Bss-47 2016 assessment (estimated landings)</t>
  </si>
  <si>
    <t>Kept</t>
  </si>
  <si>
    <t>Kept-wt</t>
  </si>
  <si>
    <t>Rel-Wt</t>
  </si>
  <si>
    <t>Kept-No.</t>
  </si>
  <si>
    <t>Rel-No.</t>
  </si>
  <si>
    <t>Year</t>
  </si>
  <si>
    <t>2009-2011</t>
  </si>
  <si>
    <t>Number of anglers</t>
  </si>
  <si>
    <t>Armstrong, 2012</t>
  </si>
  <si>
    <t>Isle of Man</t>
  </si>
  <si>
    <t>NA</t>
  </si>
  <si>
    <t>MMO, 2012</t>
  </si>
  <si>
    <t>Parameters</t>
  </si>
  <si>
    <t>Value</t>
  </si>
  <si>
    <t>Average Retained weight</t>
  </si>
  <si>
    <t>Average released Weight</t>
  </si>
  <si>
    <t>Average Release Probability (#)</t>
  </si>
  <si>
    <t>Recreational Discard Mortality</t>
  </si>
  <si>
    <t>Commercial Discard Mortality</t>
  </si>
  <si>
    <t>Commercial</t>
  </si>
  <si>
    <t>C-Source</t>
  </si>
  <si>
    <t>Recreational</t>
  </si>
  <si>
    <t>R-Source</t>
  </si>
  <si>
    <t>Init data</t>
  </si>
  <si>
    <t>Angler Numbers</t>
  </si>
  <si>
    <t>Retained weight</t>
  </si>
  <si>
    <t>Retained Number</t>
  </si>
  <si>
    <t>Released weight</t>
  </si>
  <si>
    <t>Released Number</t>
  </si>
  <si>
    <t>Ireland</t>
  </si>
  <si>
    <t>Reconstruction</t>
  </si>
  <si>
    <t>Angler numbers</t>
  </si>
  <si>
    <t>Notes</t>
  </si>
  <si>
    <t>Reconstructed retained?</t>
  </si>
  <si>
    <t>Reconstructed released?</t>
  </si>
  <si>
    <t>Calculations</t>
  </si>
  <si>
    <t>Retained Wt</t>
  </si>
  <si>
    <t>Retained # calculation</t>
  </si>
  <si>
    <t>Released # calculation</t>
  </si>
  <si>
    <t>EN</t>
  </si>
  <si>
    <t>Avg</t>
  </si>
  <si>
    <t>None</t>
  </si>
  <si>
    <t>Source/notes</t>
  </si>
  <si>
    <t>Prop</t>
  </si>
  <si>
    <t>% of total weight reconstructed</t>
  </si>
  <si>
    <t>Released Weight</t>
  </si>
  <si>
    <t>Total weight</t>
  </si>
  <si>
    <t>Summary with post release mortalities</t>
  </si>
  <si>
    <t>% of catch</t>
  </si>
  <si>
    <t>Removal</t>
  </si>
  <si>
    <t>Landings</t>
  </si>
  <si>
    <t>Total removal</t>
  </si>
  <si>
    <t>Released mortality</t>
  </si>
  <si>
    <t>Discard mortality</t>
  </si>
  <si>
    <t>Additional notes</t>
  </si>
  <si>
    <t>Bss-8c9a</t>
  </si>
  <si>
    <t>ICES bss-8c9a assessment</t>
  </si>
  <si>
    <t>2015-2016</t>
  </si>
  <si>
    <t>DCF Sampling. Years 2015 &amp; 2016 (Basque = 35% of licences in VIIIc)</t>
  </si>
  <si>
    <t>Spain Basque country (VIIIc)</t>
  </si>
  <si>
    <t>Portugal</t>
  </si>
  <si>
    <t>Spain</t>
  </si>
  <si>
    <t>ICES catch statistics webpage</t>
  </si>
  <si>
    <t>ICES 2015 bss-8ab assessment</t>
  </si>
  <si>
    <t>ICES 2015 bss-8ab assessment (ICES estimate)</t>
  </si>
  <si>
    <t>Portugal (North)</t>
  </si>
  <si>
    <t>No. of anglers from Hyder et al. 2017</t>
  </si>
  <si>
    <t>Number of anglers = estimation of licenses by Zarauz pers. Comm. Worth noting that southern IXa region landings likey to be significantly different than those in the north but there are no data to prove this.</t>
  </si>
  <si>
    <t>BASQUE</t>
  </si>
  <si>
    <t>Port (N)</t>
  </si>
  <si>
    <t>8c9a commercial</t>
  </si>
  <si>
    <t>ICES Bss-8c9a 2015 assessment</t>
  </si>
  <si>
    <t>Discards considered negligable</t>
  </si>
  <si>
    <t>France (Bay of Biscay)</t>
  </si>
  <si>
    <t>Bss-8ab</t>
  </si>
  <si>
    <t>ICES bss-8ab assessment</t>
  </si>
  <si>
    <t>Rocklin et al. 2014</t>
  </si>
  <si>
    <t>Took a different approach to calculating reconstruction % here as partial values were given for countries. Minused the known landed weight from the reconstructed weight to get the % reconstructed</t>
  </si>
  <si>
    <t>Although % are quite high, I would expect the relaibility of these reconstructions to be much higher due to the reconstructions being based on data for that country, albeiet a small section.</t>
  </si>
  <si>
    <t xml:space="preserve">Veiga et al, 2010. Number of anglers calculated trough examining total population in study area * participation rate (1.67%) in Hyder et al, 2017. retained number calculated from average weight in study </t>
  </si>
  <si>
    <t>Effort (h)</t>
  </si>
  <si>
    <t>Total effort</t>
  </si>
  <si>
    <t>Raised total bass catch (in paper) (g)</t>
  </si>
  <si>
    <t>Species</t>
  </si>
  <si>
    <t>Catch (n)</t>
  </si>
  <si>
    <t>Catch (g)</t>
  </si>
  <si>
    <t>CPUE (n)</t>
  </si>
  <si>
    <t>CPUE (g)</t>
  </si>
  <si>
    <t>Raised catch (n)</t>
  </si>
  <si>
    <t>Raised catch (t)</t>
  </si>
  <si>
    <t>Spotted + european bass (test)</t>
  </si>
  <si>
    <t>European seabass</t>
  </si>
  <si>
    <t>N</t>
  </si>
  <si>
    <t>Total ICES</t>
  </si>
  <si>
    <t>United Kingdom</t>
  </si>
  <si>
    <t>ICES 2015 bss-8ab assessment (Estimated total landings)</t>
  </si>
  <si>
    <t>ICES Bss-47 2016 assessment (ICES estimates)</t>
  </si>
  <si>
    <t>2014 Population from World Bank * UK participation rate (Hyder et al., 2017)</t>
  </si>
  <si>
    <t>France Ifremer; Rocklin et al. 2014</t>
  </si>
  <si>
    <r>
      <t xml:space="preserve">Lewin </t>
    </r>
    <r>
      <rPr>
        <i/>
        <sz val="11"/>
        <color theme="1"/>
        <rFont val="Calibri"/>
        <family val="2"/>
        <scheme val="minor"/>
      </rPr>
      <t>et al</t>
    </r>
    <r>
      <rPr>
        <sz val="11"/>
        <color theme="1"/>
        <rFont val="Calibri"/>
        <family val="2"/>
        <scheme val="minor"/>
      </rPr>
      <t>. (submitted)</t>
    </r>
  </si>
  <si>
    <t>ICES 2014 bss-47 assessment</t>
  </si>
  <si>
    <t>Precautionary approach</t>
  </si>
  <si>
    <t>Recreational data year</t>
  </si>
  <si>
    <t>Commercial discard to landings ratio</t>
  </si>
  <si>
    <t>Germany</t>
  </si>
  <si>
    <t>Bias</t>
  </si>
  <si>
    <t>England*</t>
  </si>
  <si>
    <t>Netherlands*</t>
  </si>
  <si>
    <t>Leave-one-out (* = countries used in leave-one-out procedure)</t>
  </si>
  <si>
    <t>Total (LOO)</t>
  </si>
  <si>
    <t>Released Mortality</t>
  </si>
  <si>
    <t>Upper confidence limit</t>
  </si>
  <si>
    <t>Lower confidence limit</t>
  </si>
  <si>
    <t>Result</t>
  </si>
  <si>
    <t>Spain*</t>
  </si>
  <si>
    <t>Portugal*</t>
  </si>
  <si>
    <t>Cant do leave one out as only one country</t>
  </si>
  <si>
    <t>t</t>
  </si>
  <si>
    <t>No</t>
  </si>
  <si>
    <t>van der Hammen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</si>
</sst>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13" x14ac:knownFonts="1">
    <font>
      <sz val="11"/>
      <color theme="1"/>
      <name val="Calibri"/>
      <family val="2"/>
      <scheme val="minor"/>
    </font>
    <font>
      <sz val="11"/>
      <color theme="1"/>
      <name val="Calibri"/>
      <family val="2"/>
      <scheme val="minor"/>
    </font>
    <font>
      <sz val="11"/>
      <color rgb="FF006100"/>
      <name val="Calibri"/>
      <family val="2"/>
      <scheme val="minor"/>
    </font>
    <font>
      <i/>
      <sz val="11"/>
      <color theme="1"/>
      <name val="Calibri"/>
      <family val="2"/>
      <scheme val="minor"/>
    </font>
    <font>
      <sz val="11"/>
      <color theme="1"/>
      <name val="Calibri"/>
      <family val="2"/>
      <scheme val="minor"/>
    </font>
    <font>
      <b/>
      <sz val="11"/>
      <name val="Calibri"/>
      <family val="2"/>
      <scheme val="minor"/>
    </font>
    <font>
      <b/>
      <sz val="11"/>
      <color rgb="FF006100"/>
      <name val="Calibri"/>
      <family val="2"/>
      <scheme val="minor"/>
    </font>
    <font>
      <sz val="11"/>
      <color theme="1"/>
      <name val="Calibri"/>
      <family val="2"/>
      <scheme val="minor"/>
    </font>
    <font>
      <sz val="11"/>
      <color theme="1"/>
      <name val="Calibri"/>
      <family val="2"/>
      <scheme val="minor"/>
    </font>
    <font>
      <b/>
      <sz val="11"/>
      <color rgb="FF006100"/>
      <name val="Calibri"/>
      <family val="2"/>
      <scheme val="minor"/>
    </font>
    <font>
      <sz val="11"/>
      <color theme="1"/>
      <name val="Calibri"/>
      <family val="2"/>
      <scheme val="minor"/>
    </font>
    <font>
      <b/>
      <sz val="11"/>
      <color rgb="FF006100"/>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6EFCE"/>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43" fontId="1" fillId="0" borderId="0" applyFont="0" applyFill="0" applyBorder="0" applyAlignment="0" applyProtection="0"/>
    <xf numFmtId="0" fontId="2" fillId="3" borderId="0" applyNumberFormat="0" applyBorder="0" applyAlignment="0" applyProtection="0"/>
  </cellStyleXfs>
  <cellXfs count="61">
    <xf numFmtId="0" fontId="0" fillId="0" borderId="0" xfId="0"/>
    <xf numFmtId="3" fontId="0" fillId="0" borderId="0" xfId="0" applyNumberFormat="1"/>
    <xf numFmtId="0" fontId="0" fillId="0" borderId="0" xfId="0" applyAlignment="1">
      <alignment horizontal="left"/>
    </xf>
    <xf numFmtId="3" fontId="0" fillId="0" borderId="0" xfId="0" applyNumberFormat="1" applyAlignment="1">
      <alignment horizontal="left" vertical="center"/>
    </xf>
    <xf numFmtId="164" fontId="0" fillId="0" borderId="0" xfId="0" applyNumberFormat="1" applyAlignment="1">
      <alignment horizontal="left"/>
    </xf>
    <xf numFmtId="1" fontId="0" fillId="0" borderId="0" xfId="0" applyNumberFormat="1" applyAlignment="1">
      <alignment horizontal="left"/>
    </xf>
    <xf numFmtId="165" fontId="0" fillId="0" borderId="0" xfId="0" applyNumberFormat="1" applyFill="1" applyAlignment="1">
      <alignment horizontal="left" vertical="center"/>
    </xf>
    <xf numFmtId="1" fontId="0" fillId="0" borderId="0" xfId="0" applyNumberFormat="1"/>
    <xf numFmtId="0" fontId="0" fillId="0" borderId="0" xfId="0"/>
    <xf numFmtId="0" fontId="0" fillId="0" borderId="0" xfId="0" applyAlignment="1">
      <alignment horizontal="left"/>
    </xf>
    <xf numFmtId="0" fontId="0" fillId="0" borderId="0" xfId="0" applyNumberFormat="1"/>
    <xf numFmtId="0" fontId="0" fillId="0" borderId="0" xfId="1" applyNumberFormat="1" applyFont="1"/>
    <xf numFmtId="0" fontId="0" fillId="0" borderId="0" xfId="1" applyNumberFormat="1" applyFont="1" applyAlignment="1">
      <alignment horizontal="left" vertical="top"/>
    </xf>
    <xf numFmtId="0" fontId="0" fillId="0" borderId="0" xfId="0" applyFill="1"/>
    <xf numFmtId="0" fontId="0" fillId="0" borderId="0" xfId="0" applyAlignment="1">
      <alignment horizontal="left"/>
    </xf>
    <xf numFmtId="0" fontId="4" fillId="0" borderId="0" xfId="0" applyFont="1"/>
    <xf numFmtId="0" fontId="4" fillId="0" borderId="0" xfId="0" applyFont="1" applyAlignment="1"/>
    <xf numFmtId="0" fontId="4" fillId="0" borderId="0" xfId="0" applyFont="1" applyFill="1"/>
    <xf numFmtId="0" fontId="4" fillId="0" borderId="0" xfId="0" applyFont="1" applyFill="1" applyAlignment="1"/>
    <xf numFmtId="10" fontId="4" fillId="0" borderId="0" xfId="0" applyNumberFormat="1" applyFont="1"/>
    <xf numFmtId="0" fontId="5" fillId="2" borderId="0" xfId="0" applyFont="1" applyFill="1" applyAlignment="1"/>
    <xf numFmtId="0" fontId="4" fillId="2" borderId="0" xfId="0" applyFont="1" applyFill="1"/>
    <xf numFmtId="2" fontId="4" fillId="0" borderId="0" xfId="0" applyNumberFormat="1" applyFont="1"/>
    <xf numFmtId="0" fontId="6" fillId="3" borderId="0" xfId="2" applyFont="1"/>
    <xf numFmtId="10" fontId="6" fillId="3" borderId="0" xfId="2" applyNumberFormat="1" applyFont="1"/>
    <xf numFmtId="0" fontId="7" fillId="0" borderId="0" xfId="0" applyFont="1"/>
    <xf numFmtId="0" fontId="8" fillId="0" borderId="0" xfId="0" applyFont="1"/>
    <xf numFmtId="10" fontId="8" fillId="0" borderId="0" xfId="0" applyNumberFormat="1" applyFont="1" applyFill="1" applyAlignment="1"/>
    <xf numFmtId="10" fontId="8" fillId="0" borderId="0" xfId="0" applyNumberFormat="1" applyFont="1"/>
    <xf numFmtId="0" fontId="9" fillId="3" borderId="0" xfId="2" applyFont="1"/>
    <xf numFmtId="10" fontId="9" fillId="3" borderId="0" xfId="2" applyNumberFormat="1" applyFont="1"/>
    <xf numFmtId="0" fontId="0" fillId="2" borderId="0" xfId="0" applyFill="1"/>
    <xf numFmtId="3" fontId="0" fillId="2" borderId="0" xfId="0" applyNumberFormat="1" applyFill="1"/>
    <xf numFmtId="1" fontId="4" fillId="0" borderId="0" xfId="0" applyNumberFormat="1" applyFont="1"/>
    <xf numFmtId="3" fontId="0" fillId="0" borderId="0" xfId="0" applyNumberFormat="1" applyFill="1" applyAlignment="1">
      <alignment horizontal="left" vertical="top"/>
    </xf>
    <xf numFmtId="0" fontId="0" fillId="0" borderId="0" xfId="0" applyFill="1" applyAlignment="1">
      <alignment horizontal="left"/>
    </xf>
    <xf numFmtId="0" fontId="0" fillId="0" borderId="0" xfId="0" applyFont="1"/>
    <xf numFmtId="2" fontId="0" fillId="0" borderId="0" xfId="0" applyNumberFormat="1" applyFont="1"/>
    <xf numFmtId="3" fontId="4" fillId="0" borderId="0" xfId="0" applyNumberFormat="1" applyFont="1"/>
    <xf numFmtId="0" fontId="10" fillId="0" borderId="0" xfId="0" applyFont="1"/>
    <xf numFmtId="0" fontId="10" fillId="0" borderId="0" xfId="0" applyFont="1" applyFill="1"/>
    <xf numFmtId="3" fontId="10" fillId="0" borderId="0" xfId="0" applyNumberFormat="1" applyFont="1" applyFill="1"/>
    <xf numFmtId="4" fontId="10" fillId="0" borderId="0" xfId="0" applyNumberFormat="1" applyFont="1" applyFill="1"/>
    <xf numFmtId="0" fontId="10" fillId="0" borderId="0" xfId="0" applyFont="1" applyFill="1" applyAlignment="1"/>
    <xf numFmtId="10" fontId="10" fillId="0" borderId="0" xfId="0" applyNumberFormat="1" applyFont="1" applyFill="1"/>
    <xf numFmtId="0" fontId="11" fillId="3" borderId="1" xfId="2" applyFont="1" applyBorder="1"/>
    <xf numFmtId="4" fontId="11" fillId="3" borderId="1" xfId="2" applyNumberFormat="1" applyFont="1" applyBorder="1"/>
    <xf numFmtId="10" fontId="11" fillId="3" borderId="1" xfId="2" applyNumberFormat="1" applyFont="1" applyBorder="1"/>
    <xf numFmtId="3" fontId="10" fillId="0" borderId="0" xfId="0" applyNumberFormat="1" applyFont="1"/>
    <xf numFmtId="2" fontId="10" fillId="0" borderId="0" xfId="0" applyNumberFormat="1" applyFont="1"/>
    <xf numFmtId="1" fontId="1" fillId="0" borderId="0" xfId="0" applyNumberFormat="1" applyFont="1" applyAlignment="1">
      <alignment horizontal="center"/>
    </xf>
    <xf numFmtId="1" fontId="12" fillId="0" borderId="0" xfId="0" applyNumberFormat="1" applyFont="1" applyAlignment="1">
      <alignment horizontal="center"/>
    </xf>
    <xf numFmtId="1" fontId="0" fillId="0" borderId="0" xfId="0" applyNumberFormat="1" applyFont="1" applyAlignment="1">
      <alignment horizontal="center"/>
    </xf>
    <xf numFmtId="0" fontId="1" fillId="0" borderId="0" xfId="0" applyFont="1"/>
    <xf numFmtId="0" fontId="0" fillId="0" borderId="0" xfId="0" applyFont="1" applyFill="1"/>
    <xf numFmtId="0" fontId="10" fillId="0" borderId="0" xfId="0" applyFont="1" applyFill="1" applyAlignment="1">
      <alignment horizontal="center"/>
    </xf>
    <xf numFmtId="0" fontId="10" fillId="2" borderId="0" xfId="0" applyFont="1" applyFill="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0" xfId="0" applyFont="1" applyAlignment="1">
      <alignment horizontal="center"/>
    </xf>
  </cellXfs>
  <cellStyles count="3">
    <cellStyle name="Comma" xfId="1" builtinId="3"/>
    <cellStyle name="Good" xfId="2" builtinId="26"/>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68"/>
  <sheetViews>
    <sheetView tabSelected="1" topLeftCell="A19" zoomScale="70" zoomScaleNormal="70" workbookViewId="0">
      <selection activeCell="E11" sqref="E11"/>
    </sheetView>
  </sheetViews>
  <sheetFormatPr defaultRowHeight="15" x14ac:dyDescent="0.25"/>
  <cols>
    <col min="1" max="1" width="29.28515625" style="39" bestFit="1" customWidth="1"/>
    <col min="2" max="2" width="23" style="39" bestFit="1" customWidth="1"/>
    <col min="3" max="3" width="20.42578125" style="39" bestFit="1" customWidth="1"/>
    <col min="4" max="5" width="16.85546875" style="39" bestFit="1" customWidth="1"/>
    <col min="6" max="6" width="17" style="39" bestFit="1" customWidth="1"/>
    <col min="7" max="7" width="19.140625" style="39" bestFit="1" customWidth="1"/>
    <col min="8" max="8" width="39.5703125" style="39" bestFit="1" customWidth="1"/>
    <col min="9" max="9" width="23.28515625" style="39" bestFit="1" customWidth="1"/>
    <col min="10" max="10" width="45.7109375" style="39" bestFit="1" customWidth="1"/>
    <col min="11" max="11" width="20.7109375" style="39" bestFit="1" customWidth="1"/>
    <col min="12" max="12" width="20.85546875" style="39" bestFit="1" customWidth="1"/>
    <col min="13" max="16384" width="9.140625" style="39"/>
  </cols>
  <sheetData>
    <row r="1" spans="1:12" x14ac:dyDescent="0.25">
      <c r="A1" s="39" t="s">
        <v>24</v>
      </c>
      <c r="B1" s="39" t="s">
        <v>25</v>
      </c>
      <c r="C1" s="39" t="s">
        <v>2</v>
      </c>
    </row>
    <row r="2" spans="1:12" x14ac:dyDescent="0.25">
      <c r="A2" s="39" t="s">
        <v>26</v>
      </c>
      <c r="B2" s="39">
        <f>(SUMIFS('Recreational landings (Bss-47)'!D2:D9,'Recreational landings (Bss-47)'!D2:D9,"&lt;&gt;NA",'Recreational landings (Bss-47)'!E2:E9,"&lt;&gt;NA")/SUMIFS('Recreational landings (Bss-47)'!E2:E9,'Recreational landings (Bss-47)'!E2:E9,"&lt;&gt;NA",'Recreational landings (Bss-47)'!D2:D9,"&lt;&gt;NA"))*1000</f>
        <v>1.0690127350513592</v>
      </c>
    </row>
    <row r="3" spans="1:12" x14ac:dyDescent="0.25">
      <c r="A3" s="39" t="s">
        <v>27</v>
      </c>
      <c r="B3" s="39">
        <f>(SUMIFS('Recreational landings (Bss-47)'!F2:F9,'Recreational landings (Bss-47)'!F2:F9,"&lt;&gt;NA",'Recreational landings (Bss-47)'!G2:G9,"&lt;&gt;NA")/SUMIFS('Recreational landings (Bss-47)'!G2:G9,'Recreational landings (Bss-47)'!G2:G9,"&lt;&gt;NA",'Recreational landings (Bss-47)'!F2:F9,"&lt;&gt;NA"))*1000</f>
        <v>0.40513150471033715</v>
      </c>
    </row>
    <row r="4" spans="1:12" x14ac:dyDescent="0.25">
      <c r="A4" s="39" t="s">
        <v>28</v>
      </c>
      <c r="B4" s="39">
        <f>(G13+G14)/(G13+G14+E13+E14)</f>
        <v>0.54804022173243983</v>
      </c>
    </row>
    <row r="5" spans="1:12" x14ac:dyDescent="0.25">
      <c r="A5" s="39" t="s">
        <v>115</v>
      </c>
      <c r="B5" s="39">
        <f>'Discard rate'!A2</f>
        <v>0.05</v>
      </c>
      <c r="C5" s="39" t="str">
        <f>'Discard rate'!B2</f>
        <v>ICES 2014 bss-47 assessment</v>
      </c>
    </row>
    <row r="6" spans="1:12" x14ac:dyDescent="0.25">
      <c r="A6" s="39" t="s">
        <v>29</v>
      </c>
      <c r="B6" s="39">
        <f>'Discard mortality'!C2</f>
        <v>0.05</v>
      </c>
      <c r="C6" s="39" t="str">
        <f>'Discard mortality'!D2</f>
        <v>Lewin et al. (submitted)</v>
      </c>
    </row>
    <row r="7" spans="1:12" x14ac:dyDescent="0.25">
      <c r="A7" s="40" t="s">
        <v>30</v>
      </c>
      <c r="B7" s="40">
        <f>'Discard mortality'!A2</f>
        <v>1</v>
      </c>
      <c r="C7" s="40" t="str">
        <f>'Discard mortality'!B2</f>
        <v>Precautionary approach</v>
      </c>
      <c r="D7" s="40"/>
      <c r="E7" s="40"/>
      <c r="F7" s="40"/>
      <c r="G7" s="40"/>
      <c r="H7" s="40"/>
      <c r="I7" s="40"/>
      <c r="J7" s="40"/>
      <c r="K7" s="40"/>
      <c r="L7" s="40"/>
    </row>
    <row r="8" spans="1:12" x14ac:dyDescent="0.25">
      <c r="A8" s="40"/>
      <c r="B8" s="40"/>
      <c r="C8" s="40"/>
      <c r="D8" s="40"/>
      <c r="E8" s="40"/>
      <c r="F8" s="40"/>
      <c r="G8" s="40"/>
      <c r="H8" s="40"/>
      <c r="I8" s="40"/>
      <c r="J8" s="40"/>
      <c r="K8" s="40"/>
      <c r="L8" s="40"/>
    </row>
    <row r="9" spans="1:12" x14ac:dyDescent="0.25">
      <c r="A9" s="55" t="s">
        <v>35</v>
      </c>
      <c r="B9" s="55"/>
      <c r="C9" s="55"/>
      <c r="D9" s="55"/>
      <c r="E9" s="55"/>
      <c r="F9" s="55"/>
      <c r="G9" s="55"/>
      <c r="H9" s="55"/>
      <c r="I9" s="55"/>
      <c r="J9" s="40"/>
      <c r="K9" s="40"/>
      <c r="L9" s="40"/>
    </row>
    <row r="10" spans="1:12" x14ac:dyDescent="0.25">
      <c r="A10" s="40" t="s">
        <v>0</v>
      </c>
      <c r="B10" s="40" t="s">
        <v>114</v>
      </c>
      <c r="C10" s="40" t="s">
        <v>36</v>
      </c>
      <c r="D10" s="40" t="s">
        <v>37</v>
      </c>
      <c r="E10" s="40" t="s">
        <v>38</v>
      </c>
      <c r="F10" s="40" t="s">
        <v>39</v>
      </c>
      <c r="G10" s="40" t="s">
        <v>40</v>
      </c>
      <c r="H10" s="40" t="s">
        <v>54</v>
      </c>
      <c r="I10" s="40" t="s">
        <v>66</v>
      </c>
      <c r="J10" s="40"/>
      <c r="K10" s="40"/>
      <c r="L10" s="40"/>
    </row>
    <row r="11" spans="1:12" x14ac:dyDescent="0.25">
      <c r="A11" s="40" t="str">
        <f>'Commercial landings (Bss-47)'!A2</f>
        <v>Belgium</v>
      </c>
      <c r="B11" s="54">
        <f>VLOOKUP($A11,'Recreational landings (Bss-47)'!$A$1:$L$9,2,FALSE)</f>
        <v>2013</v>
      </c>
      <c r="C11" s="41">
        <f>VLOOKUP(A11,'Recreational landings (Bss-47)'!$A$1:$L$9,3,FALSE)</f>
        <v>24409</v>
      </c>
      <c r="D11" s="42" t="str">
        <f>IF(A11 &lt;&gt; "Netherlands", VLOOKUP(A11,'Recreational landings (Bss-47)'!$A$1:$L$9,4,FALSE), AVERAGEIF('Recreational landings (Bss-47)'!$A$2:$A$8, "=Netherlands",'Recreational landings (Bss-47)'!$D$2:$D$8))</f>
        <v>NA</v>
      </c>
      <c r="E11" s="41" t="str">
        <f>IF(A11 &lt;&gt; "Netherlands", VLOOKUP(A11,'Recreational landings (Bss-47)'!$A$1:$L$9,5,FALSE), AVERAGEIF('Recreational landings (Bss-47)'!$A$2:$A$8, "=Netherlands",'Recreational landings (Bss-47)'!$E$2:$E$8))</f>
        <v>NA</v>
      </c>
      <c r="F11" s="41" t="str">
        <f>VLOOKUP($A11,'Recreational landings (Bss-47)'!$A$1:$L$9,6,FALSE)</f>
        <v>NA</v>
      </c>
      <c r="G11" s="41" t="str">
        <f>IF($A11 &lt;&gt; "Netherlands", VLOOKUP($A11,'Recreational landings (Bss-47)'!$A$1:$L$9,7,FALSE), AVERAGEIF('Recreational landings (Bss-47)'!$A$2:$A$8, "=Netherlands",'Recreational landings (Bss-47)'!$G$2:$G$8))</f>
        <v>NA</v>
      </c>
      <c r="H11" s="40" t="str">
        <f>VLOOKUP($A11,'Recreational landings (Bss-47)'!$A$1:$L$9,8,FALSE)</f>
        <v>NA</v>
      </c>
      <c r="I11" s="43"/>
      <c r="J11" s="43"/>
      <c r="K11" s="43"/>
      <c r="L11" s="43"/>
    </row>
    <row r="12" spans="1:12" x14ac:dyDescent="0.25">
      <c r="A12" s="40" t="str">
        <f>'Commercial landings (Bss-47)'!A3</f>
        <v>France</v>
      </c>
      <c r="B12" s="54" t="str">
        <f>VLOOKUP($A12,'Recreational landings (Bss-47)'!$A$1:$L$9,2,FALSE)</f>
        <v>2009-2011</v>
      </c>
      <c r="C12" s="41">
        <f>VLOOKUP(A12,'Recreational landings (Bss-47)'!$A$1:$L$9,3,FALSE)</f>
        <v>791000</v>
      </c>
      <c r="D12" s="42">
        <f>IF(A12 &lt;&gt; "Netherlands", VLOOKUP(A12,'Recreational landings (Bss-47)'!$A$1:$L$9,4,FALSE), AVERAGEIF('Recreational landings (Bss-47)'!$A$2:$A$8, "=Netherlands",'Recreational landings (Bss-47)'!$D$2:$D$8))</f>
        <v>940</v>
      </c>
      <c r="E12" s="41">
        <f>IF(A12 &lt;&gt; "Netherlands", VLOOKUP(A12,'Recreational landings (Bss-47)'!$A$1:$L$9,5,FALSE), AVERAGEIF('Recreational landings (Bss-47)'!$A$2:$A$8, "=Netherlands",'Recreational landings (Bss-47)'!$E$2:$E$8))</f>
        <v>781217.36</v>
      </c>
      <c r="F12" s="41">
        <f>VLOOKUP($A12,'Recreational landings (Bss-47)'!$A$1:$L$9,6,FALSE)</f>
        <v>332</v>
      </c>
      <c r="G12" s="41">
        <f>IF($A12 &lt;&gt; "Netherlands", VLOOKUP($A12,'Recreational landings (Bss-47)'!$A$1:$L$9,7,FALSE), AVERAGEIF('Recreational landings (Bss-47)'!$A$2:$A$8, "=Netherlands",'Recreational landings (Bss-47)'!$G$2:$G$8))</f>
        <v>796373.37</v>
      </c>
      <c r="H12" s="40" t="str">
        <f>VLOOKUP($A12,'Recreational landings (Bss-47)'!$A$1:$L$9,8,FALSE)</f>
        <v>France Ifremer; Rocklin et al. 2014</v>
      </c>
      <c r="I12" s="40"/>
      <c r="J12" s="40"/>
      <c r="K12" s="40"/>
      <c r="L12" s="40"/>
    </row>
    <row r="13" spans="1:12" x14ac:dyDescent="0.25">
      <c r="A13" s="40" t="str">
        <f>'Commercial landings (Bss-47)'!A4</f>
        <v>Netherlands</v>
      </c>
      <c r="B13" s="54">
        <f>VLOOKUP($A13,'Recreational landings (Bss-47)'!$A$1:$L$9,2,FALSE)</f>
        <v>2011</v>
      </c>
      <c r="C13" s="41">
        <f>VLOOKUP(A13,'Recreational landings (Bss-47)'!$A$1:$L$9,3,FALSE)</f>
        <v>504108</v>
      </c>
      <c r="D13" s="42">
        <f>IF(A13 &lt;&gt; "Netherlands", VLOOKUP(A13,'Recreational landings (Bss-47)'!$A$1:$L$9,4,FALSE), AVERAGEIF('Recreational landings (Bss-47)'!$A$2:$A$8, "=Netherlands",'Recreational landings (Bss-47)'!$D$2:$D$8))</f>
        <v>138</v>
      </c>
      <c r="E13" s="41">
        <f>IF(A13 &lt;&gt; "Netherlands", VLOOKUP(A13,'Recreational landings (Bss-47)'!$A$1:$L$9,5,FALSE), AVERAGEIF('Recreational landings (Bss-47)'!$A$2:$A$8, "=Netherlands",'Recreational landings (Bss-47)'!$E$2:$E$8))</f>
        <v>234000</v>
      </c>
      <c r="F13" s="41" t="str">
        <f>VLOOKUP($A13,'Recreational landings (Bss-47)'!$A$1:$L$9,6,FALSE)</f>
        <v>NA</v>
      </c>
      <c r="G13" s="41">
        <f>IF($A13 &lt;&gt; "Netherlands", VLOOKUP($A13,'Recreational landings (Bss-47)'!$A$1:$L$9,7,FALSE), AVERAGEIF('Recreational landings (Bss-47)'!$A$2:$A$8, "=Netherlands",'Recreational landings (Bss-47)'!$G$2:$G$8))</f>
        <v>131000</v>
      </c>
      <c r="H13" s="40" t="str">
        <f>VLOOKUP($A13,'Recreational landings (Bss-47)'!$A$1:$L$9,8,FALSE)</f>
        <v>van der Hammen (2013)</v>
      </c>
      <c r="I13" s="40"/>
      <c r="J13" s="40"/>
      <c r="K13" s="40"/>
      <c r="L13" s="40"/>
    </row>
    <row r="14" spans="1:12" x14ac:dyDescent="0.25">
      <c r="A14" s="40" t="str">
        <f>'Commercial landings (Bss-47)'!A5</f>
        <v>England</v>
      </c>
      <c r="B14" s="54">
        <f>VLOOKUP($A14,'Recreational landings (Bss-47)'!$A$1:$L$9,2,FALSE)</f>
        <v>2012</v>
      </c>
      <c r="C14" s="41">
        <f>VLOOKUP(A14,'Recreational landings (Bss-47)'!$A$1:$L$9,3,FALSE)</f>
        <v>884000</v>
      </c>
      <c r="D14" s="42">
        <f>IF(A14 &lt;&gt; "Netherlands", VLOOKUP(A14,'Recreational landings (Bss-47)'!$A$1:$L$9,4,FALSE), AVERAGEIF('Recreational landings (Bss-47)'!$A$2:$A$8, "=Netherlands",'Recreational landings (Bss-47)'!$D$2:$D$8))</f>
        <v>332.47204715504819</v>
      </c>
      <c r="E14" s="41">
        <f>IF(A14 &lt;&gt; "Netherlands", VLOOKUP(A14,'Recreational landings (Bss-47)'!$A$1:$L$9,5,FALSE), AVERAGEIF('Recreational landings (Bss-47)'!$A$2:$A$8, "=Netherlands",'Recreational landings (Bss-47)'!$E$2:$E$8))</f>
        <v>304198.21000000002</v>
      </c>
      <c r="F14" s="41">
        <f>VLOOKUP($A14,'Recreational landings (Bss-47)'!$A$1:$L$9,6,FALSE)</f>
        <v>201.95729890274924</v>
      </c>
      <c r="G14" s="41">
        <f>IF($A14 &lt;&gt; "Netherlands", VLOOKUP($A14,'Recreational landings (Bss-47)'!$A$1:$L$9,7,FALSE), AVERAGEIF('Recreational landings (Bss-47)'!$A$2:$A$8, "=Netherlands",'Recreational landings (Bss-47)'!$G$2:$G$8))</f>
        <v>521611.76</v>
      </c>
      <c r="H14" s="40" t="str">
        <f>VLOOKUP($A14,'Recreational landings (Bss-47)'!$A$1:$L$9,8,FALSE)</f>
        <v>Armstrong, 2012</v>
      </c>
      <c r="I14" s="40"/>
      <c r="J14" s="40"/>
      <c r="K14" s="40"/>
      <c r="L14" s="40"/>
    </row>
    <row r="15" spans="1:12" x14ac:dyDescent="0.25">
      <c r="A15" s="40" t="str">
        <f>'Commercial landings (Bss-47)'!A6</f>
        <v>Wales</v>
      </c>
      <c r="B15" s="54" t="str">
        <f>VLOOKUP($A15,'Recreational landings (Bss-47)'!$A$1:$L$9,2,FALSE)</f>
        <v>NA</v>
      </c>
      <c r="C15" s="41">
        <f>VLOOKUP(A15,'Recreational landings (Bss-47)'!$A$1:$L$9,3,FALSE)</f>
        <v>76000</v>
      </c>
      <c r="D15" s="42" t="str">
        <f>IF(A15 &lt;&gt; "Netherlands", VLOOKUP(A15,'Recreational landings (Bss-47)'!$A$1:$L$9,4,FALSE), AVERAGEIF('Recreational landings (Bss-47)'!$A$2:$A$8, "=Netherlands",'Recreational landings (Bss-47)'!$D$2:$D$8))</f>
        <v>NA</v>
      </c>
      <c r="E15" s="41" t="str">
        <f>IF(A15 &lt;&gt; "Netherlands", VLOOKUP(A15,'Recreational landings (Bss-47)'!$A$1:$L$9,5,FALSE), AVERAGEIF('Recreational landings (Bss-47)'!$A$2:$A$8, "=Netherlands",'Recreational landings (Bss-47)'!$E$2:$E$8))</f>
        <v>NA</v>
      </c>
      <c r="F15" s="41" t="str">
        <f>VLOOKUP($A15,'Recreational landings (Bss-47)'!$A$1:$L$9,6,FALSE)</f>
        <v>NA</v>
      </c>
      <c r="G15" s="41" t="str">
        <f>IF($A15 &lt;&gt; "Netherlands", VLOOKUP($A15,'Recreational landings (Bss-47)'!$A$1:$L$9,7,FALSE), AVERAGEIF('Recreational landings (Bss-47)'!$A$2:$A$8, "=Netherlands",'Recreational landings (Bss-47)'!$G$2:$G$8))</f>
        <v>NA</v>
      </c>
      <c r="H15" s="40" t="str">
        <f>VLOOKUP($A15,'Recreational landings (Bss-47)'!$A$1:$L$9,8,FALSE)</f>
        <v>NA</v>
      </c>
      <c r="I15" s="40"/>
      <c r="J15" s="40"/>
      <c r="K15" s="40"/>
      <c r="L15" s="40"/>
    </row>
    <row r="16" spans="1:12" x14ac:dyDescent="0.25">
      <c r="A16" s="40" t="str">
        <f>'Commercial landings (Bss-47)'!A7</f>
        <v>Channel Islands</v>
      </c>
      <c r="B16" s="54" t="str">
        <f>VLOOKUP($A16,'Recreational landings (Bss-47)'!$A$1:$L$9,2,FALSE)</f>
        <v>NA</v>
      </c>
      <c r="C16" s="41">
        <f>VLOOKUP(A16,'Recreational landings (Bss-47)'!$A$1:$L$9,3,FALSE)</f>
        <v>4092.0000000000005</v>
      </c>
      <c r="D16" s="42" t="str">
        <f>IF(A16 &lt;&gt; "Netherlands", VLOOKUP(A16,'Recreational landings (Bss-47)'!$A$1:$L$9,4,FALSE), AVERAGEIF('Recreational landings (Bss-47)'!$A$2:$A$8, "=Netherlands",'Recreational landings (Bss-47)'!$D$2:$D$8))</f>
        <v>NA</v>
      </c>
      <c r="E16" s="41" t="str">
        <f>IF(A16 &lt;&gt; "Netherlands", VLOOKUP(A16,'Recreational landings (Bss-47)'!$A$1:$L$9,5,FALSE), AVERAGEIF('Recreational landings (Bss-47)'!$A$2:$A$8, "=Netherlands",'Recreational landings (Bss-47)'!$E$2:$E$8))</f>
        <v>NA</v>
      </c>
      <c r="F16" s="41" t="str">
        <f>VLOOKUP($A16,'Recreational landings (Bss-47)'!$A$1:$L$9,6,FALSE)</f>
        <v>NA</v>
      </c>
      <c r="G16" s="41" t="str">
        <f>IF($A16 &lt;&gt; "Netherlands", VLOOKUP($A16,'Recreational landings (Bss-47)'!$A$1:$L$9,7,FALSE), AVERAGEIF('Recreational landings (Bss-47)'!$A$2:$A$8, "=Netherlands",'Recreational landings (Bss-47)'!$G$2:$G$8))</f>
        <v>NA</v>
      </c>
      <c r="H16" s="40" t="str">
        <f>VLOOKUP($A16,'Recreational landings (Bss-47)'!$A$1:$L$9,8,FALSE)</f>
        <v>NA</v>
      </c>
      <c r="I16" s="40"/>
      <c r="J16" s="40"/>
      <c r="K16" s="40"/>
      <c r="L16" s="40"/>
    </row>
    <row r="17" spans="1:13" x14ac:dyDescent="0.25">
      <c r="A17" s="40" t="str">
        <f>'Commercial landings (Bss-47)'!A9</f>
        <v>Isle of Man</v>
      </c>
      <c r="B17" s="54" t="str">
        <f>VLOOKUP($A17,'Recreational landings (Bss-47)'!$A$1:$L$9,2,FALSE)</f>
        <v>NA</v>
      </c>
      <c r="C17" s="41">
        <f>VLOOKUP(A17,'Recreational landings (Bss-47)'!$A$1:$L$9,3,FALSE)</f>
        <v>1560</v>
      </c>
      <c r="D17" s="42" t="str">
        <f>IF(A17 &lt;&gt; "Netherlands", VLOOKUP(A17,'Recreational landings (Bss-47)'!$A$1:$L$9,4,FALSE), AVERAGEIF('Recreational landings (Bss-47)'!$A$2:$A$8, "=Netherlands",'Recreational landings (Bss-47)'!$D$2:$D$8))</f>
        <v>NA</v>
      </c>
      <c r="E17" s="41" t="str">
        <f>IF(A17 &lt;&gt; "Netherlands", VLOOKUP(A17,'Recreational landings (Bss-47)'!$A$1:$L$9,5,FALSE), AVERAGEIF('Recreational landings (Bss-47)'!$A$2:$A$8, "=Netherlands",'Recreational landings (Bss-47)'!$E$2:$E$8))</f>
        <v>NA</v>
      </c>
      <c r="F17" s="41" t="str">
        <f>VLOOKUP($A17,'Recreational landings (Bss-47)'!$A$1:$L$9,6,FALSE)</f>
        <v>NA</v>
      </c>
      <c r="G17" s="41" t="str">
        <f>IF($A17 &lt;&gt; "Netherlands", VLOOKUP($A17,'Recreational landings (Bss-47)'!$A$1:$L$9,7,FALSE), AVERAGEIF('Recreational landings (Bss-47)'!$A$2:$A$8, "=Netherlands",'Recreational landings (Bss-47)'!$G$2:$G$8))</f>
        <v>NA</v>
      </c>
      <c r="H17" s="40" t="str">
        <f>VLOOKUP($A17,'Recreational landings (Bss-47)'!$A$1:$L$9,8,FALSE)</f>
        <v>2014 Population from World Bank * UK participation rate (Hyder et al., 2017)</v>
      </c>
      <c r="I17" s="40"/>
      <c r="J17" s="40"/>
      <c r="K17" s="40"/>
      <c r="L17" s="40"/>
    </row>
    <row r="18" spans="1:13" x14ac:dyDescent="0.25">
      <c r="B18" s="40"/>
      <c r="C18" s="40"/>
      <c r="D18" s="40"/>
      <c r="E18" s="40"/>
      <c r="F18" s="40"/>
      <c r="G18" s="40"/>
      <c r="H18" s="40"/>
      <c r="I18" s="40"/>
      <c r="J18" s="40"/>
      <c r="K18" s="40"/>
      <c r="L18" s="40"/>
    </row>
    <row r="19" spans="1:13" x14ac:dyDescent="0.25">
      <c r="A19" s="55" t="s">
        <v>42</v>
      </c>
      <c r="B19" s="55"/>
      <c r="C19" s="55"/>
      <c r="D19" s="55"/>
      <c r="E19" s="55"/>
      <c r="F19" s="55"/>
      <c r="G19" s="55"/>
      <c r="H19" s="55"/>
      <c r="I19" s="55"/>
      <c r="J19" s="55" t="s">
        <v>47</v>
      </c>
      <c r="K19" s="55"/>
      <c r="L19" s="55"/>
    </row>
    <row r="20" spans="1:13" x14ac:dyDescent="0.25">
      <c r="A20" s="40" t="s">
        <v>0</v>
      </c>
      <c r="B20" s="40" t="s">
        <v>43</v>
      </c>
      <c r="C20" s="40" t="s">
        <v>37</v>
      </c>
      <c r="D20" s="40" t="s">
        <v>38</v>
      </c>
      <c r="E20" s="40" t="s">
        <v>39</v>
      </c>
      <c r="F20" s="40" t="s">
        <v>40</v>
      </c>
      <c r="G20" s="40" t="s">
        <v>44</v>
      </c>
      <c r="H20" s="40" t="s">
        <v>45</v>
      </c>
      <c r="I20" s="40" t="s">
        <v>46</v>
      </c>
      <c r="J20" s="40" t="s">
        <v>48</v>
      </c>
      <c r="K20" s="40" t="s">
        <v>49</v>
      </c>
      <c r="L20" s="40" t="s">
        <v>50</v>
      </c>
      <c r="M20" s="40" t="s">
        <v>117</v>
      </c>
    </row>
    <row r="21" spans="1:13" x14ac:dyDescent="0.25">
      <c r="A21" s="40" t="str">
        <f t="shared" ref="A21:A27" si="0">A11</f>
        <v>Belgium</v>
      </c>
      <c r="B21" s="41">
        <f t="shared" ref="B21:B27" si="1">C11</f>
        <v>24409</v>
      </c>
      <c r="C21" s="42">
        <f>IF(D11 &lt;&gt; "NA", D11, IF(J21 = "Avg", D21*($B$2/1000)))</f>
        <v>8.9791919471810235</v>
      </c>
      <c r="D21" s="41">
        <f>IF(E11&lt;&gt; "NA", E11, IF(K21 = "NL", $B21/$C$13*$E$13, IF(K21 ="EN", $B21/$C$14*$E$14, IF(K21 = "Avg", C21/($B$2/1000)))))</f>
        <v>8399.5182215950226</v>
      </c>
      <c r="E21" s="42">
        <f t="shared" ref="E21:E27" si="2">IF(F11&lt;&gt;"NA",F11,F21*($B$3/1000))</f>
        <v>1.8649312527779187</v>
      </c>
      <c r="F21" s="41">
        <f t="shared" ref="F21:F27" si="3">IF(L21 = "Prop", D21*$B$4, IF(L21 = "EN", B21/$C$14*$G$14, IF(L21 = "None", G11, "Help")))</f>
        <v>4603.2738286086051</v>
      </c>
      <c r="G21" s="40"/>
      <c r="H21" s="40" t="str">
        <f t="shared" ref="H21:H27" si="4">IF(D11 &lt;&gt; "NA", "N", "Y")</f>
        <v>Y</v>
      </c>
      <c r="I21" s="40" t="str">
        <f t="shared" ref="I21:I27" si="5">IF(F11 &lt;&gt; "NA", "N", "Y")</f>
        <v>Y</v>
      </c>
      <c r="J21" s="40" t="s">
        <v>52</v>
      </c>
      <c r="K21" s="40" t="s">
        <v>51</v>
      </c>
      <c r="L21" s="40" t="s">
        <v>55</v>
      </c>
      <c r="M21" s="39">
        <v>-3</v>
      </c>
    </row>
    <row r="22" spans="1:13" x14ac:dyDescent="0.25">
      <c r="A22" s="40" t="str">
        <f t="shared" si="0"/>
        <v>France</v>
      </c>
      <c r="B22" s="41">
        <f t="shared" si="1"/>
        <v>791000</v>
      </c>
      <c r="C22" s="42">
        <f>IF(D12 &lt;&gt; "NA", D12, IF(J22 = "Avg", D22*($B$2/1000)))</f>
        <v>940</v>
      </c>
      <c r="D22" s="41">
        <f t="shared" ref="D22:D27" si="6">IF(E12&lt;&gt; "NA", E12, IF(K22 = "NL", $B22/$C$13*$E$13, IF(K22 ="EN", $B22/$C$14*$E$14, IF(K22 = "Avg", C22/($B$2/1000)))))</f>
        <v>781217.36</v>
      </c>
      <c r="E22" s="42">
        <f t="shared" si="2"/>
        <v>332</v>
      </c>
      <c r="F22" s="41">
        <f t="shared" si="3"/>
        <v>428138.53519563127</v>
      </c>
      <c r="G22" s="40"/>
      <c r="H22" s="40" t="str">
        <f t="shared" si="4"/>
        <v>N</v>
      </c>
      <c r="I22" s="40" t="str">
        <f t="shared" si="5"/>
        <v>N</v>
      </c>
      <c r="J22" s="40" t="s">
        <v>53</v>
      </c>
      <c r="K22" s="40" t="s">
        <v>52</v>
      </c>
      <c r="L22" s="40" t="s">
        <v>55</v>
      </c>
      <c r="M22" s="39">
        <v>0</v>
      </c>
    </row>
    <row r="23" spans="1:13" x14ac:dyDescent="0.25">
      <c r="A23" s="40" t="str">
        <f t="shared" si="0"/>
        <v>Netherlands</v>
      </c>
      <c r="B23" s="41">
        <f t="shared" si="1"/>
        <v>504108</v>
      </c>
      <c r="C23" s="42">
        <f>IF(D13 &lt;&gt; "NA", D13, IF(J23 = "Avg", D23*($B$2/1000)))</f>
        <v>138</v>
      </c>
      <c r="D23" s="41">
        <f t="shared" si="6"/>
        <v>234000</v>
      </c>
      <c r="E23" s="42">
        <f t="shared" si="2"/>
        <v>53.072227117054169</v>
      </c>
      <c r="F23" s="41">
        <f t="shared" si="3"/>
        <v>131000</v>
      </c>
      <c r="G23" s="40"/>
      <c r="H23" s="40" t="str">
        <f t="shared" si="4"/>
        <v>N</v>
      </c>
      <c r="I23" s="40" t="str">
        <f t="shared" si="5"/>
        <v>Y</v>
      </c>
      <c r="J23" s="40" t="s">
        <v>53</v>
      </c>
      <c r="K23" s="40" t="s">
        <v>52</v>
      </c>
      <c r="L23" s="40" t="s">
        <v>53</v>
      </c>
      <c r="M23" s="39">
        <v>0</v>
      </c>
    </row>
    <row r="24" spans="1:13" x14ac:dyDescent="0.25">
      <c r="A24" s="40" t="str">
        <f t="shared" si="0"/>
        <v>England</v>
      </c>
      <c r="B24" s="41">
        <f t="shared" si="1"/>
        <v>884000</v>
      </c>
      <c r="C24" s="42">
        <f t="shared" ref="C24:C27" si="7">IF(D14 &lt;&gt; "NA", D14, IF(J24 = "Avg", D24*($B$2/1000)))</f>
        <v>332.47204715504819</v>
      </c>
      <c r="D24" s="41">
        <f t="shared" si="6"/>
        <v>304198.21000000002</v>
      </c>
      <c r="E24" s="42">
        <f t="shared" si="2"/>
        <v>201.95729890274924</v>
      </c>
      <c r="F24" s="41">
        <f t="shared" si="3"/>
        <v>521611.76</v>
      </c>
      <c r="G24" s="40"/>
      <c r="H24" s="40" t="str">
        <f t="shared" si="4"/>
        <v>N</v>
      </c>
      <c r="I24" s="40" t="str">
        <f t="shared" si="5"/>
        <v>N</v>
      </c>
      <c r="J24" s="40" t="s">
        <v>53</v>
      </c>
      <c r="K24" s="40" t="s">
        <v>53</v>
      </c>
      <c r="L24" s="40" t="s">
        <v>53</v>
      </c>
      <c r="M24" s="39">
        <v>0</v>
      </c>
    </row>
    <row r="25" spans="1:13" x14ac:dyDescent="0.25">
      <c r="A25" s="40" t="str">
        <f t="shared" si="0"/>
        <v>Wales</v>
      </c>
      <c r="B25" s="41">
        <f t="shared" si="1"/>
        <v>76000</v>
      </c>
      <c r="C25" s="42">
        <f t="shared" si="7"/>
        <v>27.95766266482682</v>
      </c>
      <c r="D25" s="41">
        <f t="shared" si="6"/>
        <v>26152.787285067876</v>
      </c>
      <c r="E25" s="42">
        <f t="shared" si="2"/>
        <v>18.167899488075737</v>
      </c>
      <c r="F25" s="41">
        <f t="shared" si="3"/>
        <v>44844.44995475113</v>
      </c>
      <c r="G25" s="40"/>
      <c r="H25" s="40" t="str">
        <f t="shared" si="4"/>
        <v>Y</v>
      </c>
      <c r="I25" s="40" t="str">
        <f t="shared" si="5"/>
        <v>Y</v>
      </c>
      <c r="J25" s="40" t="s">
        <v>52</v>
      </c>
      <c r="K25" s="40" t="s">
        <v>51</v>
      </c>
      <c r="L25" s="40" t="s">
        <v>51</v>
      </c>
      <c r="M25" s="39">
        <v>0</v>
      </c>
    </row>
    <row r="26" spans="1:13" x14ac:dyDescent="0.25">
      <c r="A26" s="40" t="str">
        <f t="shared" si="0"/>
        <v>Channel Islands</v>
      </c>
      <c r="B26" s="41">
        <f t="shared" si="1"/>
        <v>4092.0000000000005</v>
      </c>
      <c r="C26" s="42">
        <f t="shared" si="7"/>
        <v>1.5052994161114652</v>
      </c>
      <c r="D26" s="41">
        <f>IF(E16&lt;&gt; "NA", E16, IF(K26 = "NL", $B26/$C$13*$E$13, IF(K26 ="EN", $B26/$C$14*$E$14, IF(K26 = "Avg", C26/($B$2/1000)))))</f>
        <v>1408.121125927602</v>
      </c>
      <c r="E26" s="42">
        <f t="shared" si="2"/>
        <v>0.97819795664744624</v>
      </c>
      <c r="F26" s="41">
        <f t="shared" si="3"/>
        <v>2414.5195949321269</v>
      </c>
      <c r="G26" s="40"/>
      <c r="H26" s="40" t="str">
        <f t="shared" si="4"/>
        <v>Y</v>
      </c>
      <c r="I26" s="40" t="str">
        <f t="shared" si="5"/>
        <v>Y</v>
      </c>
      <c r="J26" s="40" t="s">
        <v>52</v>
      </c>
      <c r="K26" s="40" t="s">
        <v>51</v>
      </c>
      <c r="L26" s="40" t="s">
        <v>51</v>
      </c>
      <c r="M26" s="39">
        <v>0</v>
      </c>
    </row>
    <row r="27" spans="1:13" x14ac:dyDescent="0.25">
      <c r="A27" s="40" t="str">
        <f t="shared" si="0"/>
        <v>Isle of Man</v>
      </c>
      <c r="B27" s="41">
        <f t="shared" si="1"/>
        <v>1560</v>
      </c>
      <c r="C27" s="42">
        <f t="shared" si="7"/>
        <v>0.57386781259381381</v>
      </c>
      <c r="D27" s="41">
        <f t="shared" si="6"/>
        <v>536.82037058823539</v>
      </c>
      <c r="E27" s="42">
        <f t="shared" si="2"/>
        <v>0.37292004212365987</v>
      </c>
      <c r="F27" s="41">
        <f t="shared" si="3"/>
        <v>920.49134117647066</v>
      </c>
      <c r="G27" s="40"/>
      <c r="H27" s="40" t="str">
        <f t="shared" si="4"/>
        <v>Y</v>
      </c>
      <c r="I27" s="40" t="str">
        <f t="shared" si="5"/>
        <v>Y</v>
      </c>
      <c r="J27" s="40" t="s">
        <v>52</v>
      </c>
      <c r="K27" s="40" t="s">
        <v>51</v>
      </c>
      <c r="L27" s="40" t="s">
        <v>51</v>
      </c>
      <c r="M27" s="39">
        <v>0</v>
      </c>
    </row>
    <row r="28" spans="1:13" x14ac:dyDescent="0.25">
      <c r="A28" s="40"/>
      <c r="B28" s="41"/>
      <c r="C28" s="42">
        <f>C21+C24+C25+C26+C27</f>
        <v>371.48806899576135</v>
      </c>
      <c r="D28" s="42"/>
      <c r="E28" s="42">
        <f t="shared" ref="E28" si="8">E21+E24+E25+E26+E27</f>
        <v>223.34124764237401</v>
      </c>
      <c r="F28" s="41"/>
      <c r="G28" s="40"/>
      <c r="H28" s="40"/>
      <c r="I28" s="40"/>
      <c r="J28" s="40"/>
      <c r="K28" s="40"/>
      <c r="L28" s="40"/>
    </row>
    <row r="29" spans="1:13" x14ac:dyDescent="0.25">
      <c r="A29" s="40"/>
      <c r="B29" s="40"/>
      <c r="C29" s="40"/>
      <c r="D29" s="40"/>
      <c r="E29" s="40"/>
      <c r="F29" s="40"/>
      <c r="G29" s="40"/>
      <c r="H29" s="40"/>
      <c r="I29" s="40"/>
      <c r="J29" s="40"/>
      <c r="K29" s="40"/>
      <c r="L29" s="40"/>
    </row>
    <row r="30" spans="1:13" x14ac:dyDescent="0.25">
      <c r="A30" s="55" t="s">
        <v>56</v>
      </c>
      <c r="B30" s="55"/>
      <c r="C30" s="55"/>
      <c r="D30" s="40"/>
      <c r="E30" s="40"/>
      <c r="F30" s="40"/>
      <c r="G30" s="40"/>
      <c r="H30" s="40"/>
      <c r="I30" s="40"/>
      <c r="J30" s="40"/>
      <c r="K30" s="40"/>
      <c r="L30" s="40"/>
    </row>
    <row r="31" spans="1:13" x14ac:dyDescent="0.25">
      <c r="A31" s="40" t="s">
        <v>37</v>
      </c>
      <c r="B31" s="40" t="s">
        <v>57</v>
      </c>
      <c r="C31" s="40" t="s">
        <v>58</v>
      </c>
      <c r="D31" s="40"/>
      <c r="E31" s="40"/>
      <c r="F31" s="40"/>
      <c r="G31" s="40"/>
      <c r="H31" s="40"/>
      <c r="I31" s="40"/>
      <c r="J31" s="40"/>
      <c r="K31" s="40"/>
      <c r="L31" s="40"/>
    </row>
    <row r="32" spans="1:13" x14ac:dyDescent="0.25">
      <c r="A32" s="44">
        <f>SUMIF(H21:H27,"&lt;&gt;N",C21:C27)/SUM(C21:C27)</f>
        <v>2.691710451107357E-2</v>
      </c>
      <c r="B32" s="44">
        <f>SUMIF(I21:I27,"&lt;&gt;N",E21:E27)/SUM(E21:E27)</f>
        <v>0.12237759179498703</v>
      </c>
      <c r="C32" s="44">
        <f>(SUMIF(H21:H27,"&lt;&gt;N",C21:C27)+SUMIF(I21:I27,"&lt;&gt;N",E21:E27))/SUM(C21:C27,E21:E27)</f>
        <v>5.5139760228923224E-2</v>
      </c>
      <c r="D32" s="44"/>
      <c r="E32" s="40"/>
      <c r="F32" s="40"/>
      <c r="G32" s="40"/>
      <c r="H32" s="40"/>
      <c r="I32" s="40"/>
      <c r="J32" s="40"/>
      <c r="K32" s="40"/>
      <c r="L32" s="40"/>
    </row>
    <row r="33" spans="1:24" x14ac:dyDescent="0.25">
      <c r="A33" s="40"/>
      <c r="B33" s="40"/>
      <c r="C33" s="40"/>
      <c r="D33" s="40"/>
      <c r="E33" s="40"/>
      <c r="F33" s="40"/>
      <c r="G33" s="40"/>
      <c r="H33" s="40"/>
      <c r="I33" s="40"/>
      <c r="J33" s="40"/>
      <c r="K33" s="40"/>
      <c r="L33" s="40"/>
    </row>
    <row r="34" spans="1:24" x14ac:dyDescent="0.25">
      <c r="A34" s="40"/>
      <c r="B34" s="40"/>
      <c r="C34" s="40"/>
      <c r="D34" s="40"/>
      <c r="E34" s="40"/>
      <c r="F34" s="40"/>
      <c r="G34" s="40"/>
      <c r="H34" s="40"/>
      <c r="I34" s="40"/>
      <c r="J34" s="40"/>
      <c r="K34" s="40"/>
      <c r="L34" s="40"/>
    </row>
    <row r="35" spans="1:24" x14ac:dyDescent="0.25">
      <c r="A35" s="55" t="s">
        <v>59</v>
      </c>
      <c r="B35" s="55"/>
      <c r="C35" s="55"/>
      <c r="D35" s="55"/>
      <c r="E35" s="55"/>
      <c r="F35" s="55"/>
      <c r="G35" s="55"/>
      <c r="H35" s="55"/>
      <c r="I35" s="55"/>
      <c r="J35" s="55"/>
      <c r="K35" s="55"/>
      <c r="L35" s="40"/>
    </row>
    <row r="36" spans="1:24" x14ac:dyDescent="0.25">
      <c r="A36" s="40"/>
      <c r="B36" s="55" t="s">
        <v>33</v>
      </c>
      <c r="C36" s="55"/>
      <c r="D36" s="55"/>
      <c r="E36" s="55" t="s">
        <v>31</v>
      </c>
      <c r="F36" s="55"/>
      <c r="G36" s="55"/>
      <c r="H36" s="55" t="s">
        <v>60</v>
      </c>
      <c r="I36" s="55"/>
      <c r="J36" s="40"/>
      <c r="K36" s="40"/>
      <c r="L36" s="40"/>
    </row>
    <row r="37" spans="1:24" x14ac:dyDescent="0.25">
      <c r="A37" s="40" t="s">
        <v>0</v>
      </c>
      <c r="B37" s="40" t="s">
        <v>12</v>
      </c>
      <c r="C37" s="40" t="s">
        <v>64</v>
      </c>
      <c r="D37" s="40" t="s">
        <v>61</v>
      </c>
      <c r="E37" s="40" t="s">
        <v>62</v>
      </c>
      <c r="F37" s="40" t="s">
        <v>65</v>
      </c>
      <c r="G37" s="40" t="s">
        <v>61</v>
      </c>
      <c r="H37" s="40" t="s">
        <v>33</v>
      </c>
      <c r="I37" s="40" t="s">
        <v>31</v>
      </c>
      <c r="J37" s="40" t="s">
        <v>2</v>
      </c>
      <c r="K37" s="40" t="s">
        <v>63</v>
      </c>
      <c r="L37" s="40"/>
    </row>
    <row r="38" spans="1:24" x14ac:dyDescent="0.25">
      <c r="A38" s="40" t="str">
        <f t="shared" ref="A38:A44" si="9">A21</f>
        <v>Belgium</v>
      </c>
      <c r="B38" s="42">
        <f t="shared" ref="B38:B44" si="10">C21</f>
        <v>8.9791919471810235</v>
      </c>
      <c r="C38" s="42">
        <f t="shared" ref="C38:C44" si="11">E21*$B$6</f>
        <v>9.3246562638895941E-2</v>
      </c>
      <c r="D38" s="42">
        <f t="shared" ref="D38:D44" si="12">B38+C38</f>
        <v>9.0724385098199196</v>
      </c>
      <c r="E38" s="42">
        <f>VLOOKUP($A38,'Commercial landings (Bss-47)'!$A$1:$F$15,2, FALSE)</f>
        <v>154</v>
      </c>
      <c r="F38" s="42">
        <f>E38*($B$5*$B$7)</f>
        <v>7.7</v>
      </c>
      <c r="G38" s="42">
        <f>E38+F38</f>
        <v>161.69999999999999</v>
      </c>
      <c r="H38" s="44">
        <f>D38/K38</f>
        <v>5.3125894254289915E-2</v>
      </c>
      <c r="I38" s="44">
        <f>G38/K38</f>
        <v>0.94687410574570996</v>
      </c>
      <c r="J38" s="40" t="str">
        <f>VLOOKUP($A38,'Commercial landings (Bss-47)'!$A$1:$F$15,3, FALSE)</f>
        <v>ICES Bss-47 2016 assessment</v>
      </c>
      <c r="K38" s="42">
        <f>G38+D38</f>
        <v>170.77243850981992</v>
      </c>
      <c r="L38" s="40">
        <f t="shared" ref="L38:L44" si="13">(D38*M21)</f>
        <v>-27.217315529459761</v>
      </c>
      <c r="V38" s="39" t="s">
        <v>3</v>
      </c>
      <c r="W38" s="39">
        <f t="shared" ref="W38:W44" si="14">D38/$D$45</f>
        <v>6.1304040227919947E-3</v>
      </c>
      <c r="X38" s="39">
        <f t="shared" ref="X38:X43" si="15">G38/$G$45</f>
        <v>3.8625532982192116E-2</v>
      </c>
    </row>
    <row r="39" spans="1:24" x14ac:dyDescent="0.25">
      <c r="A39" s="40" t="str">
        <f t="shared" si="9"/>
        <v>France</v>
      </c>
      <c r="B39" s="42">
        <f t="shared" si="10"/>
        <v>940</v>
      </c>
      <c r="C39" s="42">
        <f t="shared" si="11"/>
        <v>16.600000000000001</v>
      </c>
      <c r="D39" s="42">
        <f t="shared" si="12"/>
        <v>956.6</v>
      </c>
      <c r="E39" s="42">
        <f>VLOOKUP($A39,'Commercial landings (Bss-47)'!$A$1:$F$15,2, FALSE)</f>
        <v>2399</v>
      </c>
      <c r="F39" s="42">
        <f t="shared" ref="F39:F44" si="16">E39*($B$5*$B$7)</f>
        <v>119.95</v>
      </c>
      <c r="G39" s="42">
        <f t="shared" ref="G39:G45" si="17">E39+F39</f>
        <v>2518.9499999999998</v>
      </c>
      <c r="H39" s="44">
        <f t="shared" ref="H39:H44" si="18">D39/K39</f>
        <v>0.27523701284688756</v>
      </c>
      <c r="I39" s="44">
        <f t="shared" ref="I39:I44" si="19">G39/K39</f>
        <v>0.72476298715311249</v>
      </c>
      <c r="J39" s="40" t="str">
        <f>VLOOKUP($A39,'Commercial landings (Bss-47)'!$A$1:$F$15,3, FALSE)</f>
        <v>ICES Bss-47 2016 assessment (estimated landings)</v>
      </c>
      <c r="K39" s="42">
        <f t="shared" ref="K39:K44" si="20">G39+D39</f>
        <v>3475.5499999999997</v>
      </c>
      <c r="L39" s="40">
        <f t="shared" si="13"/>
        <v>0</v>
      </c>
      <c r="V39" s="39" t="s">
        <v>4</v>
      </c>
      <c r="W39" s="39">
        <f t="shared" si="14"/>
        <v>0.64639120803688144</v>
      </c>
      <c r="X39" s="39">
        <f t="shared" si="15"/>
        <v>0.60170554301479795</v>
      </c>
    </row>
    <row r="40" spans="1:24" x14ac:dyDescent="0.25">
      <c r="A40" s="40" t="str">
        <f t="shared" si="9"/>
        <v>Netherlands</v>
      </c>
      <c r="B40" s="42">
        <f t="shared" si="10"/>
        <v>138</v>
      </c>
      <c r="C40" s="42">
        <f t="shared" si="11"/>
        <v>2.6536113558527088</v>
      </c>
      <c r="D40" s="42">
        <f t="shared" si="12"/>
        <v>140.65361135585272</v>
      </c>
      <c r="E40" s="42">
        <f>VLOOKUP($A40,'Commercial landings (Bss-47)'!$A$1:$F$15,2, FALSE)</f>
        <v>376</v>
      </c>
      <c r="F40" s="42">
        <f t="shared" si="16"/>
        <v>18.8</v>
      </c>
      <c r="G40" s="42">
        <f t="shared" si="17"/>
        <v>394.8</v>
      </c>
      <c r="H40" s="44">
        <f t="shared" si="18"/>
        <v>0.26268122648327213</v>
      </c>
      <c r="I40" s="44">
        <f t="shared" si="19"/>
        <v>0.73731877351672792</v>
      </c>
      <c r="J40" s="40" t="str">
        <f>VLOOKUP($A40,'Commercial landings (Bss-47)'!$A$1:$F$15,3, FALSE)</f>
        <v>ICES Bss-47 2016 assessment</v>
      </c>
      <c r="K40" s="42">
        <f t="shared" si="20"/>
        <v>535.45361135585267</v>
      </c>
      <c r="L40" s="40">
        <f t="shared" si="13"/>
        <v>0</v>
      </c>
      <c r="V40" s="39" t="s">
        <v>5</v>
      </c>
      <c r="W40" s="39">
        <f t="shared" si="14"/>
        <v>9.5042084213944875E-2</v>
      </c>
      <c r="X40" s="39">
        <f t="shared" si="15"/>
        <v>9.4306496112365176E-2</v>
      </c>
    </row>
    <row r="41" spans="1:24" x14ac:dyDescent="0.25">
      <c r="A41" s="40" t="str">
        <f t="shared" si="9"/>
        <v>England</v>
      </c>
      <c r="B41" s="42">
        <f t="shared" si="10"/>
        <v>332.47204715504819</v>
      </c>
      <c r="C41" s="42">
        <f t="shared" si="11"/>
        <v>10.097864945137463</v>
      </c>
      <c r="D41" s="42">
        <f t="shared" si="12"/>
        <v>342.56991210018566</v>
      </c>
      <c r="E41" s="42">
        <f>VLOOKUP($A41,'Commercial landings (Bss-47)'!$A$1:$F$15,2, FALSE)</f>
        <v>778.70550000000003</v>
      </c>
      <c r="F41" s="42">
        <f t="shared" si="16"/>
        <v>38.935275000000004</v>
      </c>
      <c r="G41" s="42">
        <f t="shared" si="17"/>
        <v>817.64077500000008</v>
      </c>
      <c r="H41" s="44">
        <f t="shared" si="18"/>
        <v>0.29526526165381228</v>
      </c>
      <c r="I41" s="44">
        <f t="shared" si="19"/>
        <v>0.70473473834618783</v>
      </c>
      <c r="J41" s="40" t="str">
        <f>VLOOKUP($A41,'Commercial landings (Bss-47)'!$A$1:$F$15,3, FALSE)</f>
        <v>MMO, 2012</v>
      </c>
      <c r="K41" s="42">
        <f t="shared" si="20"/>
        <v>1160.2106871001856</v>
      </c>
      <c r="L41" s="40">
        <f t="shared" si="13"/>
        <v>0</v>
      </c>
      <c r="V41" s="39" t="s">
        <v>6</v>
      </c>
      <c r="W41" s="39">
        <f t="shared" si="14"/>
        <v>0.23148042998068921</v>
      </c>
      <c r="X41" s="39">
        <f t="shared" si="15"/>
        <v>0.19531113619262602</v>
      </c>
    </row>
    <row r="42" spans="1:24" x14ac:dyDescent="0.25">
      <c r="A42" s="40" t="str">
        <f t="shared" si="9"/>
        <v>Wales</v>
      </c>
      <c r="B42" s="42">
        <f t="shared" si="10"/>
        <v>27.95766266482682</v>
      </c>
      <c r="C42" s="42">
        <f t="shared" si="11"/>
        <v>0.90839497440378691</v>
      </c>
      <c r="D42" s="42">
        <f t="shared" si="12"/>
        <v>28.866057639230608</v>
      </c>
      <c r="E42" s="42">
        <f>VLOOKUP($A42,'Commercial landings (Bss-47)'!$A$1:$F$15,2, FALSE)</f>
        <v>61.2348</v>
      </c>
      <c r="F42" s="42">
        <f t="shared" si="16"/>
        <v>3.0617400000000004</v>
      </c>
      <c r="G42" s="42">
        <f t="shared" si="17"/>
        <v>64.296539999999993</v>
      </c>
      <c r="H42" s="44">
        <f t="shared" si="18"/>
        <v>0.3098459936788534</v>
      </c>
      <c r="I42" s="44">
        <f t="shared" si="19"/>
        <v>0.69015400632114665</v>
      </c>
      <c r="J42" s="40" t="str">
        <f>VLOOKUP($A42,'Commercial landings (Bss-47)'!$A$1:$F$15,3, FALSE)</f>
        <v>ICES Bss-47 2016 assessment</v>
      </c>
      <c r="K42" s="42">
        <f t="shared" si="20"/>
        <v>93.162597639230597</v>
      </c>
      <c r="L42" s="40">
        <f t="shared" si="13"/>
        <v>0</v>
      </c>
      <c r="V42" s="39" t="s">
        <v>7</v>
      </c>
      <c r="W42" s="39">
        <f t="shared" si="14"/>
        <v>1.9505295702158188E-2</v>
      </c>
      <c r="X42" s="39">
        <f t="shared" si="15"/>
        <v>1.535861550037622E-2</v>
      </c>
    </row>
    <row r="43" spans="1:24" x14ac:dyDescent="0.25">
      <c r="A43" s="40" t="str">
        <f t="shared" si="9"/>
        <v>Channel Islands</v>
      </c>
      <c r="B43" s="42">
        <f t="shared" si="10"/>
        <v>1.5052994161114652</v>
      </c>
      <c r="C43" s="42">
        <f t="shared" si="11"/>
        <v>4.8909897832372318E-2</v>
      </c>
      <c r="D43" s="42">
        <f t="shared" si="12"/>
        <v>1.5542093139438375</v>
      </c>
      <c r="E43" s="42">
        <f>VLOOKUP($A43,'Commercial landings (Bss-47)'!$A$1:$F$15,2, FALSE)</f>
        <v>55</v>
      </c>
      <c r="F43" s="42">
        <f t="shared" si="16"/>
        <v>2.75</v>
      </c>
      <c r="G43" s="42">
        <f t="shared" si="17"/>
        <v>57.75</v>
      </c>
      <c r="H43" s="44">
        <f t="shared" si="18"/>
        <v>2.6207403014450202E-2</v>
      </c>
      <c r="I43" s="44">
        <f t="shared" si="19"/>
        <v>0.97379259698554976</v>
      </c>
      <c r="J43" s="40" t="str">
        <f>VLOOKUP($A43,'Commercial landings (Bss-47)'!$A$1:$F$15,3, FALSE)</f>
        <v>MMO, 2012</v>
      </c>
      <c r="K43" s="42">
        <f t="shared" si="20"/>
        <v>59.304209313943836</v>
      </c>
      <c r="L43" s="40">
        <f t="shared" si="13"/>
        <v>0</v>
      </c>
      <c r="V43" s="39" t="s">
        <v>8</v>
      </c>
      <c r="W43" s="39">
        <f t="shared" si="14"/>
        <v>1.0502061843846225E-3</v>
      </c>
      <c r="X43" s="39">
        <f t="shared" si="15"/>
        <v>1.3794833207925758E-2</v>
      </c>
    </row>
    <row r="44" spans="1:24" x14ac:dyDescent="0.25">
      <c r="A44" s="40" t="str">
        <f t="shared" si="9"/>
        <v>Isle of Man</v>
      </c>
      <c r="B44" s="42">
        <f t="shared" si="10"/>
        <v>0.57386781259381381</v>
      </c>
      <c r="C44" s="42">
        <f t="shared" si="11"/>
        <v>1.8646002106182995E-2</v>
      </c>
      <c r="D44" s="42">
        <f t="shared" si="12"/>
        <v>0.59251381469999675</v>
      </c>
      <c r="E44" s="42">
        <f>VLOOKUP($A44,'Commercial landings (Bss-47)'!$A$1:$F$15,2, FALSE)</f>
        <v>0</v>
      </c>
      <c r="F44" s="42">
        <f t="shared" si="16"/>
        <v>0</v>
      </c>
      <c r="G44" s="42">
        <f t="shared" si="17"/>
        <v>0</v>
      </c>
      <c r="H44" s="44">
        <f t="shared" si="18"/>
        <v>1</v>
      </c>
      <c r="I44" s="44">
        <f t="shared" si="19"/>
        <v>0</v>
      </c>
      <c r="J44" s="40" t="str">
        <f>VLOOKUP($A44,'Commercial landings (Bss-47)'!$A$1:$F$15,3, FALSE)</f>
        <v>MMO, 2012</v>
      </c>
      <c r="K44" s="42">
        <f t="shared" si="20"/>
        <v>0.59251381469999675</v>
      </c>
      <c r="L44" s="40">
        <f t="shared" si="13"/>
        <v>0</v>
      </c>
      <c r="V44" s="39" t="s">
        <v>21</v>
      </c>
      <c r="W44" s="39">
        <f t="shared" si="14"/>
        <v>4.0037185914956286E-4</v>
      </c>
      <c r="X44" s="39">
        <f>G44/$G$45</f>
        <v>0</v>
      </c>
    </row>
    <row r="45" spans="1:24" x14ac:dyDescent="0.25">
      <c r="A45" s="45" t="s">
        <v>105</v>
      </c>
      <c r="B45" s="46">
        <f>SUM(B38:B44)</f>
        <v>1449.4880689957611</v>
      </c>
      <c r="C45" s="46">
        <f>SUM(C38:C44)</f>
        <v>30.420673737971416</v>
      </c>
      <c r="D45" s="46">
        <f>SUM(D38:D44)</f>
        <v>1479.9087427337329</v>
      </c>
      <c r="E45" s="46">
        <f>VLOOKUP($A45,'Commercial landings (Bss-47)'!$A$1:$F$15,2, FALSE)</f>
        <v>3987</v>
      </c>
      <c r="F45" s="46">
        <f>E45*($B$5*$B$7)</f>
        <v>199.35000000000002</v>
      </c>
      <c r="G45" s="46">
        <f t="shared" si="17"/>
        <v>4186.3500000000004</v>
      </c>
      <c r="H45" s="47">
        <f>D45/K45</f>
        <v>0.26117916775889038</v>
      </c>
      <c r="I45" s="47">
        <f>G45/K45</f>
        <v>0.73882083224110973</v>
      </c>
      <c r="J45" s="45" t="str">
        <f>VLOOKUP($A45,'Commercial landings (Bss-47)'!$A$1:$F$15,3, FALSE)</f>
        <v>ICES Bss-47 2016 assessment (ICES estimates)</v>
      </c>
      <c r="K45" s="46">
        <f>G45+D45</f>
        <v>5666.258742733733</v>
      </c>
      <c r="L45" s="45">
        <f>SUM(L38:L44)/D45</f>
        <v>-1.8391212068375986E-2</v>
      </c>
    </row>
    <row r="46" spans="1:24" x14ac:dyDescent="0.25">
      <c r="A46" s="40"/>
      <c r="B46" s="40"/>
      <c r="C46" s="40"/>
      <c r="D46" s="40"/>
      <c r="E46" s="40"/>
      <c r="F46" s="40"/>
      <c r="G46" s="40"/>
      <c r="H46" s="40"/>
      <c r="I46" s="40"/>
      <c r="J46" s="40"/>
      <c r="K46" s="40"/>
      <c r="L46" s="40"/>
    </row>
    <row r="47" spans="1:24" x14ac:dyDescent="0.25">
      <c r="A47" s="40"/>
      <c r="B47" s="40"/>
      <c r="C47" s="40"/>
      <c r="D47" s="40"/>
      <c r="E47" s="40"/>
      <c r="F47" s="40"/>
      <c r="G47" s="40"/>
      <c r="H47" s="40"/>
      <c r="I47" s="40"/>
      <c r="J47" s="40"/>
      <c r="K47" s="40"/>
      <c r="L47" s="40"/>
    </row>
    <row r="48" spans="1:24" x14ac:dyDescent="0.25">
      <c r="A48" s="56" t="s">
        <v>120</v>
      </c>
      <c r="B48" s="56"/>
      <c r="C48" s="56"/>
      <c r="D48" s="56"/>
      <c r="E48" s="56"/>
      <c r="F48" s="56"/>
      <c r="G48" s="56"/>
      <c r="H48" s="56"/>
      <c r="I48" s="56"/>
      <c r="J48" s="56"/>
      <c r="K48" s="56"/>
      <c r="L48" s="43"/>
    </row>
    <row r="49" spans="1:11" x14ac:dyDescent="0.25">
      <c r="A49" s="39" t="str">
        <f t="shared" ref="A49:F49" si="21">A20</f>
        <v>Country</v>
      </c>
      <c r="B49" s="39" t="str">
        <f t="shared" si="21"/>
        <v>Angler numbers</v>
      </c>
      <c r="C49" s="39" t="str">
        <f t="shared" si="21"/>
        <v>Retained weight</v>
      </c>
      <c r="D49" s="48" t="str">
        <f t="shared" si="21"/>
        <v>Retained Number</v>
      </c>
      <c r="E49" s="39" t="str">
        <f t="shared" si="21"/>
        <v>Released weight</v>
      </c>
      <c r="F49" s="48" t="str">
        <f t="shared" si="21"/>
        <v>Released Number</v>
      </c>
      <c r="G49" s="39" t="s">
        <v>122</v>
      </c>
      <c r="H49" s="39" t="s">
        <v>61</v>
      </c>
    </row>
    <row r="50" spans="1:11" x14ac:dyDescent="0.25">
      <c r="A50" s="39" t="str">
        <f>A21</f>
        <v>Belgium</v>
      </c>
      <c r="B50" s="39">
        <f t="shared" ref="B50:F51" si="22">B21</f>
        <v>24409</v>
      </c>
      <c r="C50" s="49">
        <f t="shared" si="22"/>
        <v>8.9791919471810235</v>
      </c>
      <c r="D50" s="48">
        <f t="shared" si="22"/>
        <v>8399.5182215950226</v>
      </c>
      <c r="E50" s="49">
        <f t="shared" si="22"/>
        <v>1.8649312527779187</v>
      </c>
      <c r="F50" s="48">
        <f t="shared" si="22"/>
        <v>4603.2738286086051</v>
      </c>
      <c r="G50" s="49">
        <f>E50*$B$6</f>
        <v>9.3246562638895941E-2</v>
      </c>
      <c r="H50" s="49">
        <f>C50+G50</f>
        <v>9.0724385098199196</v>
      </c>
    </row>
    <row r="51" spans="1:11" x14ac:dyDescent="0.25">
      <c r="A51" s="39" t="str">
        <f>A22</f>
        <v>France</v>
      </c>
      <c r="B51" s="39">
        <f t="shared" ref="B51:B56" si="23">B22</f>
        <v>791000</v>
      </c>
      <c r="C51" s="49">
        <f t="shared" si="22"/>
        <v>940</v>
      </c>
      <c r="D51" s="48">
        <f t="shared" si="22"/>
        <v>781217.36</v>
      </c>
      <c r="E51" s="49">
        <f t="shared" si="22"/>
        <v>332</v>
      </c>
      <c r="F51" s="48">
        <f t="shared" si="22"/>
        <v>428138.53519563127</v>
      </c>
      <c r="G51" s="49">
        <f t="shared" ref="G51:G56" si="24">E51*$B$6</f>
        <v>16.600000000000001</v>
      </c>
      <c r="H51" s="49">
        <f t="shared" ref="H51:H56" si="25">C51+G51</f>
        <v>956.6</v>
      </c>
    </row>
    <row r="52" spans="1:11" x14ac:dyDescent="0.25">
      <c r="A52" s="39" t="s">
        <v>119</v>
      </c>
      <c r="B52" s="39">
        <f t="shared" si="23"/>
        <v>504108</v>
      </c>
      <c r="C52" s="49">
        <f>D52*(B2/1000)</f>
        <v>185.4431764557963</v>
      </c>
      <c r="D52" s="48">
        <f>B52/B24*D24</f>
        <v>173471.43806185521</v>
      </c>
      <c r="E52" s="49">
        <f>F52*(B3/1000)</f>
        <v>120.50767730440637</v>
      </c>
      <c r="F52" s="48">
        <f>B52/B24*F24</f>
        <v>297453.23654986429</v>
      </c>
      <c r="G52" s="49">
        <f t="shared" si="24"/>
        <v>6.0253838652203191</v>
      </c>
      <c r="H52" s="49">
        <f t="shared" si="25"/>
        <v>191.46856032101661</v>
      </c>
    </row>
    <row r="53" spans="1:11" x14ac:dyDescent="0.25">
      <c r="A53" s="39" t="s">
        <v>118</v>
      </c>
      <c r="B53" s="39">
        <f t="shared" si="23"/>
        <v>884000</v>
      </c>
      <c r="C53" s="49">
        <f>D53*(B2/1000)</f>
        <v>438.65937124938296</v>
      </c>
      <c r="D53" s="48">
        <f>B53/B23*D23</f>
        <v>410340.64129115187</v>
      </c>
      <c r="E53" s="49">
        <f>F53*(B3/1000)</f>
        <v>93.067058589579787</v>
      </c>
      <c r="F53" s="48">
        <f>B53/B23*F23</f>
        <v>229720.61542367906</v>
      </c>
      <c r="G53" s="49">
        <f t="shared" si="24"/>
        <v>4.6533529294789897</v>
      </c>
      <c r="H53" s="49">
        <f t="shared" si="25"/>
        <v>443.31272417886197</v>
      </c>
    </row>
    <row r="54" spans="1:11" x14ac:dyDescent="0.25">
      <c r="A54" s="39" t="str">
        <f>A25</f>
        <v>Wales</v>
      </c>
      <c r="B54" s="39">
        <f t="shared" si="23"/>
        <v>76000</v>
      </c>
      <c r="C54" s="49">
        <f t="shared" ref="C54:F56" si="26">C25</f>
        <v>27.95766266482682</v>
      </c>
      <c r="D54" s="48">
        <f t="shared" si="26"/>
        <v>26152.787285067876</v>
      </c>
      <c r="E54" s="49">
        <f t="shared" si="26"/>
        <v>18.167899488075737</v>
      </c>
      <c r="F54" s="48">
        <f t="shared" si="26"/>
        <v>44844.44995475113</v>
      </c>
      <c r="G54" s="49">
        <f t="shared" si="24"/>
        <v>0.90839497440378691</v>
      </c>
      <c r="H54" s="49">
        <f t="shared" si="25"/>
        <v>28.866057639230608</v>
      </c>
    </row>
    <row r="55" spans="1:11" x14ac:dyDescent="0.25">
      <c r="A55" s="39" t="str">
        <f>A26</f>
        <v>Channel Islands</v>
      </c>
      <c r="B55" s="39">
        <f t="shared" si="23"/>
        <v>4092.0000000000005</v>
      </c>
      <c r="C55" s="49">
        <f t="shared" si="26"/>
        <v>1.5052994161114652</v>
      </c>
      <c r="D55" s="48">
        <f t="shared" si="26"/>
        <v>1408.121125927602</v>
      </c>
      <c r="E55" s="49">
        <f t="shared" si="26"/>
        <v>0.97819795664744624</v>
      </c>
      <c r="F55" s="48">
        <f t="shared" si="26"/>
        <v>2414.5195949321269</v>
      </c>
      <c r="G55" s="49">
        <f t="shared" si="24"/>
        <v>4.8909897832372318E-2</v>
      </c>
      <c r="H55" s="49">
        <f t="shared" si="25"/>
        <v>1.5542093139438375</v>
      </c>
    </row>
    <row r="56" spans="1:11" x14ac:dyDescent="0.25">
      <c r="A56" s="39" t="str">
        <f>A27</f>
        <v>Isle of Man</v>
      </c>
      <c r="B56" s="39">
        <f t="shared" si="23"/>
        <v>1560</v>
      </c>
      <c r="C56" s="49">
        <f t="shared" si="26"/>
        <v>0.57386781259381381</v>
      </c>
      <c r="D56" s="48">
        <f t="shared" si="26"/>
        <v>536.82037058823539</v>
      </c>
      <c r="E56" s="49">
        <f t="shared" si="26"/>
        <v>0.37292004212365987</v>
      </c>
      <c r="F56" s="48">
        <f t="shared" si="26"/>
        <v>920.49134117647066</v>
      </c>
      <c r="G56" s="49">
        <f t="shared" si="24"/>
        <v>1.8646002106182995E-2</v>
      </c>
      <c r="H56" s="49">
        <f t="shared" si="25"/>
        <v>0.59251381469999675</v>
      </c>
      <c r="I56" s="39" t="s">
        <v>123</v>
      </c>
      <c r="J56" s="39" t="s">
        <v>124</v>
      </c>
      <c r="K56" s="39" t="s">
        <v>125</v>
      </c>
    </row>
    <row r="57" spans="1:11" x14ac:dyDescent="0.25">
      <c r="C57" s="49"/>
      <c r="D57" s="48"/>
      <c r="E57" s="49"/>
      <c r="F57" s="48"/>
      <c r="G57" s="39" t="s">
        <v>121</v>
      </c>
      <c r="H57" s="49">
        <f>SUM(H50:H56)</f>
        <v>1631.4665037775728</v>
      </c>
      <c r="I57" s="49">
        <v>2060.0329698853557</v>
      </c>
      <c r="J57" s="49">
        <v>899.78451558210941</v>
      </c>
      <c r="K57" s="39" t="str">
        <f>IF((AND(H57&lt;=I57,H57&gt;=J57)),"Good","Bad")</f>
        <v>Good</v>
      </c>
    </row>
    <row r="58" spans="1:11" x14ac:dyDescent="0.25">
      <c r="C58" s="49"/>
      <c r="D58" s="48"/>
      <c r="E58" s="49"/>
      <c r="F58" s="48"/>
      <c r="G58" s="49"/>
      <c r="H58" s="49"/>
    </row>
    <row r="59" spans="1:11" x14ac:dyDescent="0.25">
      <c r="C59" s="49"/>
      <c r="D59" s="48"/>
      <c r="E59" s="49"/>
      <c r="F59" s="48"/>
      <c r="G59" s="49"/>
      <c r="H59" s="49"/>
    </row>
    <row r="60" spans="1:11" x14ac:dyDescent="0.25">
      <c r="C60" s="49"/>
      <c r="D60" s="48"/>
      <c r="E60" s="49"/>
      <c r="F60" s="48"/>
      <c r="G60" s="49"/>
      <c r="H60" s="49"/>
    </row>
    <row r="61" spans="1:11" x14ac:dyDescent="0.25">
      <c r="C61" s="49"/>
      <c r="D61" s="48"/>
      <c r="E61" s="49"/>
      <c r="F61" s="48"/>
      <c r="G61" s="49"/>
      <c r="H61" s="49"/>
    </row>
    <row r="62" spans="1:11" x14ac:dyDescent="0.25">
      <c r="C62" s="49"/>
      <c r="D62" s="48"/>
      <c r="E62" s="49"/>
      <c r="F62" s="48"/>
      <c r="G62" s="49"/>
      <c r="H62" s="49"/>
    </row>
    <row r="63" spans="1:11" x14ac:dyDescent="0.25">
      <c r="C63" s="49"/>
      <c r="D63" s="48"/>
      <c r="E63" s="49"/>
      <c r="F63" s="48"/>
      <c r="G63" s="49"/>
      <c r="H63" s="49"/>
    </row>
    <row r="64" spans="1:11" x14ac:dyDescent="0.25">
      <c r="D64" s="48"/>
      <c r="F64" s="48"/>
    </row>
    <row r="65" spans="4:6" x14ac:dyDescent="0.25">
      <c r="D65" s="48"/>
      <c r="F65" s="48"/>
    </row>
    <row r="66" spans="4:6" x14ac:dyDescent="0.25">
      <c r="D66" s="48"/>
      <c r="F66" s="48"/>
    </row>
    <row r="67" spans="4:6" x14ac:dyDescent="0.25">
      <c r="D67" s="48"/>
      <c r="F67" s="48"/>
    </row>
    <row r="68" spans="4:6" x14ac:dyDescent="0.25">
      <c r="D68" s="48"/>
      <c r="F68" s="48"/>
    </row>
  </sheetData>
  <sortState ref="A51:C59">
    <sortCondition ref="A51"/>
  </sortState>
  <mergeCells count="9">
    <mergeCell ref="A9:I9"/>
    <mergeCell ref="A19:I19"/>
    <mergeCell ref="A48:K48"/>
    <mergeCell ref="J19:L19"/>
    <mergeCell ref="A30:C30"/>
    <mergeCell ref="A35:K35"/>
    <mergeCell ref="B36:D36"/>
    <mergeCell ref="E36:G36"/>
    <mergeCell ref="H36:I36"/>
  </mergeCells>
  <conditionalFormatting sqref="K57">
    <cfRule type="cellIs" dxfId="1" priority="1" operator="equal">
      <formula>"Bad"</formula>
    </cfRule>
    <cfRule type="cellIs" dxfId="0" priority="2" operator="equal">
      <formula>"Good"</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
  <sheetViews>
    <sheetView workbookViewId="0"/>
  </sheetViews>
  <sheetFormatPr defaultRowHeight="15" x14ac:dyDescent="0.25"/>
  <cols>
    <col min="1" max="1" width="11.5703125" bestFit="1" customWidth="1"/>
    <col min="2" max="2" width="29.85546875" bestFit="1" customWidth="1"/>
    <col min="3" max="3" width="12.140625" bestFit="1" customWidth="1"/>
    <col min="4" max="4" width="20.42578125" bestFit="1" customWidth="1"/>
    <col min="5" max="5" width="15.7109375" bestFit="1" customWidth="1"/>
  </cols>
  <sheetData>
    <row r="1" spans="1:6" x14ac:dyDescent="0.25">
      <c r="A1" t="s">
        <v>31</v>
      </c>
      <c r="B1" t="s">
        <v>32</v>
      </c>
      <c r="C1" t="s">
        <v>33</v>
      </c>
      <c r="D1" t="s">
        <v>34</v>
      </c>
      <c r="E1" t="s">
        <v>82</v>
      </c>
    </row>
    <row r="2" spans="1:6" x14ac:dyDescent="0.25">
      <c r="A2">
        <v>1</v>
      </c>
      <c r="B2" t="s">
        <v>113</v>
      </c>
      <c r="C2">
        <v>0.05</v>
      </c>
      <c r="D2" t="s">
        <v>111</v>
      </c>
      <c r="E2">
        <v>0</v>
      </c>
      <c r="F2" t="s">
        <v>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F2"/>
  <sheetViews>
    <sheetView workbookViewId="0">
      <selection activeCell="D18" sqref="D18"/>
    </sheetView>
  </sheetViews>
  <sheetFormatPr defaultRowHeight="15" x14ac:dyDescent="0.25"/>
  <cols>
    <col min="2" max="2" width="16" bestFit="1" customWidth="1"/>
    <col min="4" max="4" width="23.7109375" bestFit="1" customWidth="1"/>
    <col min="6" max="6" width="23" bestFit="1" customWidth="1"/>
  </cols>
  <sheetData>
    <row r="1" spans="1:6" x14ac:dyDescent="0.25">
      <c r="A1" t="s">
        <v>1</v>
      </c>
      <c r="B1" t="s">
        <v>2</v>
      </c>
      <c r="C1" t="s">
        <v>67</v>
      </c>
      <c r="D1" t="s">
        <v>2</v>
      </c>
      <c r="E1" t="s">
        <v>86</v>
      </c>
      <c r="F1" t="s">
        <v>2</v>
      </c>
    </row>
    <row r="2" spans="1:6" x14ac:dyDescent="0.25">
      <c r="A2">
        <v>0.05</v>
      </c>
      <c r="B2" t="s">
        <v>112</v>
      </c>
      <c r="C2" s="31">
        <v>0</v>
      </c>
      <c r="D2" t="s">
        <v>68</v>
      </c>
      <c r="E2">
        <v>0</v>
      </c>
      <c r="F2" s="8" t="s">
        <v>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G7"/>
  <sheetViews>
    <sheetView workbookViewId="0">
      <selection activeCell="H13" sqref="H13"/>
    </sheetView>
  </sheetViews>
  <sheetFormatPr defaultRowHeight="15" x14ac:dyDescent="0.25"/>
  <cols>
    <col min="1" max="1" width="33.42578125" bestFit="1" customWidth="1"/>
  </cols>
  <sheetData>
    <row r="1" spans="1:7" x14ac:dyDescent="0.25">
      <c r="A1" s="8" t="s">
        <v>92</v>
      </c>
      <c r="B1" s="8">
        <v>7302</v>
      </c>
      <c r="C1" s="8"/>
      <c r="D1" s="8" t="s">
        <v>93</v>
      </c>
      <c r="E1" s="8">
        <f>B3/E6</f>
        <v>274761.68329048844</v>
      </c>
      <c r="F1" s="8"/>
      <c r="G1" s="8"/>
    </row>
    <row r="2" spans="1:7" x14ac:dyDescent="0.25">
      <c r="A2" s="8"/>
      <c r="B2" s="8"/>
      <c r="C2" s="8"/>
      <c r="D2" s="8"/>
      <c r="E2" s="8"/>
      <c r="F2" s="8"/>
      <c r="G2" s="8"/>
    </row>
    <row r="3" spans="1:7" x14ac:dyDescent="0.25">
      <c r="A3" s="8" t="s">
        <v>94</v>
      </c>
      <c r="B3" s="8">
        <f>7318.7*1000</f>
        <v>7318700</v>
      </c>
      <c r="C3" s="8"/>
      <c r="D3" s="8"/>
      <c r="E3" s="8"/>
      <c r="F3" s="8"/>
      <c r="G3" s="8"/>
    </row>
    <row r="4" spans="1:7" x14ac:dyDescent="0.25">
      <c r="A4" s="8"/>
      <c r="B4" s="8"/>
      <c r="C4" s="8"/>
      <c r="D4" s="8"/>
      <c r="E4" s="8"/>
      <c r="F4" s="8"/>
      <c r="G4" s="8"/>
    </row>
    <row r="5" spans="1:7" x14ac:dyDescent="0.25">
      <c r="A5" s="8" t="s">
        <v>95</v>
      </c>
      <c r="B5" s="8" t="s">
        <v>96</v>
      </c>
      <c r="C5" s="8" t="s">
        <v>97</v>
      </c>
      <c r="D5" s="8" t="s">
        <v>98</v>
      </c>
      <c r="E5" s="8" t="s">
        <v>99</v>
      </c>
      <c r="F5" s="8" t="s">
        <v>100</v>
      </c>
      <c r="G5" s="8" t="s">
        <v>101</v>
      </c>
    </row>
    <row r="6" spans="1:7" x14ac:dyDescent="0.25">
      <c r="A6" s="8" t="s">
        <v>102</v>
      </c>
      <c r="B6" s="8">
        <v>568</v>
      </c>
      <c r="C6" s="8">
        <f>194.5*1000</f>
        <v>194500</v>
      </c>
      <c r="D6" s="8">
        <f>B6/$B$1</f>
        <v>7.7786907696521496E-2</v>
      </c>
      <c r="E6" s="8">
        <f>C6/$B$1</f>
        <v>26.636537934812381</v>
      </c>
      <c r="F6" s="8">
        <f>ROUND(D6*$E$1,0)</f>
        <v>21373</v>
      </c>
      <c r="G6" s="8">
        <f>E6*$E$1/1000/1000</f>
        <v>7.3186999999999998</v>
      </c>
    </row>
    <row r="7" spans="1:7" x14ac:dyDescent="0.25">
      <c r="A7" t="s">
        <v>103</v>
      </c>
      <c r="B7">
        <v>554</v>
      </c>
      <c r="C7">
        <f>190.36*1000</f>
        <v>190360</v>
      </c>
      <c r="D7">
        <f>B7/$B$1</f>
        <v>7.5869624760339635E-2</v>
      </c>
      <c r="E7" s="8">
        <f>C7/$B$1</f>
        <v>26.069569980827172</v>
      </c>
      <c r="F7">
        <f>ROUND(D7*$E$1,0)</f>
        <v>20846</v>
      </c>
      <c r="G7" s="8">
        <f>ROUND(E7*$E$1/1000/1000,2)</f>
        <v>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T56"/>
  <sheetViews>
    <sheetView zoomScale="70" zoomScaleNormal="70" workbookViewId="0">
      <selection activeCell="E18" sqref="A13:E18"/>
    </sheetView>
  </sheetViews>
  <sheetFormatPr defaultRowHeight="15" x14ac:dyDescent="0.25"/>
  <cols>
    <col min="1" max="1" width="29.28515625" style="15" bestFit="1" customWidth="1"/>
    <col min="2" max="2" width="23" style="15" bestFit="1" customWidth="1"/>
    <col min="3" max="3" width="17.42578125" style="15" customWidth="1"/>
    <col min="4" max="4" width="16.85546875" style="15" bestFit="1" customWidth="1"/>
    <col min="5" max="5" width="15.85546875" style="15" bestFit="1" customWidth="1"/>
    <col min="6" max="6" width="17" style="15" bestFit="1" customWidth="1"/>
    <col min="7" max="7" width="18.7109375" style="15" bestFit="1" customWidth="1"/>
    <col min="8" max="8" width="23.140625" style="15" bestFit="1" customWidth="1"/>
    <col min="9" max="9" width="23.28515625" style="15" bestFit="1" customWidth="1"/>
    <col min="10" max="10" width="27" style="15" bestFit="1" customWidth="1"/>
    <col min="11" max="11" width="20.7109375" style="15" bestFit="1" customWidth="1"/>
    <col min="12" max="12" width="28.85546875" style="15" bestFit="1" customWidth="1"/>
    <col min="13" max="13" width="8.7109375" style="15" customWidth="1"/>
    <col min="14" max="16384" width="9.140625" style="15"/>
  </cols>
  <sheetData>
    <row r="1" spans="1:20" x14ac:dyDescent="0.25">
      <c r="A1" s="15" t="s">
        <v>24</v>
      </c>
      <c r="B1" s="15" t="s">
        <v>25</v>
      </c>
      <c r="C1" s="15" t="s">
        <v>2</v>
      </c>
    </row>
    <row r="2" spans="1:20" x14ac:dyDescent="0.25">
      <c r="A2" s="15" t="s">
        <v>26</v>
      </c>
      <c r="B2" s="15">
        <f>(SUMIFS('Recreational landings (Bss-8c9a'!D2:D14,'Recreational landings (Bss-8c9a'!D2:D14,"&lt;&gt;NA",'Recreational landings (Bss-8c9a'!E2:E14,"&lt;&gt;NA")/SUMIFS('Recreational landings (Bss-8c9a'!E2:E14,'Recreational landings (Bss-8c9a'!E2:E14,"&lt;&gt;NA",'Recreational landings (Bss-8c9a'!D2:D14,"&lt;&gt;NA"))*1000</f>
        <v>0.83544943997808374</v>
      </c>
    </row>
    <row r="3" spans="1:20" x14ac:dyDescent="0.25">
      <c r="A3" s="15" t="s">
        <v>27</v>
      </c>
      <c r="B3" s="15">
        <f>(SUMIFS('Recreational landings (Bss-8c9a'!F2:F14,'Recreational landings (Bss-8c9a'!F2:F14,"&lt;&gt;NA",'Recreational landings (Bss-8c9a'!G2:G14,"&lt;&gt;NA")/SUMIFS('Recreational landings (Bss-8c9a'!G2:G14,'Recreational landings (Bss-8c9a'!G2:G14,"&lt;&gt;NA",'Recreational landings (Bss-8c9a'!F2:F14,"&lt;&gt;NA"))*1000</f>
        <v>0.38028050129499724</v>
      </c>
    </row>
    <row r="4" spans="1:20" x14ac:dyDescent="0.25">
      <c r="A4" s="15" t="s">
        <v>28</v>
      </c>
      <c r="B4" s="15">
        <f>G12/(E12+G12)</f>
        <v>0.57121794627789835</v>
      </c>
    </row>
    <row r="5" spans="1:20" x14ac:dyDescent="0.25">
      <c r="A5" s="25" t="s">
        <v>115</v>
      </c>
      <c r="B5" s="15">
        <f>'Discard mortality'!E2</f>
        <v>0</v>
      </c>
      <c r="C5" s="15" t="str">
        <f>'Discard mortality'!F2</f>
        <v>ICES Bss-8c9a 2015 assessment</v>
      </c>
    </row>
    <row r="6" spans="1:20" x14ac:dyDescent="0.25">
      <c r="A6" s="15" t="s">
        <v>29</v>
      </c>
      <c r="B6" s="15">
        <f>'Discard mortality'!C2</f>
        <v>0.05</v>
      </c>
      <c r="C6" s="15" t="str">
        <f>'Discard mortality'!D2</f>
        <v>Lewin et al. (submitted)</v>
      </c>
    </row>
    <row r="7" spans="1:20" x14ac:dyDescent="0.25">
      <c r="A7" s="15" t="s">
        <v>30</v>
      </c>
      <c r="B7" s="15">
        <f>'Discard mortality'!A2</f>
        <v>1</v>
      </c>
      <c r="C7" s="15" t="str">
        <f>'Discard mortality'!B2</f>
        <v>Precautionary approach</v>
      </c>
    </row>
    <row r="10" spans="1:20" x14ac:dyDescent="0.25">
      <c r="A10" s="58" t="s">
        <v>35</v>
      </c>
      <c r="B10" s="58"/>
      <c r="C10" s="58"/>
      <c r="D10" s="58"/>
      <c r="E10" s="58"/>
      <c r="F10" s="58"/>
      <c r="G10" s="58"/>
      <c r="H10" s="58"/>
      <c r="I10" s="58"/>
    </row>
    <row r="11" spans="1:20" x14ac:dyDescent="0.25">
      <c r="A11" s="15" t="s">
        <v>0</v>
      </c>
      <c r="B11" s="15" t="s">
        <v>114</v>
      </c>
      <c r="C11" s="15" t="s">
        <v>36</v>
      </c>
      <c r="D11" s="15" t="s">
        <v>37</v>
      </c>
      <c r="E11" s="15" t="s">
        <v>38</v>
      </c>
      <c r="F11" s="15" t="s">
        <v>39</v>
      </c>
      <c r="G11" s="15" t="s">
        <v>40</v>
      </c>
      <c r="H11" s="59" t="s">
        <v>54</v>
      </c>
      <c r="I11" s="59"/>
      <c r="J11" s="59"/>
      <c r="K11" s="59"/>
      <c r="L11" s="59"/>
      <c r="M11" s="59"/>
      <c r="N11" s="59"/>
      <c r="O11" s="59"/>
      <c r="P11" s="59"/>
      <c r="Q11" s="59"/>
      <c r="R11" s="59"/>
      <c r="S11" s="59"/>
      <c r="T11" s="59"/>
    </row>
    <row r="12" spans="1:20" x14ac:dyDescent="0.25">
      <c r="A12" s="15" t="str">
        <f>'Recreational landings (Bss-8c9a'!A2</f>
        <v>Spain Basque country (VIIIc)</v>
      </c>
      <c r="B12" s="15" t="str">
        <f>VLOOKUP($A12,'Recreational landings (Bss-8c9a'!$A$1:$L$14,2,FALSE)</f>
        <v>2015-2016</v>
      </c>
      <c r="C12" s="15">
        <f>VLOOKUP($A12,'Recreational landings (Bss-8c9a'!$A$1:$L$14,3,FALSE)</f>
        <v>62459</v>
      </c>
      <c r="D12" s="15">
        <f>VLOOKUP($A12,'Recreational landings (Bss-8c9a'!$A$1:$L$14,4,FALSE)</f>
        <v>151.41999999999999</v>
      </c>
      <c r="E12" s="15">
        <f>VLOOKUP($A12,'Recreational landings (Bss-8c9a'!$A$1:$L$14,5,FALSE)</f>
        <v>168968</v>
      </c>
      <c r="F12" s="15">
        <f>VLOOKUP($A12,'Recreational landings (Bss-8c9a'!$A$1:$L$14,6,FALSE)</f>
        <v>85.6</v>
      </c>
      <c r="G12" s="15">
        <f>VLOOKUP($A12,'Recreational landings (Bss-8c9a'!$A$1:$L$14,7,FALSE)</f>
        <v>225097</v>
      </c>
      <c r="H12" s="16" t="str">
        <f>VLOOKUP($A12,'Recreational landings (Bss-8c9a'!$A$1:$L$14,8,FALSE)</f>
        <v>DCF Sampling. Years 2015 &amp; 2016 (Basque = 35% of licences in VIIIc)</v>
      </c>
      <c r="I12" s="16"/>
      <c r="J12" s="16"/>
      <c r="K12" s="16"/>
      <c r="L12" s="16"/>
      <c r="M12" s="16"/>
      <c r="N12" s="16"/>
      <c r="O12" s="16"/>
      <c r="P12" s="16"/>
      <c r="Q12" s="16"/>
      <c r="R12" s="16"/>
      <c r="S12" s="16"/>
      <c r="T12" s="16"/>
    </row>
    <row r="13" spans="1:20" x14ac:dyDescent="0.25">
      <c r="A13" s="17" t="str">
        <f>'Recreational landings (Bss-8c9a'!A3</f>
        <v>Portugal (North)</v>
      </c>
      <c r="B13" s="15">
        <f>VLOOKUP($A13,'Recreational landings (Bss-8c9a'!$A$1:$L$14,2,FALSE)</f>
        <v>2001</v>
      </c>
      <c r="C13" s="15">
        <f>VLOOKUP($A13,'Recreational landings (Bss-8c9a'!$A$1:$L$14,3,FALSE)</f>
        <v>59889</v>
      </c>
      <c r="D13" s="15">
        <f>VLOOKUP($A13,'Recreational landings (Bss-8c9a'!$A$1:$L$14,4,FALSE)</f>
        <v>7.16</v>
      </c>
      <c r="E13" s="15">
        <f>VLOOKUP($A13,'Recreational landings (Bss-8c9a'!$A$1:$L$14,5,FALSE)</f>
        <v>20846</v>
      </c>
      <c r="F13" s="15" t="str">
        <f>VLOOKUP($A13,'Recreational landings (Bss-8c9a'!$A$1:$L$14,6,FALSE)</f>
        <v>NA</v>
      </c>
      <c r="G13" s="15" t="str">
        <f>VLOOKUP($A13,'Recreational landings (Bss-8c9a'!$A$1:$L$14,7,FALSE)</f>
        <v>NA</v>
      </c>
      <c r="H13" s="16" t="str">
        <f>VLOOKUP($A13,'Recreational landings (Bss-8c9a'!$A$1:$L$14,8,FALSE)</f>
        <v xml:space="preserve">Veiga et al, 2010. Number of anglers calculated trough examining total population in study area * participation rate (1.67%) in Hyder et al, 2017. retained number calculated from average weight in study </v>
      </c>
      <c r="I13" s="16"/>
      <c r="J13" s="16"/>
      <c r="K13" s="16"/>
      <c r="L13" s="16"/>
      <c r="M13" s="16"/>
      <c r="N13" s="16"/>
      <c r="O13" s="16"/>
      <c r="P13" s="16"/>
      <c r="Q13" s="16"/>
      <c r="R13" s="16"/>
      <c r="S13" s="16"/>
      <c r="T13" s="16"/>
    </row>
    <row r="14" spans="1:20" x14ac:dyDescent="0.25">
      <c r="A14" s="15" t="str">
        <f>'Recreational landings (Bss-8c9a'!A4</f>
        <v>Spain</v>
      </c>
      <c r="B14" s="15" t="str">
        <f>VLOOKUP($A14,'Recreational landings (Bss-8c9a'!$A$1:$L$14,2,FALSE)</f>
        <v>NA</v>
      </c>
      <c r="C14" s="15">
        <f>VLOOKUP($A14,'Recreational landings (Bss-8c9a'!$A$1:$L$14,3,FALSE)</f>
        <v>164946</v>
      </c>
      <c r="D14" s="15" t="str">
        <f>VLOOKUP($A14,'Recreational landings (Bss-8c9a'!$A$1:$L$14,4,FALSE)</f>
        <v>NA</v>
      </c>
      <c r="E14" s="15" t="str">
        <f>VLOOKUP($A14,'Recreational landings (Bss-8c9a'!$A$1:$L$14,5,FALSE)</f>
        <v>NA</v>
      </c>
      <c r="F14" s="15" t="str">
        <f>VLOOKUP($A14,'Recreational landings (Bss-8c9a'!$A$1:$L$14,6,FALSE)</f>
        <v>NA</v>
      </c>
      <c r="G14" s="15" t="str">
        <f>VLOOKUP($A14,'Recreational landings (Bss-8c9a'!$A$1:$L$14,7,FALSE)</f>
        <v>NA</v>
      </c>
      <c r="H14" s="16" t="str">
        <f>VLOOKUP($A14,'Recreational landings (Bss-8c9a'!$A$1:$L$14,8,FALSE)</f>
        <v>Number of anglers = estimation of licenses by Zarauz pers. Comm. Worth noting that southern IXa region landings likey to be significantly different than those in the north but there are no data to prove this.</v>
      </c>
      <c r="I14" s="16"/>
      <c r="J14" s="16"/>
      <c r="K14" s="16"/>
      <c r="L14" s="16"/>
      <c r="M14" s="16"/>
      <c r="N14" s="16"/>
      <c r="O14" s="16"/>
      <c r="P14" s="16"/>
      <c r="Q14" s="16"/>
      <c r="R14" s="16"/>
      <c r="S14" s="16"/>
      <c r="T14" s="16"/>
    </row>
    <row r="15" spans="1:20" x14ac:dyDescent="0.25">
      <c r="A15" s="15" t="str">
        <f>'Recreational landings (Bss-8c9a'!A5</f>
        <v>Portugal</v>
      </c>
      <c r="B15" s="15" t="str">
        <f>VLOOKUP($A15,'Recreational landings (Bss-8c9a'!$A$1:$L$14,2,FALSE)</f>
        <v>NA</v>
      </c>
      <c r="C15" s="15">
        <f>VLOOKUP($A15,'Recreational landings (Bss-8c9a'!$A$1:$L$14,3,FALSE)</f>
        <v>175000</v>
      </c>
      <c r="D15" s="15" t="str">
        <f>VLOOKUP($A15,'Recreational landings (Bss-8c9a'!$A$1:$L$14,4,FALSE)</f>
        <v>NA</v>
      </c>
      <c r="E15" s="15" t="str">
        <f>VLOOKUP($A15,'Recreational landings (Bss-8c9a'!$A$1:$L$14,5,FALSE)</f>
        <v>NA</v>
      </c>
      <c r="F15" s="15" t="str">
        <f>VLOOKUP($A15,'Recreational landings (Bss-8c9a'!$A$1:$L$14,6,FALSE)</f>
        <v>NA</v>
      </c>
      <c r="G15" s="15" t="str">
        <f>VLOOKUP($A15,'Recreational landings (Bss-8c9a'!$A$1:$L$14,7,FALSE)</f>
        <v>NA</v>
      </c>
      <c r="H15" s="16" t="str">
        <f>VLOOKUP($A15,'Recreational landings (Bss-8c9a'!$A$1:$L$14,8,FALSE)</f>
        <v>No. of anglers from Hyder et al. 2017</v>
      </c>
      <c r="I15" s="16"/>
      <c r="J15" s="16"/>
      <c r="K15" s="16"/>
      <c r="L15" s="16"/>
      <c r="M15" s="16"/>
      <c r="N15" s="16"/>
      <c r="O15" s="16"/>
      <c r="P15" s="16"/>
      <c r="Q15" s="16"/>
      <c r="R15" s="16"/>
      <c r="S15" s="16"/>
      <c r="T15" s="16"/>
    </row>
    <row r="17" spans="1:16" x14ac:dyDescent="0.25">
      <c r="A17" s="18"/>
      <c r="B17" s="18"/>
      <c r="C17" s="18"/>
      <c r="D17" s="18"/>
      <c r="E17" s="18"/>
      <c r="F17" s="18"/>
      <c r="G17" s="18"/>
    </row>
    <row r="21" spans="1:16" x14ac:dyDescent="0.25">
      <c r="A21" s="58" t="s">
        <v>42</v>
      </c>
      <c r="B21" s="58"/>
      <c r="C21" s="58"/>
      <c r="D21" s="58"/>
      <c r="E21" s="58"/>
      <c r="F21" s="58"/>
      <c r="G21" s="58"/>
      <c r="H21" s="58"/>
      <c r="I21" s="58"/>
      <c r="J21" s="58" t="s">
        <v>47</v>
      </c>
      <c r="K21" s="58"/>
      <c r="L21" s="58"/>
    </row>
    <row r="22" spans="1:16" x14ac:dyDescent="0.25">
      <c r="A22" s="15" t="s">
        <v>0</v>
      </c>
      <c r="B22" s="15" t="s">
        <v>43</v>
      </c>
      <c r="C22" s="15" t="s">
        <v>37</v>
      </c>
      <c r="D22" s="15" t="s">
        <v>38</v>
      </c>
      <c r="E22" s="15" t="s">
        <v>39</v>
      </c>
      <c r="F22" s="15" t="s">
        <v>40</v>
      </c>
      <c r="G22" s="15" t="s">
        <v>44</v>
      </c>
      <c r="H22" s="15" t="s">
        <v>45</v>
      </c>
      <c r="I22" s="15" t="s">
        <v>46</v>
      </c>
      <c r="J22" s="15" t="s">
        <v>48</v>
      </c>
      <c r="K22" s="15" t="s">
        <v>49</v>
      </c>
      <c r="L22" s="15" t="s">
        <v>50</v>
      </c>
    </row>
    <row r="23" spans="1:16" x14ac:dyDescent="0.25">
      <c r="A23" s="15" t="str">
        <f>A14</f>
        <v>Spain</v>
      </c>
      <c r="B23" s="15">
        <f>C14</f>
        <v>164946</v>
      </c>
      <c r="C23" s="22">
        <f>IF(J23="Avg",D23*B2/1000,IF(J23="Port (N)",B23/$C$13*$D$13,IF(J23 = "BASQUE", B23/$C$12*$D$12,"Help")))</f>
        <v>372.79613174743713</v>
      </c>
      <c r="D23" s="33">
        <f>IF(K23 = "BASQUE", B23/$C$12*$E$12, IF(K23 = "Avg", C23/($B$2/1000), IF(K23="Port (N)", B23/$C$13*$E$13)))</f>
        <v>446222.25344626076</v>
      </c>
      <c r="E23" s="22">
        <f>IF(F14&lt;&gt;"NA", F14, F23*($B$3/1000))</f>
        <v>226.05833586832964</v>
      </c>
      <c r="F23" s="33">
        <f>IF(L23 = "BASQUE", B23/$C$12*$G$12, IF(L23 = "Prop", D23*$B$4, "Error"))</f>
        <v>594451.55641300697</v>
      </c>
      <c r="H23" s="15">
        <v>151.41999999999999</v>
      </c>
      <c r="I23" s="15">
        <v>85.6</v>
      </c>
      <c r="J23" s="15" t="s">
        <v>52</v>
      </c>
      <c r="K23" s="15" t="s">
        <v>80</v>
      </c>
      <c r="L23" s="15" t="s">
        <v>80</v>
      </c>
      <c r="M23" s="15">
        <v>-2</v>
      </c>
    </row>
    <row r="24" spans="1:16" x14ac:dyDescent="0.25">
      <c r="A24" s="15" t="str">
        <f>A15</f>
        <v>Portugal</v>
      </c>
      <c r="B24" s="15">
        <f>C15</f>
        <v>175000</v>
      </c>
      <c r="C24" s="22">
        <f>IF(J24="Avg",D24*B3/1000,IF(J24="Port (N)",B24/$C$13*$D$13,IF(J24 = "BASQUE", B24/$C$12*$D$12,"Help")))</f>
        <v>20.922039105678842</v>
      </c>
      <c r="D24" s="33">
        <f>IF(K24 = "BASQUE", B24/$C$12*$E$12, IF(K24 = "Avg", C24/($B$2/1000), IF(K24="Port (N)", B24/$C$13*$E$13)))</f>
        <v>60913.523351533673</v>
      </c>
      <c r="E24" s="22">
        <f>IF(F15&lt;&gt;"NA", F15, F24*($B$3/1000))</f>
        <v>13.231821143444057</v>
      </c>
      <c r="F24" s="33">
        <f>IF(L24 = "BASQUE", B24/$C$12*$G$12, IF(L24 = "Prop", D24*$B$4, "Error"))</f>
        <v>34794.897709413868</v>
      </c>
      <c r="H24" s="15">
        <v>7.32</v>
      </c>
      <c r="I24" s="15">
        <v>0</v>
      </c>
      <c r="J24" s="15" t="s">
        <v>81</v>
      </c>
      <c r="K24" s="15" t="s">
        <v>81</v>
      </c>
      <c r="L24" s="15" t="s">
        <v>55</v>
      </c>
      <c r="M24" s="15">
        <v>-2</v>
      </c>
    </row>
    <row r="25" spans="1:16" x14ac:dyDescent="0.25">
      <c r="C25" s="22">
        <f>SUM(C23:C24)</f>
        <v>393.71817085311596</v>
      </c>
      <c r="D25" s="22"/>
      <c r="E25" s="22">
        <f>SUM(E23:E24)</f>
        <v>239.29015701177369</v>
      </c>
    </row>
    <row r="26" spans="1:16" x14ac:dyDescent="0.25">
      <c r="A26" s="57" t="s">
        <v>89</v>
      </c>
      <c r="B26" s="57"/>
      <c r="C26" s="57"/>
      <c r="D26" s="57"/>
      <c r="E26" s="57"/>
      <c r="F26" s="57"/>
      <c r="G26" s="57"/>
      <c r="H26" s="57"/>
      <c r="I26" s="57"/>
      <c r="J26" s="57"/>
    </row>
    <row r="28" spans="1:16" x14ac:dyDescent="0.25">
      <c r="A28" s="58" t="s">
        <v>56</v>
      </c>
      <c r="B28" s="58"/>
      <c r="C28" s="58"/>
    </row>
    <row r="29" spans="1:16" x14ac:dyDescent="0.25">
      <c r="A29" s="15" t="s">
        <v>37</v>
      </c>
      <c r="B29" s="15" t="s">
        <v>57</v>
      </c>
      <c r="C29" s="15" t="s">
        <v>58</v>
      </c>
      <c r="D29" s="15" t="s">
        <v>44</v>
      </c>
    </row>
    <row r="30" spans="1:16" x14ac:dyDescent="0.25">
      <c r="A30" s="19">
        <f>(SUM(C23:C24)-SUM(H23:H24))/SUM(C23:C24)</f>
        <v>0.59681820207576619</v>
      </c>
      <c r="B30" s="19">
        <f>(SUM(E23:E24)-SUM(I23:I24))/SUM(E23:E24)</f>
        <v>0.64227529845371678</v>
      </c>
      <c r="C30" s="19">
        <f>(SUM(C23:C24,E23:E24)-SUM(H23:I24))/SUM(C23:C24,E23:E24)</f>
        <v>0.61400191870437393</v>
      </c>
      <c r="D30" s="20" t="s">
        <v>90</v>
      </c>
      <c r="E30" s="20"/>
      <c r="F30" s="20"/>
      <c r="G30" s="20"/>
      <c r="H30" s="20"/>
      <c r="I30" s="20"/>
      <c r="J30" s="20"/>
      <c r="K30" s="20"/>
      <c r="L30" s="20"/>
      <c r="M30" s="21"/>
      <c r="N30" s="21"/>
      <c r="O30" s="21"/>
      <c r="P30" s="21"/>
    </row>
    <row r="31" spans="1:16" x14ac:dyDescent="0.25">
      <c r="B31" s="19"/>
      <c r="C31" s="22"/>
    </row>
    <row r="32" spans="1:16" x14ac:dyDescent="0.25">
      <c r="G32" s="19"/>
    </row>
    <row r="35" spans="1:13" x14ac:dyDescent="0.25">
      <c r="A35" s="58" t="s">
        <v>59</v>
      </c>
      <c r="B35" s="58"/>
      <c r="C35" s="58"/>
      <c r="D35" s="58"/>
      <c r="E35" s="58"/>
      <c r="F35" s="58"/>
      <c r="G35" s="58"/>
      <c r="H35" s="58"/>
      <c r="I35" s="58"/>
      <c r="J35" s="58"/>
      <c r="K35" s="58"/>
    </row>
    <row r="36" spans="1:13" x14ac:dyDescent="0.25">
      <c r="B36" s="58" t="s">
        <v>33</v>
      </c>
      <c r="C36" s="58"/>
      <c r="D36" s="58"/>
      <c r="E36" s="58" t="s">
        <v>31</v>
      </c>
      <c r="F36" s="58"/>
      <c r="G36" s="58"/>
      <c r="H36" s="58" t="s">
        <v>60</v>
      </c>
      <c r="I36" s="58"/>
    </row>
    <row r="37" spans="1:13" x14ac:dyDescent="0.25">
      <c r="A37" s="15" t="s">
        <v>0</v>
      </c>
      <c r="B37" s="15" t="s">
        <v>12</v>
      </c>
      <c r="C37" s="15" t="s">
        <v>64</v>
      </c>
      <c r="D37" s="15" t="s">
        <v>61</v>
      </c>
      <c r="E37" s="15" t="s">
        <v>62</v>
      </c>
      <c r="F37" s="15" t="s">
        <v>65</v>
      </c>
      <c r="G37" s="15" t="s">
        <v>61</v>
      </c>
      <c r="H37" s="15" t="s">
        <v>33</v>
      </c>
      <c r="I37" s="15" t="s">
        <v>31</v>
      </c>
      <c r="J37" s="15" t="s">
        <v>2</v>
      </c>
      <c r="K37" s="15" t="s">
        <v>63</v>
      </c>
      <c r="L37" s="15" t="s">
        <v>44</v>
      </c>
    </row>
    <row r="38" spans="1:13" x14ac:dyDescent="0.25">
      <c r="A38" s="15" t="str">
        <f>A23</f>
        <v>Spain</v>
      </c>
      <c r="B38" s="22">
        <f>C23</f>
        <v>372.79613174743713</v>
      </c>
      <c r="C38" s="15">
        <f>E23*$B$6</f>
        <v>11.302916793416482</v>
      </c>
      <c r="D38" s="15">
        <f>B38+C38</f>
        <v>384.09904854085363</v>
      </c>
      <c r="E38" s="15">
        <f>VLOOKUP($A38,'Commercial landings (Bss-8c9a)'!$A$1:$F$13,2, FALSE)</f>
        <v>317</v>
      </c>
      <c r="F38" s="15">
        <f>E38*($B$5*$B$7)</f>
        <v>0</v>
      </c>
      <c r="G38" s="15">
        <f>E38+F38</f>
        <v>317</v>
      </c>
      <c r="H38" s="19">
        <f>D38/K38</f>
        <v>0.54785275966391767</v>
      </c>
      <c r="I38" s="19">
        <f>G38/K38</f>
        <v>0.45214724033608239</v>
      </c>
      <c r="J38" s="15" t="str">
        <f>VLOOKUP($A38,'Commercial landings (Bss-8c9a)'!$A$1:$F$13,3, FALSE)</f>
        <v>ICES catch statistics webpage</v>
      </c>
      <c r="K38" s="15">
        <f>G38+D38</f>
        <v>701.09904854085357</v>
      </c>
      <c r="L38" s="15" t="s">
        <v>84</v>
      </c>
      <c r="M38" s="15">
        <f>(D38*M23)</f>
        <v>-768.19809708170726</v>
      </c>
    </row>
    <row r="39" spans="1:13" x14ac:dyDescent="0.25">
      <c r="A39" s="15" t="str">
        <f>A24</f>
        <v>Portugal</v>
      </c>
      <c r="B39" s="15">
        <f>C24</f>
        <v>20.922039105678842</v>
      </c>
      <c r="C39" s="15">
        <f>ROUND(E24*$B$6,2)</f>
        <v>0.66</v>
      </c>
      <c r="D39" s="15">
        <f>B39+C39</f>
        <v>21.582039105678842</v>
      </c>
      <c r="E39" s="15">
        <f>VLOOKUP($A39,'Commercial landings (Bss-8c9a)'!$A$1:$F$13,2, FALSE)</f>
        <v>271</v>
      </c>
      <c r="F39" s="15">
        <f>E39*($B$5*$B$7)</f>
        <v>0</v>
      </c>
      <c r="G39" s="15">
        <f>E39+F39</f>
        <v>271</v>
      </c>
      <c r="H39" s="19">
        <f>D39/K39</f>
        <v>7.3764060062085829E-2</v>
      </c>
      <c r="I39" s="19">
        <f>G39/K39</f>
        <v>0.92623593993791409</v>
      </c>
      <c r="J39" s="15" t="str">
        <f>VLOOKUP($A39,'Commercial landings (Bss-8c9a)'!$A$1:$F$13,3, FALSE)</f>
        <v>ICES bss-8c9a assessment</v>
      </c>
      <c r="K39" s="15">
        <f>G39+D39</f>
        <v>292.58203910567886</v>
      </c>
      <c r="L39" s="15" t="s">
        <v>84</v>
      </c>
      <c r="M39" s="15">
        <f>(D39*M24)</f>
        <v>-43.164078211357683</v>
      </c>
    </row>
    <row r="40" spans="1:13" x14ac:dyDescent="0.25">
      <c r="A40" s="23" t="s">
        <v>105</v>
      </c>
      <c r="B40" s="23">
        <f>SUM(B38:B39)</f>
        <v>393.71817085311596</v>
      </c>
      <c r="C40" s="23">
        <f>SUM(C38:C39)</f>
        <v>11.962916793416483</v>
      </c>
      <c r="D40" s="23">
        <f>SUM(D38:D39)</f>
        <v>405.68108764653249</v>
      </c>
      <c r="E40" s="23">
        <f>ROUND(VLOOKUP($A40,'Commercial landings (Bss-8c9a)'!$A$1:$F$13,2, FALSE),2)</f>
        <v>701</v>
      </c>
      <c r="F40" s="23">
        <f>E40*($B$5*$B$7)</f>
        <v>0</v>
      </c>
      <c r="G40" s="23">
        <f>E40+F40</f>
        <v>701</v>
      </c>
      <c r="H40" s="24">
        <f>D40/K40</f>
        <v>0.36657451923141987</v>
      </c>
      <c r="I40" s="24">
        <f>G40/K40</f>
        <v>0.63342548076858018</v>
      </c>
      <c r="J40" s="23"/>
      <c r="K40" s="23">
        <f>D40+G40</f>
        <v>1106.6810876465324</v>
      </c>
      <c r="L40" s="23"/>
      <c r="M40" s="15">
        <f>SUM(M38:M39)/D40</f>
        <v>-2</v>
      </c>
    </row>
    <row r="45" spans="1:13" x14ac:dyDescent="0.25">
      <c r="A45" s="57" t="s">
        <v>120</v>
      </c>
      <c r="B45" s="57"/>
      <c r="C45" s="57"/>
      <c r="D45" s="57"/>
      <c r="E45" s="57"/>
      <c r="F45" s="57"/>
      <c r="G45" s="57"/>
      <c r="H45" s="57"/>
      <c r="I45" s="57"/>
      <c r="J45" s="57"/>
      <c r="K45" s="57"/>
    </row>
    <row r="46" spans="1:13" x14ac:dyDescent="0.25">
      <c r="A46" s="15" t="s">
        <v>0</v>
      </c>
      <c r="B46" s="15" t="s">
        <v>43</v>
      </c>
      <c r="C46" s="15" t="s">
        <v>37</v>
      </c>
      <c r="D46" s="15" t="s">
        <v>38</v>
      </c>
      <c r="E46" s="15" t="s">
        <v>39</v>
      </c>
      <c r="F46" s="15" t="s">
        <v>40</v>
      </c>
      <c r="G46" s="15" t="s">
        <v>122</v>
      </c>
      <c r="H46" s="15" t="s">
        <v>61</v>
      </c>
    </row>
    <row r="47" spans="1:13" x14ac:dyDescent="0.25">
      <c r="A47" s="36" t="s">
        <v>126</v>
      </c>
      <c r="B47" s="15">
        <f>B23</f>
        <v>164946</v>
      </c>
      <c r="C47" s="22">
        <f>D47*($B$2/1000)</f>
        <v>47.966456063497887</v>
      </c>
      <c r="D47" s="38">
        <f>B47/B24*D24</f>
        <v>57413.954415668988</v>
      </c>
      <c r="E47" s="22">
        <f>F47*($B$3/1000)</f>
        <v>12.471634116151563</v>
      </c>
      <c r="F47" s="38">
        <f>D47*B4</f>
        <v>32795.881129011315</v>
      </c>
      <c r="G47" s="22">
        <f>E47*$B$6</f>
        <v>0.62358170580757821</v>
      </c>
      <c r="H47" s="22">
        <f>C47+G47</f>
        <v>48.590037769305468</v>
      </c>
    </row>
    <row r="48" spans="1:13" x14ac:dyDescent="0.25">
      <c r="A48" s="36" t="s">
        <v>127</v>
      </c>
      <c r="B48" s="15">
        <f>B24</f>
        <v>175000</v>
      </c>
      <c r="C48" s="22">
        <f>D48*($B$2/1000)</f>
        <v>395.5192793750773</v>
      </c>
      <c r="D48" s="38">
        <f>B48/B23*D23</f>
        <v>473420.96415248408</v>
      </c>
      <c r="E48" s="22">
        <f>F48*($B$3/1000)</f>
        <v>239.8373332906387</v>
      </c>
      <c r="F48" s="38">
        <f>B48/B23*F23</f>
        <v>630685.32957620209</v>
      </c>
      <c r="G48" s="22">
        <f>E48*$B$6</f>
        <v>11.991866664531935</v>
      </c>
      <c r="H48" s="22">
        <f>C48+G48</f>
        <v>407.51114603960923</v>
      </c>
      <c r="I48" s="36" t="s">
        <v>123</v>
      </c>
      <c r="J48" s="36" t="s">
        <v>124</v>
      </c>
      <c r="K48" s="36" t="s">
        <v>125</v>
      </c>
    </row>
    <row r="49" spans="2:11" x14ac:dyDescent="0.25">
      <c r="B49" s="36"/>
      <c r="C49" s="22"/>
      <c r="D49" s="22"/>
      <c r="E49" s="22"/>
      <c r="F49" s="22"/>
      <c r="G49" s="36" t="s">
        <v>121</v>
      </c>
      <c r="H49" s="22">
        <f>SUM(H47:H48)</f>
        <v>456.1011838089147</v>
      </c>
      <c r="I49" s="37">
        <v>564.71028875555692</v>
      </c>
      <c r="J49" s="37">
        <v>246.65506865185242</v>
      </c>
      <c r="K49" s="15" t="str">
        <f>IF((AND(H49&lt;=I49,H49&gt;=J49)),"Good","Bad")</f>
        <v>Good</v>
      </c>
    </row>
    <row r="50" spans="2:11" x14ac:dyDescent="0.25">
      <c r="C50" s="22"/>
      <c r="D50" s="38"/>
      <c r="E50" s="22"/>
      <c r="F50" s="38"/>
      <c r="G50" s="22"/>
      <c r="H50" s="22"/>
    </row>
    <row r="51" spans="2:11" x14ac:dyDescent="0.25">
      <c r="C51" s="22"/>
      <c r="D51" s="38"/>
      <c r="E51" s="22"/>
      <c r="F51" s="38"/>
      <c r="G51" s="22"/>
      <c r="H51" s="22"/>
    </row>
    <row r="52" spans="2:11" x14ac:dyDescent="0.25">
      <c r="C52" s="22"/>
      <c r="D52" s="38"/>
      <c r="E52" s="22"/>
      <c r="F52" s="38"/>
      <c r="G52" s="22"/>
      <c r="H52" s="22"/>
    </row>
    <row r="53" spans="2:11" x14ac:dyDescent="0.25">
      <c r="C53" s="22"/>
      <c r="D53" s="38"/>
      <c r="E53" s="22"/>
      <c r="F53" s="38"/>
      <c r="G53" s="22"/>
      <c r="H53" s="22"/>
    </row>
    <row r="54" spans="2:11" x14ac:dyDescent="0.25">
      <c r="C54" s="22"/>
      <c r="D54" s="38"/>
      <c r="E54" s="22"/>
      <c r="F54" s="38"/>
      <c r="G54" s="22"/>
      <c r="H54" s="22"/>
    </row>
    <row r="55" spans="2:11" x14ac:dyDescent="0.25">
      <c r="C55" s="22"/>
      <c r="D55" s="38"/>
      <c r="E55" s="22"/>
      <c r="F55" s="38"/>
      <c r="G55" s="22"/>
      <c r="H55" s="22"/>
    </row>
    <row r="56" spans="2:11" x14ac:dyDescent="0.25">
      <c r="C56" s="22"/>
      <c r="E56" s="22"/>
      <c r="G56" s="22"/>
      <c r="H56" s="22"/>
    </row>
  </sheetData>
  <mergeCells count="11">
    <mergeCell ref="A45:K45"/>
    <mergeCell ref="A10:I10"/>
    <mergeCell ref="A35:K35"/>
    <mergeCell ref="B36:D36"/>
    <mergeCell ref="E36:G36"/>
    <mergeCell ref="H36:I36"/>
    <mergeCell ref="A28:C28"/>
    <mergeCell ref="A26:J26"/>
    <mergeCell ref="H11:T11"/>
    <mergeCell ref="A21:I21"/>
    <mergeCell ref="J21:L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36"/>
  <sheetViews>
    <sheetView zoomScale="70" zoomScaleNormal="70" workbookViewId="0">
      <selection activeCell="D31" sqref="D31"/>
    </sheetView>
  </sheetViews>
  <sheetFormatPr defaultRowHeight="15" x14ac:dyDescent="0.25"/>
  <cols>
    <col min="1" max="1" width="29.28515625" style="26" bestFit="1" customWidth="1"/>
    <col min="2" max="2" width="21" style="26" bestFit="1" customWidth="1"/>
    <col min="3" max="3" width="18" style="26" bestFit="1" customWidth="1"/>
    <col min="4" max="5" width="16.85546875" style="26" bestFit="1" customWidth="1"/>
    <col min="6" max="7" width="17" style="26" bestFit="1" customWidth="1"/>
    <col min="8" max="8" width="23.140625" style="26" bestFit="1" customWidth="1"/>
    <col min="9" max="9" width="23.28515625" style="26" bestFit="1" customWidth="1"/>
    <col min="10" max="10" width="51.5703125" style="26" customWidth="1"/>
    <col min="11" max="11" width="20.7109375" style="26" bestFit="1" customWidth="1"/>
    <col min="12" max="12" width="20.85546875" style="26" bestFit="1" customWidth="1"/>
    <col min="13" max="16384" width="9.140625" style="26"/>
  </cols>
  <sheetData>
    <row r="1" spans="1:9" x14ac:dyDescent="0.25">
      <c r="A1" s="26" t="s">
        <v>24</v>
      </c>
      <c r="B1" s="26" t="s">
        <v>25</v>
      </c>
      <c r="C1" s="26" t="s">
        <v>2</v>
      </c>
    </row>
    <row r="2" spans="1:9" x14ac:dyDescent="0.25">
      <c r="A2" s="26" t="s">
        <v>26</v>
      </c>
      <c r="B2" s="26">
        <f>(SUMIFS('Recreational landings (Bss-8ab)'!D2:D13,'Recreational landings (Bss-8ab)'!D2:D13,"&lt;&gt;NA",'Recreational landings (Bss-8ab)'!E2:E13,"&lt;&gt;NA")/SUMIFS('Recreational landings (Bss-8ab)'!E2:E13,'Recreational landings (Bss-8ab)'!E2:E13,"&lt;&gt;NA",'Recreational landings (Bss-8ab)'!D2:D13,"&lt;&gt;NA"))*1000</f>
        <v>1.203250918495808</v>
      </c>
    </row>
    <row r="3" spans="1:9" x14ac:dyDescent="0.25">
      <c r="A3" s="26" t="s">
        <v>27</v>
      </c>
      <c r="B3" s="26">
        <f>(SUMIFS('Recreational landings (Bss-8ab)'!F2:F13,'Recreational landings (Bss-8ab)'!F2:F13,"&lt;&gt;NA",'Recreational landings (Bss-8ab)'!G2:G13,"&lt;&gt;NA")/SUMIFS('Recreational landings (Bss-8ab)'!G2:G13,'Recreational landings (Bss-8ab)'!G2:G13,"&lt;&gt;NA",'Recreational landings (Bss-8ab)'!F2:F13,"&lt;&gt;NA"))*1000</f>
        <v>0.4168901007092175</v>
      </c>
    </row>
    <row r="4" spans="1:9" x14ac:dyDescent="0.25">
      <c r="A4" s="26" t="s">
        <v>28</v>
      </c>
      <c r="B4" s="26">
        <f>F19/(F19+D19)</f>
        <v>0.50468560705038368</v>
      </c>
    </row>
    <row r="5" spans="1:9" x14ac:dyDescent="0.25">
      <c r="A5" s="26" t="s">
        <v>115</v>
      </c>
      <c r="B5" s="26">
        <f>'Discard rate'!E2</f>
        <v>0</v>
      </c>
      <c r="C5" s="26" t="str">
        <f>'Discard rate'!F2</f>
        <v>ICES bss-8ab assessment</v>
      </c>
    </row>
    <row r="6" spans="1:9" x14ac:dyDescent="0.25">
      <c r="A6" s="26" t="s">
        <v>29</v>
      </c>
      <c r="B6" s="26">
        <f>'Discard mortality'!C2</f>
        <v>0.05</v>
      </c>
      <c r="C6" s="26" t="str">
        <f>'Discard mortality'!D2</f>
        <v>Lewin et al. (submitted)</v>
      </c>
    </row>
    <row r="7" spans="1:9" x14ac:dyDescent="0.25">
      <c r="A7" s="26" t="s">
        <v>30</v>
      </c>
      <c r="B7" s="26">
        <f>'Discard mortality'!A2</f>
        <v>1</v>
      </c>
      <c r="C7" s="26" t="str">
        <f>'Discard mortality'!B2</f>
        <v>Precautionary approach</v>
      </c>
    </row>
    <row r="10" spans="1:9" x14ac:dyDescent="0.25">
      <c r="A10" s="60" t="s">
        <v>35</v>
      </c>
      <c r="B10" s="60"/>
      <c r="C10" s="60"/>
      <c r="D10" s="60"/>
      <c r="E10" s="60"/>
      <c r="F10" s="60"/>
      <c r="G10" s="60"/>
      <c r="H10" s="60"/>
      <c r="I10" s="60"/>
    </row>
    <row r="11" spans="1:9" x14ac:dyDescent="0.25">
      <c r="A11" s="26" t="s">
        <v>0</v>
      </c>
      <c r="B11" s="26" t="s">
        <v>114</v>
      </c>
      <c r="C11" s="26" t="s">
        <v>36</v>
      </c>
      <c r="D11" s="26" t="s">
        <v>37</v>
      </c>
      <c r="E11" s="26" t="s">
        <v>38</v>
      </c>
      <c r="F11" s="26" t="s">
        <v>39</v>
      </c>
      <c r="G11" s="26" t="s">
        <v>40</v>
      </c>
      <c r="H11" s="26" t="s">
        <v>54</v>
      </c>
    </row>
    <row r="12" spans="1:9" x14ac:dyDescent="0.25">
      <c r="A12" s="26" t="s">
        <v>4</v>
      </c>
      <c r="B12" s="26" t="str">
        <f>VLOOKUP($A12,'Recreational landings (Bss-8ab)'!$A$1:$L$13,2,FALSE)</f>
        <v>2009-2011</v>
      </c>
      <c r="C12" s="26">
        <f>VLOOKUP($A12,'Recreational landings (Bss-8ab)'!$A$1:$L$13,3,FALSE)</f>
        <v>791000</v>
      </c>
      <c r="D12" s="26">
        <f>VLOOKUP($A12,'Recreational landings (Bss-8ab)'!$A$1:$L$13,4,FALSE)</f>
        <v>1405</v>
      </c>
      <c r="E12" s="26">
        <f>VLOOKUP($A12,'Recreational landings (Bss-8ab)'!$A$1:$L$13,5,FALSE)</f>
        <v>1167670</v>
      </c>
      <c r="F12" s="26">
        <f>VLOOKUP($A12,'Recreational landings (Bss-8ab)'!$A$1:$L$13,6,FALSE)</f>
        <v>496</v>
      </c>
      <c r="G12" s="26">
        <f>VLOOKUP($A12,'Recreational landings (Bss-8ab)'!$A$1:$L$13,7,FALSE)</f>
        <v>1189762</v>
      </c>
      <c r="H12" s="26" t="str">
        <f>VLOOKUP($A12,'Recreational landings (Bss-8ab)'!$A$1:$L$13,8,FALSE)</f>
        <v>Rocklin et al. 2014</v>
      </c>
    </row>
    <row r="16" spans="1:9" ht="15" customHeight="1" x14ac:dyDescent="0.25"/>
    <row r="17" spans="1:13" x14ac:dyDescent="0.25">
      <c r="A17" s="60" t="s">
        <v>42</v>
      </c>
      <c r="B17" s="60"/>
      <c r="C17" s="60"/>
      <c r="D17" s="60"/>
      <c r="E17" s="60"/>
      <c r="F17" s="60"/>
      <c r="G17" s="60"/>
      <c r="H17" s="60"/>
      <c r="I17" s="60"/>
      <c r="J17" s="60" t="s">
        <v>47</v>
      </c>
      <c r="K17" s="60"/>
      <c r="L17" s="60"/>
    </row>
    <row r="18" spans="1:13" x14ac:dyDescent="0.25">
      <c r="A18" s="26" t="s">
        <v>0</v>
      </c>
      <c r="B18" s="26" t="s">
        <v>43</v>
      </c>
      <c r="C18" s="26" t="s">
        <v>37</v>
      </c>
      <c r="D18" s="26" t="s">
        <v>38</v>
      </c>
      <c r="E18" s="26" t="s">
        <v>39</v>
      </c>
      <c r="F18" s="26" t="s">
        <v>40</v>
      </c>
      <c r="G18" s="26" t="s">
        <v>44</v>
      </c>
      <c r="H18" s="26" t="s">
        <v>45</v>
      </c>
      <c r="I18" s="26" t="s">
        <v>46</v>
      </c>
      <c r="J18" s="26" t="s">
        <v>48</v>
      </c>
      <c r="K18" s="26" t="s">
        <v>49</v>
      </c>
      <c r="L18" s="26" t="s">
        <v>50</v>
      </c>
    </row>
    <row r="19" spans="1:13" x14ac:dyDescent="0.25">
      <c r="A19" s="26" t="s">
        <v>85</v>
      </c>
      <c r="B19" s="26">
        <f>C12</f>
        <v>791000</v>
      </c>
      <c r="C19" s="26">
        <f>D12</f>
        <v>1405</v>
      </c>
      <c r="D19" s="26">
        <f>E12</f>
        <v>1167670</v>
      </c>
      <c r="E19" s="26">
        <f>F12</f>
        <v>496</v>
      </c>
      <c r="F19" s="26">
        <f>G12</f>
        <v>1189762</v>
      </c>
      <c r="H19" s="26" t="s">
        <v>104</v>
      </c>
      <c r="I19" s="26" t="s">
        <v>104</v>
      </c>
      <c r="J19" s="26" t="s">
        <v>53</v>
      </c>
      <c r="K19" s="26" t="s">
        <v>53</v>
      </c>
      <c r="L19" s="26" t="s">
        <v>53</v>
      </c>
      <c r="M19" s="26">
        <v>0</v>
      </c>
    </row>
    <row r="22" spans="1:13" x14ac:dyDescent="0.25">
      <c r="A22" s="60" t="s">
        <v>56</v>
      </c>
      <c r="B22" s="60"/>
      <c r="C22" s="60"/>
    </row>
    <row r="23" spans="1:13" x14ac:dyDescent="0.25">
      <c r="A23" s="26" t="s">
        <v>37</v>
      </c>
      <c r="B23" s="26" t="s">
        <v>57</v>
      </c>
      <c r="C23" s="26" t="s">
        <v>58</v>
      </c>
    </row>
    <row r="24" spans="1:13" x14ac:dyDescent="0.25">
      <c r="A24" s="27">
        <v>0</v>
      </c>
      <c r="B24" s="27">
        <v>0</v>
      </c>
      <c r="C24" s="27">
        <v>0</v>
      </c>
    </row>
    <row r="28" spans="1:13" x14ac:dyDescent="0.25">
      <c r="A28" s="60" t="s">
        <v>59</v>
      </c>
      <c r="B28" s="60"/>
      <c r="C28" s="60"/>
      <c r="D28" s="60"/>
      <c r="E28" s="60"/>
      <c r="F28" s="60"/>
      <c r="G28" s="60"/>
      <c r="H28" s="60"/>
      <c r="I28" s="60"/>
      <c r="J28" s="60"/>
      <c r="K28" s="60"/>
    </row>
    <row r="29" spans="1:13" x14ac:dyDescent="0.25">
      <c r="B29" s="60" t="s">
        <v>33</v>
      </c>
      <c r="C29" s="60"/>
      <c r="D29" s="60"/>
      <c r="E29" s="60" t="s">
        <v>31</v>
      </c>
      <c r="F29" s="60"/>
      <c r="G29" s="60"/>
      <c r="H29" s="60" t="s">
        <v>60</v>
      </c>
      <c r="I29" s="60"/>
    </row>
    <row r="30" spans="1:13" x14ac:dyDescent="0.25">
      <c r="A30" s="26" t="s">
        <v>0</v>
      </c>
      <c r="B30" s="26" t="s">
        <v>12</v>
      </c>
      <c r="C30" s="26" t="s">
        <v>64</v>
      </c>
      <c r="D30" s="26" t="s">
        <v>61</v>
      </c>
      <c r="E30" s="26" t="s">
        <v>62</v>
      </c>
      <c r="F30" s="26" t="s">
        <v>65</v>
      </c>
      <c r="G30" s="26" t="s">
        <v>61</v>
      </c>
      <c r="H30" s="26" t="s">
        <v>33</v>
      </c>
      <c r="I30" s="26" t="s">
        <v>31</v>
      </c>
      <c r="J30" s="26" t="s">
        <v>2</v>
      </c>
      <c r="K30" s="26" t="s">
        <v>63</v>
      </c>
      <c r="L30" s="26" t="s">
        <v>44</v>
      </c>
    </row>
    <row r="31" spans="1:13" x14ac:dyDescent="0.25">
      <c r="A31" s="26" t="s">
        <v>4</v>
      </c>
      <c r="B31" s="26">
        <f>C19</f>
        <v>1405</v>
      </c>
      <c r="C31" s="26">
        <f>ROUND(E19*$B$6,2)</f>
        <v>24.8</v>
      </c>
      <c r="D31" s="26">
        <f>B31+C31</f>
        <v>1429.8</v>
      </c>
      <c r="E31" s="26">
        <f>ROUND(VLOOKUP($A31,'Commercial landings (bss-8ab)'!$A$1:$F$13,2, FALSE),2)</f>
        <v>2325</v>
      </c>
      <c r="F31" s="26">
        <f>E31*($B$5*$B$7)</f>
        <v>0</v>
      </c>
      <c r="G31" s="26">
        <f>E31+F31</f>
        <v>2325</v>
      </c>
      <c r="H31" s="28">
        <f>D31/K31</f>
        <v>0.38079258549057204</v>
      </c>
      <c r="I31" s="28">
        <f>G31/K31</f>
        <v>0.61920741450942796</v>
      </c>
      <c r="J31" s="26" t="str">
        <f>VLOOKUP($A31,'Commercial landings (bss-8ab)'!$A$1:$F$13,3, FALSE)</f>
        <v>ICES 2015 bss-8ab assessment</v>
      </c>
      <c r="K31" s="26">
        <f>D31+G31</f>
        <v>3754.8</v>
      </c>
      <c r="L31" s="26" t="s">
        <v>84</v>
      </c>
      <c r="M31" s="26">
        <f>(D31*M19)</f>
        <v>0</v>
      </c>
    </row>
    <row r="32" spans="1:13" x14ac:dyDescent="0.25">
      <c r="A32" s="29" t="s">
        <v>105</v>
      </c>
      <c r="B32" s="29">
        <f>B31</f>
        <v>1405</v>
      </c>
      <c r="C32" s="29">
        <f>C31</f>
        <v>24.8</v>
      </c>
      <c r="D32" s="29">
        <f>D31</f>
        <v>1429.8</v>
      </c>
      <c r="E32" s="29">
        <f>ROUND(VLOOKUP($A32,'Commercial landings (bss-8ab)'!$A$1:$F$13,2, FALSE),2)</f>
        <v>2554</v>
      </c>
      <c r="F32" s="29">
        <f>E32*($B$5*$B$7)</f>
        <v>0</v>
      </c>
      <c r="G32" s="29">
        <f>E32+F32</f>
        <v>2554</v>
      </c>
      <c r="H32" s="30">
        <f>D32/K32</f>
        <v>0.35890355941563329</v>
      </c>
      <c r="I32" s="30">
        <f>G32/K32</f>
        <v>0.64109644058436666</v>
      </c>
      <c r="J32" s="29" t="str">
        <f>VLOOKUP($A32,'Commercial landings (bss-8ab)'!$A$1:$F$13,3, FALSE)</f>
        <v>ICES 2015 bss-8ab assessment (Estimated total landings)</v>
      </c>
      <c r="K32" s="29">
        <f>D32+G32</f>
        <v>3983.8</v>
      </c>
      <c r="L32" s="29"/>
      <c r="M32" s="26">
        <f>SUM(M31)/D32</f>
        <v>0</v>
      </c>
    </row>
    <row r="36" spans="1:1" x14ac:dyDescent="0.25">
      <c r="A36" s="36" t="s">
        <v>128</v>
      </c>
    </row>
  </sheetData>
  <mergeCells count="8">
    <mergeCell ref="A10:I10"/>
    <mergeCell ref="A17:I17"/>
    <mergeCell ref="J17:L17"/>
    <mergeCell ref="A28:K28"/>
    <mergeCell ref="B29:D29"/>
    <mergeCell ref="E29:G29"/>
    <mergeCell ref="H29:I29"/>
    <mergeCell ref="A22:C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17"/>
  <sheetViews>
    <sheetView workbookViewId="0">
      <selection activeCell="E7" sqref="E7"/>
    </sheetView>
  </sheetViews>
  <sheetFormatPr defaultRowHeight="15" x14ac:dyDescent="0.25"/>
  <cols>
    <col min="1" max="1" width="15" bestFit="1" customWidth="1"/>
    <col min="2" max="2" width="9.7109375" bestFit="1" customWidth="1"/>
    <col min="3" max="3" width="17.7109375" bestFit="1" customWidth="1"/>
    <col min="8" max="8" width="38.5703125" bestFit="1" customWidth="1"/>
  </cols>
  <sheetData>
    <row r="1" spans="1:8" x14ac:dyDescent="0.25">
      <c r="A1" s="2" t="s">
        <v>0</v>
      </c>
      <c r="B1" s="2" t="s">
        <v>17</v>
      </c>
      <c r="C1" s="2" t="s">
        <v>19</v>
      </c>
      <c r="D1" s="2" t="s">
        <v>13</v>
      </c>
      <c r="E1" s="2" t="s">
        <v>15</v>
      </c>
      <c r="F1" s="2" t="s">
        <v>14</v>
      </c>
      <c r="G1" s="2" t="s">
        <v>16</v>
      </c>
      <c r="H1" s="2" t="s">
        <v>2</v>
      </c>
    </row>
    <row r="2" spans="1:8" x14ac:dyDescent="0.25">
      <c r="A2" s="35" t="s">
        <v>3</v>
      </c>
      <c r="B2" s="2">
        <v>2013</v>
      </c>
      <c r="C2" s="3">
        <v>24409</v>
      </c>
      <c r="D2" s="2" t="s">
        <v>22</v>
      </c>
      <c r="E2" s="2" t="s">
        <v>22</v>
      </c>
      <c r="F2" s="2" t="s">
        <v>22</v>
      </c>
      <c r="G2" s="2" t="s">
        <v>22</v>
      </c>
      <c r="H2" s="4" t="s">
        <v>22</v>
      </c>
    </row>
    <row r="3" spans="1:8" x14ac:dyDescent="0.25">
      <c r="A3" s="35" t="s">
        <v>8</v>
      </c>
      <c r="B3" s="2" t="s">
        <v>22</v>
      </c>
      <c r="C3" s="2">
        <v>4092.0000000000005</v>
      </c>
      <c r="D3" s="2" t="s">
        <v>22</v>
      </c>
      <c r="E3" s="2" t="s">
        <v>22</v>
      </c>
      <c r="F3" s="2" t="s">
        <v>22</v>
      </c>
      <c r="G3" s="2" t="s">
        <v>22</v>
      </c>
      <c r="H3" s="2" t="s">
        <v>22</v>
      </c>
    </row>
    <row r="4" spans="1:8" x14ac:dyDescent="0.25">
      <c r="A4" s="2" t="s">
        <v>6</v>
      </c>
      <c r="B4" s="2">
        <v>2012</v>
      </c>
      <c r="C4" s="3">
        <v>884000</v>
      </c>
      <c r="D4" s="2">
        <v>332.47204715504819</v>
      </c>
      <c r="E4" s="50">
        <f>ROUND(304.198205529647*1000,2)</f>
        <v>304198.21000000002</v>
      </c>
      <c r="F4" s="2">
        <v>201.95729890274924</v>
      </c>
      <c r="G4" s="50">
        <f>ROUND(521.611764781636*1000,2)</f>
        <v>521611.76</v>
      </c>
      <c r="H4" s="4" t="s">
        <v>20</v>
      </c>
    </row>
    <row r="5" spans="1:8" x14ac:dyDescent="0.25">
      <c r="A5" s="2" t="s">
        <v>4</v>
      </c>
      <c r="B5" s="2" t="s">
        <v>18</v>
      </c>
      <c r="C5" s="3">
        <v>791000</v>
      </c>
      <c r="D5" s="2">
        <v>940</v>
      </c>
      <c r="E5" s="2">
        <v>781217.36</v>
      </c>
      <c r="F5" s="2">
        <v>332</v>
      </c>
      <c r="G5" s="2">
        <v>796373.37</v>
      </c>
      <c r="H5" s="4" t="s">
        <v>110</v>
      </c>
    </row>
    <row r="6" spans="1:8" x14ac:dyDescent="0.25">
      <c r="A6" s="2" t="s">
        <v>21</v>
      </c>
      <c r="B6" s="2" t="s">
        <v>22</v>
      </c>
      <c r="C6" s="8">
        <f>ROUNDUP(87127*0.0179,0)</f>
        <v>1560</v>
      </c>
      <c r="D6" s="2" t="s">
        <v>22</v>
      </c>
      <c r="E6" s="2" t="s">
        <v>22</v>
      </c>
      <c r="F6" s="2" t="s">
        <v>22</v>
      </c>
      <c r="G6" s="2" t="s">
        <v>22</v>
      </c>
      <c r="H6" s="14" t="s">
        <v>109</v>
      </c>
    </row>
    <row r="7" spans="1:8" x14ac:dyDescent="0.25">
      <c r="A7" s="2" t="s">
        <v>5</v>
      </c>
      <c r="B7" s="35">
        <v>2011</v>
      </c>
      <c r="C7" s="34">
        <v>504108</v>
      </c>
      <c r="D7" s="2">
        <v>138</v>
      </c>
      <c r="E7" s="5">
        <v>234000</v>
      </c>
      <c r="F7" s="2" t="s">
        <v>22</v>
      </c>
      <c r="G7" s="6">
        <v>131000</v>
      </c>
      <c r="H7" s="53" t="s">
        <v>131</v>
      </c>
    </row>
    <row r="8" spans="1:8" x14ac:dyDescent="0.25">
      <c r="A8" s="2" t="s">
        <v>7</v>
      </c>
      <c r="B8" s="2" t="s">
        <v>22</v>
      </c>
      <c r="C8" s="2">
        <v>76000</v>
      </c>
      <c r="D8" s="2" t="s">
        <v>22</v>
      </c>
      <c r="E8" s="2" t="s">
        <v>22</v>
      </c>
      <c r="F8" s="2" t="s">
        <v>22</v>
      </c>
      <c r="G8" s="2" t="s">
        <v>22</v>
      </c>
      <c r="H8" s="2" t="s">
        <v>22</v>
      </c>
    </row>
    <row r="11" spans="1:8" x14ac:dyDescent="0.25">
      <c r="C11" s="50">
        <v>781.21736460554359</v>
      </c>
      <c r="D11" s="50">
        <v>796.37337198067632</v>
      </c>
    </row>
    <row r="12" spans="1:8" x14ac:dyDescent="0.25">
      <c r="B12" s="52" t="s">
        <v>130</v>
      </c>
      <c r="C12" s="50">
        <f>ROUND(C11*1000,2)</f>
        <v>781217.36</v>
      </c>
      <c r="D12" s="50">
        <f>ROUND(D11*1000,2)</f>
        <v>796373.37</v>
      </c>
    </row>
    <row r="14" spans="1:8" x14ac:dyDescent="0.25">
      <c r="B14" t="s">
        <v>129</v>
      </c>
      <c r="C14" s="51">
        <v>940</v>
      </c>
      <c r="D14" s="51">
        <v>332</v>
      </c>
      <c r="E14" s="5"/>
    </row>
    <row r="15" spans="1:8" x14ac:dyDescent="0.25">
      <c r="E15" s="5"/>
    </row>
    <row r="16" spans="1:8" x14ac:dyDescent="0.25">
      <c r="E16" s="5"/>
    </row>
    <row r="17" spans="5:5" x14ac:dyDescent="0.25">
      <c r="E17" s="7"/>
    </row>
  </sheetData>
  <sortState ref="A2:H8">
    <sortCondition ref="A2:A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5"/>
  <sheetViews>
    <sheetView workbookViewId="0">
      <selection activeCell="A15" sqref="A15"/>
    </sheetView>
  </sheetViews>
  <sheetFormatPr defaultRowHeight="15" x14ac:dyDescent="0.25"/>
  <cols>
    <col min="1" max="1" width="26.140625" bestFit="1" customWidth="1"/>
    <col min="2" max="2" width="9.7109375" bestFit="1" customWidth="1"/>
    <col min="3" max="3" width="17.7109375" bestFit="1" customWidth="1"/>
    <col min="8" max="8" width="62.5703125" bestFit="1" customWidth="1"/>
  </cols>
  <sheetData>
    <row r="1" spans="1:8" x14ac:dyDescent="0.25">
      <c r="A1" s="2" t="s">
        <v>0</v>
      </c>
      <c r="B1" s="2" t="s">
        <v>17</v>
      </c>
      <c r="C1" s="2" t="s">
        <v>19</v>
      </c>
      <c r="D1" s="2" t="s">
        <v>13</v>
      </c>
      <c r="E1" s="2" t="s">
        <v>15</v>
      </c>
      <c r="F1" s="2" t="s">
        <v>14</v>
      </c>
      <c r="G1" s="2" t="s">
        <v>16</v>
      </c>
      <c r="H1" s="2" t="s">
        <v>2</v>
      </c>
    </row>
    <row r="2" spans="1:8" x14ac:dyDescent="0.25">
      <c r="A2" s="31" t="s">
        <v>71</v>
      </c>
      <c r="B2" t="s">
        <v>69</v>
      </c>
      <c r="C2" s="1">
        <v>62459</v>
      </c>
      <c r="D2">
        <v>151.41999999999999</v>
      </c>
      <c r="E2">
        <v>168968</v>
      </c>
      <c r="F2">
        <v>85.6</v>
      </c>
      <c r="G2">
        <v>225097</v>
      </c>
      <c r="H2" s="12" t="s">
        <v>70</v>
      </c>
    </row>
    <row r="3" spans="1:8" x14ac:dyDescent="0.25">
      <c r="A3" t="s">
        <v>77</v>
      </c>
      <c r="B3">
        <v>2001</v>
      </c>
      <c r="C3">
        <f>ROUND(3586163*0.0167,0)</f>
        <v>59889</v>
      </c>
      <c r="D3" s="31">
        <f>'Portugal calculation'!G7</f>
        <v>7.16</v>
      </c>
      <c r="E3">
        <f>'Portugal calculation'!F7</f>
        <v>20846</v>
      </c>
      <c r="F3" t="s">
        <v>22</v>
      </c>
      <c r="G3" t="s">
        <v>22</v>
      </c>
      <c r="H3" s="11" t="s">
        <v>91</v>
      </c>
    </row>
    <row r="4" spans="1:8" x14ac:dyDescent="0.25">
      <c r="A4" t="s">
        <v>73</v>
      </c>
      <c r="B4" t="s">
        <v>22</v>
      </c>
      <c r="C4" s="32">
        <v>164946</v>
      </c>
      <c r="D4" t="s">
        <v>22</v>
      </c>
      <c r="E4" t="s">
        <v>22</v>
      </c>
      <c r="F4" t="s">
        <v>22</v>
      </c>
      <c r="G4" t="s">
        <v>22</v>
      </c>
      <c r="H4" t="s">
        <v>79</v>
      </c>
    </row>
    <row r="5" spans="1:8" x14ac:dyDescent="0.25">
      <c r="A5" s="13" t="s">
        <v>72</v>
      </c>
      <c r="B5" t="s">
        <v>22</v>
      </c>
      <c r="C5" s="13">
        <v>175000</v>
      </c>
      <c r="D5" t="s">
        <v>22</v>
      </c>
      <c r="E5" t="s">
        <v>22</v>
      </c>
      <c r="F5" t="s">
        <v>22</v>
      </c>
      <c r="G5" t="s">
        <v>22</v>
      </c>
      <c r="H5"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H3"/>
  <sheetViews>
    <sheetView workbookViewId="0">
      <selection activeCell="F13" sqref="F13"/>
    </sheetView>
  </sheetViews>
  <sheetFormatPr defaultRowHeight="15" x14ac:dyDescent="0.25"/>
  <cols>
    <col min="1" max="1" width="20.28515625" bestFit="1" customWidth="1"/>
    <col min="3" max="3" width="17.7109375" bestFit="1" customWidth="1"/>
  </cols>
  <sheetData>
    <row r="1" spans="1:8" x14ac:dyDescent="0.25">
      <c r="A1" s="9" t="s">
        <v>0</v>
      </c>
      <c r="B1" s="9" t="s">
        <v>17</v>
      </c>
      <c r="C1" s="9" t="s">
        <v>19</v>
      </c>
      <c r="D1" s="9" t="s">
        <v>13</v>
      </c>
      <c r="E1" s="9" t="s">
        <v>15</v>
      </c>
      <c r="F1" s="9" t="s">
        <v>14</v>
      </c>
      <c r="G1" s="9" t="s">
        <v>16</v>
      </c>
      <c r="H1" s="9" t="s">
        <v>2</v>
      </c>
    </row>
    <row r="2" spans="1:8" x14ac:dyDescent="0.25">
      <c r="A2" t="s">
        <v>4</v>
      </c>
      <c r="B2" t="s">
        <v>18</v>
      </c>
      <c r="C2" s="8">
        <v>791000</v>
      </c>
      <c r="D2">
        <v>1405</v>
      </c>
      <c r="E2">
        <v>1167670</v>
      </c>
      <c r="F2">
        <v>496</v>
      </c>
      <c r="G2">
        <v>1189762</v>
      </c>
      <c r="H2" t="s">
        <v>88</v>
      </c>
    </row>
    <row r="3" spans="1:8" x14ac:dyDescent="0.25">
      <c r="B3"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12"/>
  <sheetViews>
    <sheetView workbookViewId="0">
      <selection activeCell="B13" sqref="B13"/>
    </sheetView>
  </sheetViews>
  <sheetFormatPr defaultRowHeight="15" x14ac:dyDescent="0.25"/>
  <cols>
    <col min="1" max="1" width="15" bestFit="1" customWidth="1"/>
    <col min="3" max="3" width="45.7109375" bestFit="1" customWidth="1"/>
  </cols>
  <sheetData>
    <row r="1" spans="1:3" x14ac:dyDescent="0.25">
      <c r="A1" t="s">
        <v>0</v>
      </c>
      <c r="B1" s="31" t="s">
        <v>62</v>
      </c>
      <c r="C1" t="s">
        <v>2</v>
      </c>
    </row>
    <row r="2" spans="1:3" x14ac:dyDescent="0.25">
      <c r="A2" t="s">
        <v>3</v>
      </c>
      <c r="B2" s="31">
        <v>154</v>
      </c>
      <c r="C2" t="s">
        <v>10</v>
      </c>
    </row>
    <row r="3" spans="1:3" x14ac:dyDescent="0.25">
      <c r="A3" t="s">
        <v>4</v>
      </c>
      <c r="B3" s="31">
        <v>2399</v>
      </c>
      <c r="C3" t="s">
        <v>11</v>
      </c>
    </row>
    <row r="4" spans="1:3" x14ac:dyDescent="0.25">
      <c r="A4" t="s">
        <v>5</v>
      </c>
      <c r="B4" s="31">
        <v>376</v>
      </c>
      <c r="C4" t="s">
        <v>10</v>
      </c>
    </row>
    <row r="5" spans="1:3" x14ac:dyDescent="0.25">
      <c r="A5" t="s">
        <v>6</v>
      </c>
      <c r="B5" s="31">
        <v>778.70550000000003</v>
      </c>
      <c r="C5" t="s">
        <v>23</v>
      </c>
    </row>
    <row r="6" spans="1:3" x14ac:dyDescent="0.25">
      <c r="A6" t="s">
        <v>7</v>
      </c>
      <c r="B6" s="31">
        <v>61.2348</v>
      </c>
      <c r="C6" t="s">
        <v>10</v>
      </c>
    </row>
    <row r="7" spans="1:3" x14ac:dyDescent="0.25">
      <c r="A7" t="s">
        <v>8</v>
      </c>
      <c r="B7" s="31">
        <v>55</v>
      </c>
      <c r="C7" t="s">
        <v>23</v>
      </c>
    </row>
    <row r="8" spans="1:3" x14ac:dyDescent="0.25">
      <c r="A8" t="s">
        <v>9</v>
      </c>
      <c r="B8" s="31">
        <v>51.281199999999991</v>
      </c>
      <c r="C8" t="s">
        <v>23</v>
      </c>
    </row>
    <row r="9" spans="1:3" x14ac:dyDescent="0.25">
      <c r="A9" t="s">
        <v>21</v>
      </c>
      <c r="B9" s="31">
        <v>0</v>
      </c>
      <c r="C9" t="s">
        <v>23</v>
      </c>
    </row>
    <row r="10" spans="1:3" s="8" customFormat="1" x14ac:dyDescent="0.25">
      <c r="A10" s="8" t="s">
        <v>41</v>
      </c>
      <c r="B10" s="31">
        <v>0</v>
      </c>
      <c r="C10" s="8" t="s">
        <v>23</v>
      </c>
    </row>
    <row r="11" spans="1:3" s="8" customFormat="1" x14ac:dyDescent="0.25">
      <c r="A11" s="8" t="s">
        <v>116</v>
      </c>
      <c r="B11" s="31">
        <v>0</v>
      </c>
      <c r="C11" s="8" t="s">
        <v>10</v>
      </c>
    </row>
    <row r="12" spans="1:3" x14ac:dyDescent="0.25">
      <c r="A12" t="s">
        <v>105</v>
      </c>
      <c r="B12" s="31">
        <v>3987</v>
      </c>
      <c r="C12" s="8"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5"/>
  <sheetViews>
    <sheetView workbookViewId="0">
      <selection activeCell="E12" sqref="E12"/>
    </sheetView>
  </sheetViews>
  <sheetFormatPr defaultRowHeight="15" x14ac:dyDescent="0.25"/>
  <sheetData>
    <row r="1" spans="1:3" x14ac:dyDescent="0.25">
      <c r="A1" t="s">
        <v>0</v>
      </c>
      <c r="B1" s="31" t="s">
        <v>62</v>
      </c>
      <c r="C1" t="s">
        <v>2</v>
      </c>
    </row>
    <row r="2" spans="1:3" x14ac:dyDescent="0.25">
      <c r="A2" t="s">
        <v>4</v>
      </c>
      <c r="B2">
        <v>2</v>
      </c>
      <c r="C2" t="s">
        <v>68</v>
      </c>
    </row>
    <row r="3" spans="1:3" x14ac:dyDescent="0.25">
      <c r="A3" t="s">
        <v>72</v>
      </c>
      <c r="B3">
        <v>271</v>
      </c>
      <c r="C3" t="s">
        <v>68</v>
      </c>
    </row>
    <row r="4" spans="1:3" x14ac:dyDescent="0.25">
      <c r="A4" t="s">
        <v>73</v>
      </c>
      <c r="B4">
        <v>317</v>
      </c>
      <c r="C4" t="s">
        <v>74</v>
      </c>
    </row>
    <row r="5" spans="1:3" x14ac:dyDescent="0.25">
      <c r="A5" t="s">
        <v>105</v>
      </c>
      <c r="B5">
        <v>701</v>
      </c>
      <c r="C5" s="8" t="s">
        <v>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C7"/>
  <sheetViews>
    <sheetView workbookViewId="0">
      <selection activeCell="E21" sqref="E21"/>
    </sheetView>
  </sheetViews>
  <sheetFormatPr defaultRowHeight="15" x14ac:dyDescent="0.25"/>
  <cols>
    <col min="1" max="1" width="16.5703125" bestFit="1" customWidth="1"/>
  </cols>
  <sheetData>
    <row r="1" spans="1:3" x14ac:dyDescent="0.25">
      <c r="A1" t="s">
        <v>0</v>
      </c>
      <c r="B1" s="31" t="s">
        <v>62</v>
      </c>
      <c r="C1" t="s">
        <v>2</v>
      </c>
    </row>
    <row r="2" spans="1:3" x14ac:dyDescent="0.25">
      <c r="A2" t="s">
        <v>3</v>
      </c>
      <c r="B2">
        <v>0</v>
      </c>
      <c r="C2" t="s">
        <v>75</v>
      </c>
    </row>
    <row r="3" spans="1:3" x14ac:dyDescent="0.25">
      <c r="A3" t="s">
        <v>4</v>
      </c>
      <c r="B3">
        <v>2325</v>
      </c>
      <c r="C3" t="s">
        <v>75</v>
      </c>
    </row>
    <row r="4" spans="1:3" x14ac:dyDescent="0.25">
      <c r="A4" t="s">
        <v>73</v>
      </c>
      <c r="B4" s="10">
        <v>201</v>
      </c>
      <c r="C4" s="8" t="s">
        <v>76</v>
      </c>
    </row>
    <row r="5" spans="1:3" x14ac:dyDescent="0.25">
      <c r="A5" t="s">
        <v>5</v>
      </c>
      <c r="B5">
        <v>0</v>
      </c>
      <c r="C5" t="s">
        <v>75</v>
      </c>
    </row>
    <row r="6" spans="1:3" x14ac:dyDescent="0.25">
      <c r="A6" t="s">
        <v>106</v>
      </c>
      <c r="B6">
        <v>5</v>
      </c>
      <c r="C6" t="s">
        <v>75</v>
      </c>
    </row>
    <row r="7" spans="1:3" x14ac:dyDescent="0.25">
      <c r="A7" t="s">
        <v>105</v>
      </c>
      <c r="B7">
        <v>2554</v>
      </c>
      <c r="C7" s="8"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bss-47</vt:lpstr>
      <vt:lpstr>Bss-8c9a</vt:lpstr>
      <vt:lpstr>Bss-8ab</vt:lpstr>
      <vt:lpstr>Recreational landings (Bss-47)</vt:lpstr>
      <vt:lpstr>Recreational landings (Bss-8c9a</vt:lpstr>
      <vt:lpstr>Recreational landings (Bss-8ab)</vt:lpstr>
      <vt:lpstr>Commercial landings (Bss-47)</vt:lpstr>
      <vt:lpstr>Commercial landings (Bss-8c9a)</vt:lpstr>
      <vt:lpstr>Commercial landings (bss-8ab)</vt:lpstr>
      <vt:lpstr>Discard mortality</vt:lpstr>
      <vt:lpstr>Discard rate</vt:lpstr>
      <vt:lpstr>Portugal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2018-08-08T08:44:08Z</dcterms:modified>
</cp:coreProperties>
</file>