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cp\Desktop\Anesthesia House officers\Urshulaa Dholakia\PlosOne\PLOS ONE required modifications\"/>
    </mc:Choice>
  </mc:AlternateContent>
  <bookViews>
    <workbookView xWindow="0" yWindow="0" windowWidth="19200" windowHeight="12180" activeTab="4"/>
  </bookViews>
  <sheets>
    <sheet name="Body weights" sheetId="1" r:id="rId1"/>
    <sheet name="Body wt changes" sheetId="5" r:id="rId2"/>
    <sheet name="Times to righting loss-returns" sheetId="2" r:id="rId3"/>
    <sheet name="Minutes immobilized" sheetId="3" r:id="rId4"/>
    <sheet name="Toe pinch" sheetId="4" r:id="rId5"/>
  </sheets>
  <calcPr calcId="152511"/>
</workbook>
</file>

<file path=xl/calcChain.xml><?xml version="1.0" encoding="utf-8"?>
<calcChain xmlns="http://schemas.openxmlformats.org/spreadsheetml/2006/main">
  <c r="K14" i="4" l="1"/>
  <c r="J14" i="4"/>
  <c r="I14" i="4"/>
  <c r="H14" i="4"/>
  <c r="F14" i="4" l="1"/>
  <c r="E14" i="4"/>
  <c r="D14" i="4"/>
  <c r="C14" i="4"/>
  <c r="F28" i="4"/>
  <c r="E28" i="4"/>
  <c r="D28" i="4"/>
  <c r="C28" i="4"/>
  <c r="O31" i="5"/>
  <c r="N31" i="5"/>
  <c r="N26" i="2" l="1"/>
  <c r="N21" i="2"/>
  <c r="N17" i="2"/>
  <c r="G26" i="2"/>
  <c r="N8" i="2"/>
  <c r="N4" i="2"/>
  <c r="N13" i="2" s="1"/>
  <c r="G13" i="2"/>
  <c r="F14" i="3"/>
  <c r="N24" i="2"/>
  <c r="N23" i="2"/>
  <c r="N22" i="2"/>
  <c r="N20" i="2"/>
  <c r="N19" i="2"/>
  <c r="N18" i="2"/>
  <c r="N11" i="2"/>
  <c r="N10" i="2"/>
  <c r="N9" i="2"/>
  <c r="N7" i="2"/>
  <c r="N6" i="2"/>
  <c r="N5" i="2"/>
  <c r="AC6" i="5"/>
  <c r="AC5" i="5"/>
  <c r="AB6" i="5"/>
  <c r="AB5" i="5"/>
  <c r="AB4" i="5"/>
  <c r="O23" i="5"/>
  <c r="R6" i="5" s="1"/>
  <c r="N23" i="5"/>
  <c r="O15" i="5"/>
  <c r="R5" i="5" s="1"/>
  <c r="N15" i="5"/>
  <c r="J10" i="5" l="1"/>
  <c r="J9" i="5"/>
  <c r="L8" i="5"/>
  <c r="J8" i="5"/>
  <c r="L7" i="5"/>
  <c r="O7" i="5" s="1"/>
  <c r="R4" i="5" s="1"/>
  <c r="K7" i="5"/>
  <c r="AC4" i="5" s="1"/>
  <c r="J7" i="5"/>
  <c r="L6" i="5"/>
  <c r="L5" i="5"/>
  <c r="L4" i="5"/>
  <c r="J4" i="5"/>
  <c r="L3" i="5"/>
  <c r="K3" i="5"/>
  <c r="AC3" i="5" s="1"/>
  <c r="J3" i="5"/>
  <c r="N3" i="5" s="1"/>
  <c r="F3" i="5"/>
  <c r="AB3" i="5" s="1"/>
  <c r="M24" i="2"/>
  <c r="M23" i="2"/>
  <c r="M22" i="2"/>
  <c r="M21" i="2"/>
  <c r="M20" i="2"/>
  <c r="M19" i="2"/>
  <c r="M18" i="2"/>
  <c r="M17" i="2"/>
  <c r="L24" i="2"/>
  <c r="L23" i="2"/>
  <c r="L22" i="2"/>
  <c r="L21" i="2"/>
  <c r="L20" i="2"/>
  <c r="L19" i="2"/>
  <c r="L18" i="2"/>
  <c r="L17" i="2"/>
  <c r="K24" i="2"/>
  <c r="K23" i="2"/>
  <c r="K22" i="2"/>
  <c r="K21" i="2"/>
  <c r="K20" i="2"/>
  <c r="K19" i="2"/>
  <c r="K18" i="2"/>
  <c r="K17" i="2"/>
  <c r="M11" i="2"/>
  <c r="M10" i="2"/>
  <c r="M9" i="2"/>
  <c r="M8" i="2"/>
  <c r="M7" i="2"/>
  <c r="M6" i="2"/>
  <c r="M5" i="2"/>
  <c r="M4" i="2"/>
  <c r="L11" i="2"/>
  <c r="L10" i="2"/>
  <c r="L9" i="2"/>
  <c r="L8" i="2"/>
  <c r="L7" i="2"/>
  <c r="L6" i="2"/>
  <c r="L5" i="2"/>
  <c r="L4" i="2"/>
  <c r="L13" i="2" s="1"/>
  <c r="K11" i="2"/>
  <c r="K10" i="2"/>
  <c r="K9" i="2"/>
  <c r="K8" i="2"/>
  <c r="K7" i="2"/>
  <c r="K6" i="2"/>
  <c r="K5" i="2"/>
  <c r="K4" i="2"/>
  <c r="L26" i="2" l="1"/>
  <c r="M13" i="2"/>
  <c r="K26" i="2"/>
  <c r="K13" i="2"/>
  <c r="M26" i="2"/>
  <c r="N7" i="5"/>
  <c r="O3" i="5"/>
  <c r="R3" i="5" s="1"/>
</calcChain>
</file>

<file path=xl/sharedStrings.xml><?xml version="1.0" encoding="utf-8"?>
<sst xmlns="http://schemas.openxmlformats.org/spreadsheetml/2006/main" count="183" uniqueCount="49">
  <si>
    <t>Cage</t>
  </si>
  <si>
    <t>Tail ID</t>
  </si>
  <si>
    <t>#</t>
  </si>
  <si>
    <t>A</t>
  </si>
  <si>
    <t>I</t>
  </si>
  <si>
    <t>II</t>
  </si>
  <si>
    <t>III</t>
  </si>
  <si>
    <t>IIII</t>
  </si>
  <si>
    <t>B</t>
  </si>
  <si>
    <t>C</t>
  </si>
  <si>
    <t>D</t>
  </si>
  <si>
    <t>E</t>
  </si>
  <si>
    <t>F</t>
  </si>
  <si>
    <t>G</t>
  </si>
  <si>
    <t>BODY WEIGHT (G), DAYS POST INJECTION</t>
  </si>
  <si>
    <t>INJ DAY</t>
  </si>
  <si>
    <t>Times to LRR:</t>
  </si>
  <si>
    <t>n</t>
  </si>
  <si>
    <t>KX</t>
  </si>
  <si>
    <t>KXL4</t>
  </si>
  <si>
    <t>KXL8</t>
  </si>
  <si>
    <t>Median</t>
  </si>
  <si>
    <t>Times to Regain RR:</t>
  </si>
  <si>
    <t>Minutes:sec</t>
  </si>
  <si>
    <t>SECONDS</t>
  </si>
  <si>
    <t xml:space="preserve">Median </t>
  </si>
  <si>
    <t>=total minutes that mice were fully relaxed, without muscle tone or movement</t>
  </si>
  <si>
    <t>Total count of absent toe pinch during immobilization:</t>
  </si>
  <si>
    <t>=number of minutes within the period of immobilization that toe pinch was absolutely absent</t>
  </si>
  <si>
    <t>Total minutes potential surgical plane during immobilization:</t>
  </si>
  <si>
    <t>=number of minutes within the period of immobilization that toe pinch was equivocal and/or absent</t>
  </si>
  <si>
    <t>Equivocal = unconscious twitch vs. actual withdrawal of limb, or barely detectable, or required multiple attempts to elicit movement</t>
  </si>
  <si>
    <r>
      <t xml:space="preserve">No. of </t>
    </r>
    <r>
      <rPr>
        <b/>
        <u/>
        <sz val="14"/>
        <color rgb="FFFF0000"/>
        <rFont val="Calibri"/>
        <family val="2"/>
        <scheme val="minor"/>
      </rPr>
      <t>whole minutes</t>
    </r>
    <r>
      <rPr>
        <b/>
        <u/>
        <sz val="14"/>
        <color theme="1"/>
        <rFont val="Calibri"/>
        <family val="2"/>
        <scheme val="minor"/>
      </rPr>
      <t xml:space="preserve"> immobilized:</t>
    </r>
  </si>
  <si>
    <t>Treatment</t>
  </si>
  <si>
    <t>Control (Saline)</t>
  </si>
  <si>
    <t>Ketamine + Xylazine</t>
  </si>
  <si>
    <t>Ketamine + Xylazine + Lidocaine 4mg/kg</t>
  </si>
  <si>
    <t>Ketamine + Xylazine + Lidocaine 8mg/kg</t>
  </si>
  <si>
    <t>% Wt Change prior to inj</t>
  </si>
  <si>
    <t>Wt change in 48 hrs prior to inj (g)</t>
  </si>
  <si>
    <t>Wt change in 48 hrs post-inj (g)</t>
  </si>
  <si>
    <t>% Wt change post inj</t>
  </si>
  <si>
    <t>Avg pre</t>
  </si>
  <si>
    <t>Avg post</t>
  </si>
  <si>
    <t>Saline</t>
  </si>
  <si>
    <t>KXL16</t>
  </si>
  <si>
    <t>H</t>
  </si>
  <si>
    <t>Ketamine + Xylazine + Lidocaine 16mg/kg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</si>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</sst>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0" fillId="3" borderId="0" xfId="0" applyFill="1"/>
    <xf numFmtId="0" fontId="0" fillId="0" borderId="0" xfId="0" applyFill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6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1" fontId="0" fillId="0" borderId="0" xfId="0" applyNumberFormat="1"/>
    <xf numFmtId="0" fontId="4" fillId="0" borderId="0" xfId="0" applyFont="1"/>
    <xf numFmtId="2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 wrapText="1"/>
    </xf>
    <xf numFmtId="2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2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49" fontId="0" fillId="0" borderId="0" xfId="0" applyNumberFormat="1" applyAlignment="1">
      <alignment horizontal="center" wrapText="1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/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/>
    <xf numFmtId="2" fontId="8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Fill="1"/>
    <xf numFmtId="0" fontId="3" fillId="0" borderId="0" xfId="0" applyFont="1" applyFill="1"/>
    <xf numFmtId="0" fontId="3" fillId="3" borderId="0" xfId="0" applyFont="1" applyFill="1"/>
    <xf numFmtId="2" fontId="3" fillId="0" borderId="0" xfId="0" applyNumberFormat="1" applyFont="1" applyFill="1" applyBorder="1"/>
    <xf numFmtId="0" fontId="3" fillId="3" borderId="0" xfId="0" applyFont="1" applyFill="1" applyBorder="1"/>
    <xf numFmtId="0" fontId="3" fillId="2" borderId="0" xfId="0" applyFont="1" applyFill="1" applyBorder="1"/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</a:t>
            </a:r>
            <a:r>
              <a:rPr lang="en-US" baseline="0"/>
              <a:t> Body Weight Change 48 hr Post-Injection 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'Body wt changes'!$Q$2</c:f>
              <c:strCache>
                <c:ptCount val="1"/>
                <c:pt idx="0">
                  <c:v>Avg pre</c:v>
                </c:pt>
              </c:strCache>
            </c:strRef>
          </c:tx>
          <c:invertIfNegative val="0"/>
          <c:cat>
            <c:strRef>
              <c:f>'Body wt changes'!$P$3:$P$7</c:f>
              <c:strCache>
                <c:ptCount val="5"/>
                <c:pt idx="0">
                  <c:v>Saline</c:v>
                </c:pt>
                <c:pt idx="1">
                  <c:v>KX</c:v>
                </c:pt>
                <c:pt idx="2">
                  <c:v>KXL4</c:v>
                </c:pt>
                <c:pt idx="3">
                  <c:v>KXL8</c:v>
                </c:pt>
                <c:pt idx="4">
                  <c:v>KXL16</c:v>
                </c:pt>
              </c:strCache>
            </c:strRef>
          </c:cat>
          <c:val>
            <c:numRef>
              <c:f>'Body wt changes'!$Q$3:$Q$7</c:f>
              <c:numCache>
                <c:formatCode>0.00</c:formatCode>
                <c:ptCount val="5"/>
                <c:pt idx="0">
                  <c:v>3.19</c:v>
                </c:pt>
                <c:pt idx="1">
                  <c:v>2.81</c:v>
                </c:pt>
                <c:pt idx="2">
                  <c:v>2.85</c:v>
                </c:pt>
                <c:pt idx="3">
                  <c:v>3.21</c:v>
                </c:pt>
                <c:pt idx="4">
                  <c:v>4.3</c:v>
                </c:pt>
              </c:numCache>
            </c:numRef>
          </c:val>
        </c:ser>
        <c:ser>
          <c:idx val="1"/>
          <c:order val="1"/>
          <c:tx>
            <c:strRef>
              <c:f>'Body wt changes'!$R$2</c:f>
              <c:strCache>
                <c:ptCount val="1"/>
                <c:pt idx="0">
                  <c:v>Avg post</c:v>
                </c:pt>
              </c:strCache>
            </c:strRef>
          </c:tx>
          <c:invertIfNegative val="0"/>
          <c:cat>
            <c:strRef>
              <c:f>'Body wt changes'!$P$3:$P$7</c:f>
              <c:strCache>
                <c:ptCount val="5"/>
                <c:pt idx="0">
                  <c:v>Saline</c:v>
                </c:pt>
                <c:pt idx="1">
                  <c:v>KX</c:v>
                </c:pt>
                <c:pt idx="2">
                  <c:v>KXL4</c:v>
                </c:pt>
                <c:pt idx="3">
                  <c:v>KXL8</c:v>
                </c:pt>
                <c:pt idx="4">
                  <c:v>KXL16</c:v>
                </c:pt>
              </c:strCache>
            </c:strRef>
          </c:cat>
          <c:val>
            <c:numRef>
              <c:f>'Body wt changes'!$R$3:$R$7</c:f>
              <c:numCache>
                <c:formatCode>0.00</c:formatCode>
                <c:ptCount val="5"/>
                <c:pt idx="0">
                  <c:v>4.0892787060034772</c:v>
                </c:pt>
                <c:pt idx="1">
                  <c:v>-1.5710529556650248</c:v>
                </c:pt>
                <c:pt idx="2">
                  <c:v>-0.50124999999999997</c:v>
                </c:pt>
                <c:pt idx="3">
                  <c:v>-1.28</c:v>
                </c:pt>
                <c:pt idx="4" formatCode="General">
                  <c:v>-0.89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915360"/>
        <c:axId val="167099616"/>
      </c:barChart>
      <c:catAx>
        <c:axId val="279915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7099616"/>
        <c:crosses val="autoZero"/>
        <c:auto val="1"/>
        <c:lblAlgn val="ctr"/>
        <c:lblOffset val="100"/>
        <c:noMultiLvlLbl val="0"/>
      </c:catAx>
      <c:valAx>
        <c:axId val="1670996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 Change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279915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Change in Body Weight 48 hrs Post Injection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'Body wt changes'!$AB$2</c:f>
              <c:strCache>
                <c:ptCount val="1"/>
                <c:pt idx="0">
                  <c:v>Avg pre</c:v>
                </c:pt>
              </c:strCache>
            </c:strRef>
          </c:tx>
          <c:invertIfNegative val="0"/>
          <c:cat>
            <c:strRef>
              <c:f>'Body wt changes'!$AA$3:$AA$7</c:f>
              <c:strCache>
                <c:ptCount val="5"/>
                <c:pt idx="0">
                  <c:v>Saline</c:v>
                </c:pt>
                <c:pt idx="1">
                  <c:v>KX</c:v>
                </c:pt>
                <c:pt idx="2">
                  <c:v>KXL4</c:v>
                </c:pt>
                <c:pt idx="3">
                  <c:v>KXL8</c:v>
                </c:pt>
                <c:pt idx="4">
                  <c:v>KXL16</c:v>
                </c:pt>
              </c:strCache>
            </c:strRef>
          </c:cat>
          <c:val>
            <c:numRef>
              <c:f>'Body wt changes'!$AB$3:$AB$7</c:f>
              <c:numCache>
                <c:formatCode>General</c:formatCode>
                <c:ptCount val="5"/>
                <c:pt idx="0">
                  <c:v>1.0424999999999995</c:v>
                </c:pt>
                <c:pt idx="1">
                  <c:v>0.91874999999999996</c:v>
                </c:pt>
                <c:pt idx="2">
                  <c:v>0.92625000000000002</c:v>
                </c:pt>
                <c:pt idx="3">
                  <c:v>1.0049999999999999</c:v>
                </c:pt>
                <c:pt idx="4">
                  <c:v>1.29</c:v>
                </c:pt>
              </c:numCache>
            </c:numRef>
          </c:val>
        </c:ser>
        <c:ser>
          <c:idx val="1"/>
          <c:order val="1"/>
          <c:tx>
            <c:strRef>
              <c:f>'Body wt changes'!$AC$2</c:f>
              <c:strCache>
                <c:ptCount val="1"/>
                <c:pt idx="0">
                  <c:v>Avg post</c:v>
                </c:pt>
              </c:strCache>
            </c:strRef>
          </c:tx>
          <c:invertIfNegative val="0"/>
          <c:cat>
            <c:strRef>
              <c:f>'Body wt changes'!$AA$3:$AA$7</c:f>
              <c:strCache>
                <c:ptCount val="5"/>
                <c:pt idx="0">
                  <c:v>Saline</c:v>
                </c:pt>
                <c:pt idx="1">
                  <c:v>KX</c:v>
                </c:pt>
                <c:pt idx="2">
                  <c:v>KXL4</c:v>
                </c:pt>
                <c:pt idx="3">
                  <c:v>KXL8</c:v>
                </c:pt>
                <c:pt idx="4">
                  <c:v>KXL16</c:v>
                </c:pt>
              </c:strCache>
            </c:strRef>
          </c:cat>
          <c:val>
            <c:numRef>
              <c:f>'Body wt changes'!$AC$3:$AC$7</c:f>
              <c:numCache>
                <c:formatCode>General</c:formatCode>
                <c:ptCount val="5"/>
                <c:pt idx="0">
                  <c:v>1.3500000000000014</c:v>
                </c:pt>
                <c:pt idx="1">
                  <c:v>-0.57125000000000004</c:v>
                </c:pt>
                <c:pt idx="2">
                  <c:v>-0.17750000000000002</c:v>
                </c:pt>
                <c:pt idx="3">
                  <c:v>-0.41000000000000003</c:v>
                </c:pt>
                <c:pt idx="4">
                  <c:v>-0.28999999999999998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415784"/>
        <c:axId val="166793200"/>
      </c:barChart>
      <c:catAx>
        <c:axId val="279415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93200"/>
        <c:crosses val="autoZero"/>
        <c:auto val="1"/>
        <c:lblAlgn val="ctr"/>
        <c:lblOffset val="100"/>
        <c:noMultiLvlLbl val="0"/>
      </c:catAx>
      <c:valAx>
        <c:axId val="1667932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Grams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79415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466724</xdr:colOff>
      <xdr:row>8</xdr:row>
      <xdr:rowOff>9525</xdr:rowOff>
    </xdr:from>
    <xdr:to>
      <xdr:col>24</xdr:col>
      <xdr:colOff>314325</xdr:colOff>
      <xdr:row>23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8</xdr:row>
      <xdr:rowOff>9524</xdr:rowOff>
    </xdr:from>
    <xdr:to>
      <xdr:col>34</xdr:col>
      <xdr:colOff>514350</xdr:colOff>
      <xdr:row>23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workbookViewId="0">
      <pane xSplit="5" topLeftCell="AB1" activePane="topRight" state="frozen"/>
      <selection pane="topRight" activeCell="AK9" sqref="AK9"/>
    </sheetView>
  </sheetViews>
  <sheetFormatPr defaultRowHeight="15" x14ac:dyDescent="0.25"/>
  <cols>
    <col min="1" max="1" width="4.5703125" style="31" customWidth="1"/>
    <col min="2" max="2" width="11" customWidth="1"/>
    <col min="3" max="3" width="7.140625" customWidth="1"/>
    <col min="4" max="4" width="8.140625" customWidth="1"/>
    <col min="5" max="5" width="7.28515625" customWidth="1"/>
    <col min="6" max="31" width="8.28515625" customWidth="1"/>
  </cols>
  <sheetData>
    <row r="1" spans="2:30" ht="18.75" x14ac:dyDescent="0.25"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12" t="s">
        <v>14</v>
      </c>
      <c r="Q1" s="1"/>
      <c r="R1" s="2"/>
      <c r="S1" s="1"/>
      <c r="T1" s="2"/>
      <c r="U1" s="1"/>
      <c r="V1" s="2"/>
      <c r="W1" s="1"/>
      <c r="X1" s="2"/>
      <c r="Y1" s="1"/>
      <c r="Z1" s="2"/>
      <c r="AA1" s="2"/>
      <c r="AB1" s="13" t="s">
        <v>15</v>
      </c>
      <c r="AC1" s="2"/>
    </row>
    <row r="2" spans="2:30" s="10" customFormat="1" ht="15.75" x14ac:dyDescent="0.25">
      <c r="B2" s="10" t="s">
        <v>33</v>
      </c>
      <c r="C2" s="10" t="s">
        <v>0</v>
      </c>
      <c r="D2" s="11" t="s">
        <v>1</v>
      </c>
      <c r="E2" s="10" t="s">
        <v>2</v>
      </c>
      <c r="F2" s="10">
        <v>-23</v>
      </c>
      <c r="G2" s="10">
        <v>-22</v>
      </c>
      <c r="H2" s="10">
        <v>-21</v>
      </c>
      <c r="I2" s="10">
        <v>-20</v>
      </c>
      <c r="J2" s="10">
        <v>-19</v>
      </c>
      <c r="K2" s="10">
        <v>-18</v>
      </c>
      <c r="L2" s="10">
        <v>-17</v>
      </c>
      <c r="M2" s="10">
        <v>-16</v>
      </c>
      <c r="N2" s="10">
        <v>-15</v>
      </c>
      <c r="O2" s="10">
        <v>-14</v>
      </c>
      <c r="P2" s="10">
        <v>-13</v>
      </c>
      <c r="Q2" s="10">
        <v>-12</v>
      </c>
      <c r="R2" s="10">
        <v>-11</v>
      </c>
      <c r="S2" s="10">
        <v>-10</v>
      </c>
      <c r="T2" s="10">
        <v>-9</v>
      </c>
      <c r="U2" s="10">
        <v>-8</v>
      </c>
      <c r="V2" s="10">
        <v>-7</v>
      </c>
      <c r="W2" s="10">
        <v>-6</v>
      </c>
      <c r="X2" s="10">
        <v>-5</v>
      </c>
      <c r="Y2" s="10">
        <v>-4</v>
      </c>
      <c r="Z2" s="10">
        <v>-3</v>
      </c>
      <c r="AA2" s="10">
        <v>-2</v>
      </c>
      <c r="AB2" s="10">
        <v>0</v>
      </c>
      <c r="AC2" s="10">
        <v>2</v>
      </c>
      <c r="AD2" s="10">
        <v>11</v>
      </c>
    </row>
    <row r="3" spans="2:30" x14ac:dyDescent="0.25">
      <c r="B3" s="56" t="s">
        <v>34</v>
      </c>
      <c r="C3" s="4" t="s">
        <v>3</v>
      </c>
      <c r="D3" s="7" t="s">
        <v>4</v>
      </c>
      <c r="E3" s="3">
        <v>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>
        <v>34.700000000000003</v>
      </c>
      <c r="Y3" s="1"/>
      <c r="AA3" s="1"/>
      <c r="AB3" s="8">
        <v>38.299999999999997</v>
      </c>
      <c r="AC3" s="5">
        <v>39.700000000000003</v>
      </c>
    </row>
    <row r="4" spans="2:30" x14ac:dyDescent="0.25">
      <c r="B4" s="57"/>
      <c r="C4" s="1"/>
      <c r="D4" s="7" t="s">
        <v>5</v>
      </c>
      <c r="E4" s="3">
        <v>2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8">
        <v>30.8</v>
      </c>
      <c r="AC4" s="1">
        <v>31.9</v>
      </c>
      <c r="AD4" s="6">
        <v>34.5</v>
      </c>
    </row>
    <row r="5" spans="2:30" x14ac:dyDescent="0.25">
      <c r="B5" s="57"/>
      <c r="C5" s="1"/>
      <c r="D5" s="7" t="s">
        <v>6</v>
      </c>
      <c r="E5" s="3">
        <v>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>
        <v>32.799999999999997</v>
      </c>
      <c r="Y5" s="1"/>
      <c r="AA5" s="1">
        <v>35.6</v>
      </c>
      <c r="AB5" s="8">
        <v>34.9</v>
      </c>
      <c r="AC5" s="6">
        <v>36.200000000000003</v>
      </c>
    </row>
    <row r="6" spans="2:30" x14ac:dyDescent="0.25">
      <c r="B6" s="58"/>
      <c r="C6" s="1"/>
      <c r="D6" s="7" t="s">
        <v>7</v>
      </c>
      <c r="E6" s="3">
        <v>4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8">
        <v>29.6</v>
      </c>
      <c r="AC6" s="1">
        <v>31.2</v>
      </c>
      <c r="AD6" s="6">
        <v>33.200000000000003</v>
      </c>
    </row>
    <row r="7" spans="2:30" x14ac:dyDescent="0.25">
      <c r="B7" s="59" t="s">
        <v>35</v>
      </c>
      <c r="C7" s="4" t="s">
        <v>8</v>
      </c>
      <c r="D7" s="7" t="s">
        <v>4</v>
      </c>
      <c r="E7" s="3">
        <v>5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>
        <v>29.6</v>
      </c>
      <c r="Y7" s="1"/>
      <c r="AA7" s="1"/>
      <c r="AB7" s="8">
        <v>33.6</v>
      </c>
      <c r="AC7" s="1">
        <v>32.1</v>
      </c>
    </row>
    <row r="8" spans="2:30" x14ac:dyDescent="0.25">
      <c r="B8" s="60"/>
      <c r="C8" s="1"/>
      <c r="D8" s="7" t="s">
        <v>5</v>
      </c>
      <c r="E8" s="3">
        <v>6</v>
      </c>
      <c r="P8" s="1"/>
      <c r="Q8" s="1">
        <v>29.7</v>
      </c>
      <c r="V8" s="1">
        <v>31.7</v>
      </c>
      <c r="W8" s="1">
        <v>31.6</v>
      </c>
      <c r="X8" s="1">
        <v>32.200000000000003</v>
      </c>
      <c r="Y8" s="1">
        <v>32.700000000000003</v>
      </c>
      <c r="Z8" s="1">
        <v>33.299999999999997</v>
      </c>
      <c r="AA8" s="1">
        <v>33.700000000000003</v>
      </c>
      <c r="AB8" s="8">
        <v>34.799999999999997</v>
      </c>
      <c r="AC8" s="1">
        <v>34.200000000000003</v>
      </c>
      <c r="AD8" s="6">
        <v>37</v>
      </c>
    </row>
    <row r="9" spans="2:30" x14ac:dyDescent="0.25">
      <c r="B9" s="60"/>
      <c r="C9" s="1"/>
      <c r="D9" s="7" t="s">
        <v>6</v>
      </c>
      <c r="E9" s="3">
        <v>7</v>
      </c>
      <c r="Q9" s="1">
        <v>28.4</v>
      </c>
      <c r="U9" s="1"/>
      <c r="V9" s="1">
        <v>29.9</v>
      </c>
      <c r="W9" s="1">
        <v>29.5</v>
      </c>
      <c r="X9" s="1">
        <v>30.1</v>
      </c>
      <c r="Y9" s="1">
        <v>29.8</v>
      </c>
      <c r="Z9" s="1">
        <v>30</v>
      </c>
      <c r="AA9" s="1">
        <v>30</v>
      </c>
      <c r="AB9" s="8">
        <v>30.8</v>
      </c>
      <c r="AC9" s="1">
        <v>30.8</v>
      </c>
      <c r="AD9" s="6">
        <v>32.1</v>
      </c>
    </row>
    <row r="10" spans="2:30" x14ac:dyDescent="0.25">
      <c r="B10" s="60"/>
      <c r="C10" s="1"/>
      <c r="D10" s="7" t="s">
        <v>7</v>
      </c>
      <c r="E10" s="3">
        <v>8</v>
      </c>
      <c r="Q10" s="1">
        <v>25.7</v>
      </c>
      <c r="U10" s="1"/>
      <c r="V10" s="1">
        <v>27.3</v>
      </c>
      <c r="W10" s="1">
        <v>27</v>
      </c>
      <c r="X10" s="1">
        <v>28.1</v>
      </c>
      <c r="Y10" s="1">
        <v>28.02</v>
      </c>
      <c r="Z10" s="1">
        <v>28.4</v>
      </c>
      <c r="AA10" s="1">
        <v>28.6</v>
      </c>
      <c r="AB10" s="8">
        <v>29.7</v>
      </c>
      <c r="AC10" s="1">
        <v>29.7</v>
      </c>
      <c r="AD10" s="6">
        <v>30.5</v>
      </c>
    </row>
    <row r="11" spans="2:30" x14ac:dyDescent="0.25">
      <c r="B11" s="60"/>
      <c r="C11" s="4" t="s">
        <v>9</v>
      </c>
      <c r="D11" s="7" t="s">
        <v>4</v>
      </c>
      <c r="E11" s="3">
        <v>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v>30.6</v>
      </c>
      <c r="X11" s="1"/>
      <c r="Z11" s="1"/>
      <c r="AA11" s="1"/>
      <c r="AB11" s="8">
        <v>34.4</v>
      </c>
      <c r="AC11" s="1">
        <v>34.4</v>
      </c>
    </row>
    <row r="12" spans="2:30" x14ac:dyDescent="0.25">
      <c r="B12" s="60"/>
      <c r="C12" s="1"/>
      <c r="D12" s="7" t="s">
        <v>5</v>
      </c>
      <c r="E12" s="3">
        <v>10</v>
      </c>
      <c r="F12" s="3"/>
      <c r="G12" s="1">
        <v>31</v>
      </c>
      <c r="H12" s="1"/>
      <c r="I12" s="1"/>
      <c r="L12" s="1">
        <v>32.700000000000003</v>
      </c>
      <c r="M12" s="1">
        <v>32.799999999999997</v>
      </c>
      <c r="N12" s="1">
        <v>34.5</v>
      </c>
      <c r="O12" s="1">
        <v>35.299999999999997</v>
      </c>
      <c r="P12" s="1">
        <v>35.6</v>
      </c>
      <c r="Q12" s="1">
        <v>35.57</v>
      </c>
      <c r="R12" s="1"/>
      <c r="S12" s="1">
        <v>36.6</v>
      </c>
      <c r="T12" s="1">
        <v>36.9</v>
      </c>
      <c r="U12" s="1">
        <v>36.799999999999997</v>
      </c>
      <c r="V12" s="1">
        <v>38.020000000000003</v>
      </c>
      <c r="W12" s="1">
        <v>37.950000000000003</v>
      </c>
      <c r="X12" s="1"/>
      <c r="Z12" s="1">
        <v>38.46</v>
      </c>
      <c r="AA12" s="1">
        <v>39.380000000000003</v>
      </c>
      <c r="AB12" s="8">
        <v>39.299999999999997</v>
      </c>
      <c r="AC12" s="1">
        <v>38.25</v>
      </c>
      <c r="AD12" s="6">
        <v>39.24</v>
      </c>
    </row>
    <row r="13" spans="2:30" x14ac:dyDescent="0.25">
      <c r="B13" s="60"/>
      <c r="C13" s="1"/>
      <c r="D13" s="7" t="s">
        <v>6</v>
      </c>
      <c r="E13" s="3">
        <v>11</v>
      </c>
      <c r="F13" s="3"/>
      <c r="G13" s="1">
        <v>29</v>
      </c>
      <c r="H13" s="1"/>
      <c r="I13" s="1"/>
      <c r="L13" s="1">
        <v>31.1</v>
      </c>
      <c r="M13" s="1">
        <v>31.9</v>
      </c>
      <c r="N13" s="1">
        <v>33</v>
      </c>
      <c r="O13" s="1">
        <v>33.4</v>
      </c>
      <c r="P13" s="1">
        <v>34.1</v>
      </c>
      <c r="Q13" s="1">
        <v>34.5</v>
      </c>
      <c r="R13" s="1"/>
      <c r="S13" s="1">
        <v>35.4</v>
      </c>
      <c r="T13" s="1">
        <v>35.79</v>
      </c>
      <c r="U13" s="1">
        <v>36.299999999999997</v>
      </c>
      <c r="V13" s="1">
        <v>36.799999999999997</v>
      </c>
      <c r="W13" s="1">
        <v>37.049999999999997</v>
      </c>
      <c r="X13" s="1"/>
      <c r="Z13" s="1">
        <v>38</v>
      </c>
      <c r="AA13" s="1">
        <v>38.5</v>
      </c>
      <c r="AB13" s="8">
        <v>38.61</v>
      </c>
      <c r="AC13" s="1">
        <v>38.1</v>
      </c>
      <c r="AD13" s="6">
        <v>39.29</v>
      </c>
    </row>
    <row r="14" spans="2:30" x14ac:dyDescent="0.25">
      <c r="B14" s="61"/>
      <c r="C14" s="1"/>
      <c r="D14" s="7" t="s">
        <v>7</v>
      </c>
      <c r="E14" s="3">
        <v>12</v>
      </c>
      <c r="F14" s="3"/>
      <c r="G14" s="1">
        <v>31.3</v>
      </c>
      <c r="H14" s="1"/>
      <c r="I14" s="1"/>
      <c r="L14" s="1">
        <v>32.200000000000003</v>
      </c>
      <c r="M14" s="1">
        <v>33.5</v>
      </c>
      <c r="N14" s="1">
        <v>34.799999999999997</v>
      </c>
      <c r="O14" s="1">
        <v>34.5</v>
      </c>
      <c r="P14" s="1">
        <v>35.1</v>
      </c>
      <c r="Q14" s="1">
        <v>35.07</v>
      </c>
      <c r="R14" s="1"/>
      <c r="S14" s="1">
        <v>35.299999999999997</v>
      </c>
      <c r="T14" s="1">
        <v>36.020000000000003</v>
      </c>
      <c r="U14" s="1">
        <v>35.9</v>
      </c>
      <c r="V14" s="1">
        <v>36.700000000000003</v>
      </c>
      <c r="W14" s="1">
        <v>36.65</v>
      </c>
      <c r="X14" s="1"/>
      <c r="Z14" s="1">
        <v>37</v>
      </c>
      <c r="AA14" s="1">
        <v>39.299999999999997</v>
      </c>
      <c r="AB14" s="8">
        <v>38.1</v>
      </c>
      <c r="AC14" s="1">
        <v>37.19</v>
      </c>
      <c r="AD14" s="6">
        <v>37.479999999999997</v>
      </c>
    </row>
    <row r="15" spans="2:30" x14ac:dyDescent="0.25">
      <c r="B15" s="62" t="s">
        <v>36</v>
      </c>
      <c r="C15" s="4" t="s">
        <v>10</v>
      </c>
      <c r="D15" s="7" t="s">
        <v>4</v>
      </c>
      <c r="E15" s="3">
        <v>13</v>
      </c>
      <c r="O15" s="1">
        <v>30.1</v>
      </c>
      <c r="R15" s="1"/>
      <c r="S15" s="1"/>
      <c r="T15" s="1">
        <v>32.200000000000003</v>
      </c>
      <c r="U15" s="1">
        <v>32.5</v>
      </c>
      <c r="V15" s="1">
        <v>32.9</v>
      </c>
      <c r="W15" s="1">
        <v>32.9</v>
      </c>
      <c r="X15" s="1">
        <v>33.4</v>
      </c>
      <c r="Y15" s="1">
        <v>33.700000000000003</v>
      </c>
      <c r="AA15" s="1">
        <v>34.200000000000003</v>
      </c>
      <c r="AB15" s="8">
        <v>35.5</v>
      </c>
      <c r="AC15" s="6">
        <v>35.47</v>
      </c>
    </row>
    <row r="16" spans="2:30" x14ac:dyDescent="0.25">
      <c r="B16" s="63"/>
      <c r="C16" s="1"/>
      <c r="D16" s="7" t="s">
        <v>5</v>
      </c>
      <c r="E16" s="3">
        <v>14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v>29.6</v>
      </c>
      <c r="AB16" s="8">
        <v>31</v>
      </c>
      <c r="AC16" s="1">
        <v>30.7</v>
      </c>
      <c r="AD16" s="6">
        <v>33.4</v>
      </c>
    </row>
    <row r="17" spans="2:30" x14ac:dyDescent="0.25">
      <c r="B17" s="63"/>
      <c r="C17" s="1"/>
      <c r="D17" s="7" t="s">
        <v>6</v>
      </c>
      <c r="E17" s="3">
        <v>15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v>30.1</v>
      </c>
      <c r="AB17" s="8">
        <v>31.5</v>
      </c>
      <c r="AC17" s="1">
        <v>30.7</v>
      </c>
      <c r="AD17" s="6">
        <v>34.299999999999997</v>
      </c>
    </row>
    <row r="18" spans="2:30" x14ac:dyDescent="0.25">
      <c r="B18" s="63"/>
      <c r="C18" s="1"/>
      <c r="D18" s="7" t="s">
        <v>7</v>
      </c>
      <c r="E18" s="3">
        <v>16</v>
      </c>
      <c r="W18" s="1"/>
      <c r="X18" s="1">
        <v>29.2</v>
      </c>
      <c r="Y18" s="1"/>
      <c r="AA18" s="1"/>
      <c r="AB18" s="8">
        <v>31</v>
      </c>
      <c r="AC18" s="1">
        <v>31.7</v>
      </c>
      <c r="AD18" s="6">
        <v>34.979999999999997</v>
      </c>
    </row>
    <row r="19" spans="2:30" x14ac:dyDescent="0.25">
      <c r="B19" s="63"/>
      <c r="C19" s="4" t="s">
        <v>11</v>
      </c>
      <c r="D19" s="7" t="s">
        <v>4</v>
      </c>
      <c r="E19" s="3">
        <v>17</v>
      </c>
      <c r="O19" s="1">
        <v>30.8</v>
      </c>
      <c r="R19" s="1"/>
      <c r="S19" s="1"/>
      <c r="T19" s="1">
        <v>32.700000000000003</v>
      </c>
      <c r="U19" s="1">
        <v>33.1</v>
      </c>
      <c r="V19" s="1">
        <v>33.9</v>
      </c>
      <c r="W19" s="1">
        <v>35</v>
      </c>
      <c r="X19" s="1">
        <v>35.6</v>
      </c>
      <c r="Y19" s="1">
        <v>35.74</v>
      </c>
      <c r="AA19" s="1">
        <v>37.200000000000003</v>
      </c>
      <c r="AB19" s="8">
        <v>37.700000000000003</v>
      </c>
      <c r="AC19" s="6">
        <v>38.19</v>
      </c>
    </row>
    <row r="20" spans="2:30" x14ac:dyDescent="0.25">
      <c r="B20" s="63"/>
      <c r="C20" s="1"/>
      <c r="D20" s="7" t="s">
        <v>5</v>
      </c>
      <c r="E20" s="3">
        <v>18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v>30</v>
      </c>
      <c r="AB20" s="8">
        <v>30.7</v>
      </c>
      <c r="AC20" s="1">
        <v>30.1</v>
      </c>
      <c r="AD20" s="6">
        <v>33.6</v>
      </c>
    </row>
    <row r="21" spans="2:30" x14ac:dyDescent="0.25">
      <c r="B21" s="63"/>
      <c r="C21" s="1"/>
      <c r="D21" s="7" t="s">
        <v>6</v>
      </c>
      <c r="E21" s="3">
        <v>19</v>
      </c>
      <c r="F21" s="1">
        <v>29.6</v>
      </c>
      <c r="G21" s="1"/>
      <c r="I21" s="1">
        <v>30.9</v>
      </c>
      <c r="K21" s="1">
        <v>30.8</v>
      </c>
      <c r="L21" s="1">
        <v>31</v>
      </c>
      <c r="M21" s="1">
        <v>32.299999999999997</v>
      </c>
      <c r="N21" s="1">
        <v>32.5</v>
      </c>
      <c r="O21" s="1">
        <v>32.1</v>
      </c>
      <c r="P21" s="1">
        <v>32.86</v>
      </c>
      <c r="Q21" s="1"/>
      <c r="R21" s="1">
        <v>33.700000000000003</v>
      </c>
      <c r="S21" s="1">
        <v>33.6</v>
      </c>
      <c r="T21" s="1">
        <v>34.85</v>
      </c>
      <c r="U21" s="1">
        <v>35.31</v>
      </c>
      <c r="V21" s="1">
        <v>35.51</v>
      </c>
      <c r="W21" s="1"/>
      <c r="Y21" s="1">
        <v>35.909999999999997</v>
      </c>
      <c r="Z21" s="1">
        <v>36.5</v>
      </c>
      <c r="AA21" s="1">
        <v>37.96</v>
      </c>
      <c r="AB21" s="8">
        <v>38.299999999999997</v>
      </c>
      <c r="AC21" s="31">
        <v>37.299999999999997</v>
      </c>
      <c r="AD21" s="6">
        <v>38.71</v>
      </c>
    </row>
    <row r="22" spans="2:30" x14ac:dyDescent="0.25">
      <c r="B22" s="64"/>
      <c r="C22" s="1"/>
      <c r="D22" s="7" t="s">
        <v>7</v>
      </c>
      <c r="E22" s="3">
        <v>20</v>
      </c>
      <c r="F22" s="1">
        <v>31.4</v>
      </c>
      <c r="G22" s="1"/>
      <c r="I22" s="1">
        <v>33.200000000000003</v>
      </c>
      <c r="K22" s="1">
        <v>33.5</v>
      </c>
      <c r="L22" s="1">
        <v>34.1</v>
      </c>
      <c r="M22" s="1">
        <v>35.4</v>
      </c>
      <c r="N22" s="1">
        <v>35.5</v>
      </c>
      <c r="O22" s="1">
        <v>36</v>
      </c>
      <c r="P22" s="1">
        <v>36.5</v>
      </c>
      <c r="Q22" s="1"/>
      <c r="R22" s="1">
        <v>37.1</v>
      </c>
      <c r="S22" s="1">
        <v>37.799999999999997</v>
      </c>
      <c r="T22" s="1">
        <v>38.299999999999997</v>
      </c>
      <c r="U22" s="1">
        <v>40</v>
      </c>
      <c r="V22" s="1">
        <v>39.83</v>
      </c>
      <c r="W22" s="1"/>
      <c r="Y22" s="1">
        <v>40.04</v>
      </c>
      <c r="Z22" s="1">
        <v>39.950000000000003</v>
      </c>
      <c r="AA22" s="1">
        <v>40.58</v>
      </c>
      <c r="AB22" s="8">
        <v>40.6</v>
      </c>
      <c r="AC22" s="31">
        <v>40.11</v>
      </c>
      <c r="AD22" s="6">
        <v>42.43</v>
      </c>
    </row>
    <row r="23" spans="2:30" x14ac:dyDescent="0.25">
      <c r="B23" s="65" t="s">
        <v>37</v>
      </c>
      <c r="C23" s="4" t="s">
        <v>12</v>
      </c>
      <c r="D23" s="7" t="s">
        <v>4</v>
      </c>
      <c r="E23" s="3">
        <v>21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>
        <v>28.3</v>
      </c>
      <c r="X23" s="1"/>
      <c r="Z23" s="1"/>
      <c r="AA23" s="1"/>
      <c r="AB23" s="8">
        <v>31.5</v>
      </c>
      <c r="AC23" s="6">
        <v>30.3</v>
      </c>
    </row>
    <row r="24" spans="2:30" x14ac:dyDescent="0.25">
      <c r="B24" s="66"/>
      <c r="C24" s="1"/>
      <c r="D24" s="7" t="s">
        <v>5</v>
      </c>
      <c r="E24" s="3">
        <v>22</v>
      </c>
      <c r="U24" s="1">
        <v>32.700000000000003</v>
      </c>
      <c r="X24" s="1"/>
      <c r="Y24" s="1"/>
      <c r="Z24" s="1">
        <v>33.700000000000003</v>
      </c>
      <c r="AA24" s="1">
        <v>34.700000000000003</v>
      </c>
      <c r="AB24" s="8">
        <v>36.1</v>
      </c>
      <c r="AC24" s="1">
        <v>35.5</v>
      </c>
      <c r="AD24" s="6">
        <v>37.630000000000003</v>
      </c>
    </row>
    <row r="25" spans="2:30" x14ac:dyDescent="0.25">
      <c r="B25" s="66"/>
      <c r="C25" s="1"/>
      <c r="D25" s="7" t="s">
        <v>6</v>
      </c>
      <c r="E25" s="3">
        <v>23</v>
      </c>
      <c r="U25" s="1">
        <v>28.8</v>
      </c>
      <c r="X25" s="1"/>
      <c r="Y25" s="1"/>
      <c r="Z25" s="1">
        <v>29.3</v>
      </c>
      <c r="AA25" s="1">
        <v>29.7</v>
      </c>
      <c r="AB25" s="8">
        <v>31.2</v>
      </c>
      <c r="AC25" s="1">
        <v>30.66</v>
      </c>
      <c r="AD25" s="6">
        <v>34.1</v>
      </c>
    </row>
    <row r="26" spans="2:30" x14ac:dyDescent="0.25">
      <c r="B26" s="66"/>
      <c r="C26" s="1"/>
      <c r="D26" s="7" t="s">
        <v>7</v>
      </c>
      <c r="E26" s="3">
        <v>24</v>
      </c>
      <c r="U26" s="1">
        <v>29.6</v>
      </c>
      <c r="X26" s="1"/>
      <c r="Y26" s="1"/>
      <c r="Z26" s="1">
        <v>29.8</v>
      </c>
      <c r="AA26" s="1">
        <v>30.7</v>
      </c>
      <c r="AB26" s="8">
        <v>32.1</v>
      </c>
      <c r="AC26" s="1">
        <v>31.57</v>
      </c>
      <c r="AD26" s="6">
        <v>34.28</v>
      </c>
    </row>
    <row r="27" spans="2:30" x14ac:dyDescent="0.25">
      <c r="B27" s="66"/>
      <c r="C27" s="4" t="s">
        <v>13</v>
      </c>
      <c r="D27" s="7" t="s">
        <v>4</v>
      </c>
      <c r="E27" s="3">
        <v>25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>
        <v>28.2</v>
      </c>
      <c r="X27" s="1"/>
      <c r="Z27" s="1"/>
      <c r="AA27" s="1"/>
      <c r="AB27" s="8">
        <v>30.5</v>
      </c>
      <c r="AC27" s="6">
        <v>30.07</v>
      </c>
    </row>
    <row r="28" spans="2:30" x14ac:dyDescent="0.25">
      <c r="B28" s="66"/>
      <c r="C28" s="1"/>
      <c r="D28" s="7" t="s">
        <v>5</v>
      </c>
      <c r="E28" s="3">
        <v>26</v>
      </c>
      <c r="T28" s="1">
        <v>29.1</v>
      </c>
      <c r="W28" s="1"/>
      <c r="X28" s="1"/>
      <c r="Y28" s="1">
        <v>29.6</v>
      </c>
      <c r="Z28" s="1">
        <v>30.4</v>
      </c>
      <c r="AA28" s="1">
        <v>30.9</v>
      </c>
      <c r="AB28" s="8">
        <v>31.4</v>
      </c>
      <c r="AC28" s="1">
        <v>31.16</v>
      </c>
      <c r="AD28" s="6">
        <v>34.4</v>
      </c>
    </row>
    <row r="29" spans="2:30" x14ac:dyDescent="0.25">
      <c r="B29" s="66"/>
      <c r="C29" s="1"/>
      <c r="D29" s="7" t="s">
        <v>6</v>
      </c>
      <c r="E29" s="3">
        <v>27</v>
      </c>
      <c r="T29" s="1">
        <v>27.6</v>
      </c>
      <c r="W29" s="1"/>
      <c r="X29" s="1"/>
      <c r="Y29" s="1">
        <v>29.6</v>
      </c>
      <c r="Z29" s="1">
        <v>29.7</v>
      </c>
      <c r="AA29" s="1">
        <v>31.5</v>
      </c>
      <c r="AB29" s="8">
        <v>32.200000000000003</v>
      </c>
      <c r="AC29" s="1">
        <v>32.17</v>
      </c>
      <c r="AD29" s="6">
        <v>34.200000000000003</v>
      </c>
    </row>
    <row r="30" spans="2:30" x14ac:dyDescent="0.25">
      <c r="B30" s="67"/>
      <c r="C30" s="1"/>
      <c r="D30" s="7" t="s">
        <v>7</v>
      </c>
      <c r="E30" s="3">
        <v>28</v>
      </c>
      <c r="T30" s="1">
        <v>29.6</v>
      </c>
      <c r="W30" s="1"/>
      <c r="X30" s="1"/>
      <c r="Y30" s="1">
        <v>31.4</v>
      </c>
      <c r="Z30" s="1">
        <v>32.799999999999997</v>
      </c>
      <c r="AA30" s="1">
        <v>33.299999999999997</v>
      </c>
      <c r="AB30" s="8">
        <v>34</v>
      </c>
      <c r="AC30" s="1">
        <v>34.4</v>
      </c>
      <c r="AD30" s="6">
        <v>36.700000000000003</v>
      </c>
    </row>
    <row r="31" spans="2:30" x14ac:dyDescent="0.25">
      <c r="B31" s="68" t="s">
        <v>47</v>
      </c>
      <c r="C31" s="4" t="s">
        <v>46</v>
      </c>
      <c r="D31" s="7" t="s">
        <v>4</v>
      </c>
      <c r="E31" s="43">
        <v>29</v>
      </c>
      <c r="V31" s="9">
        <v>30.74</v>
      </c>
      <c r="W31" s="48"/>
      <c r="X31" s="9">
        <v>33.39</v>
      </c>
      <c r="Y31" s="9">
        <v>34.36</v>
      </c>
      <c r="Z31" s="9">
        <v>34.24</v>
      </c>
      <c r="AA31" s="50">
        <v>35.81</v>
      </c>
      <c r="AB31" s="52">
        <v>37.26</v>
      </c>
      <c r="AC31" s="5">
        <v>37.85</v>
      </c>
    </row>
    <row r="32" spans="2:30" x14ac:dyDescent="0.25">
      <c r="B32" s="69"/>
      <c r="C32" s="4"/>
      <c r="D32" s="7" t="s">
        <v>5</v>
      </c>
      <c r="E32" s="43">
        <v>30</v>
      </c>
      <c r="Z32" s="9">
        <v>32.67</v>
      </c>
      <c r="AA32" s="51">
        <v>32.979999999999997</v>
      </c>
      <c r="AB32" s="52">
        <v>34.01</v>
      </c>
      <c r="AC32" s="50">
        <v>32.67</v>
      </c>
      <c r="AD32" s="6">
        <v>37.93</v>
      </c>
    </row>
    <row r="33" spans="2:30" x14ac:dyDescent="0.25">
      <c r="B33" s="69"/>
      <c r="C33" s="4"/>
      <c r="D33" s="7" t="s">
        <v>6</v>
      </c>
      <c r="E33" s="43">
        <v>31</v>
      </c>
      <c r="Z33" s="9">
        <v>29.01</v>
      </c>
      <c r="AA33" s="51">
        <v>29.93</v>
      </c>
      <c r="AB33" s="52">
        <v>31.51</v>
      </c>
      <c r="AC33" s="50">
        <v>31.53</v>
      </c>
      <c r="AD33" s="6">
        <v>36.25</v>
      </c>
    </row>
    <row r="34" spans="2:30" x14ac:dyDescent="0.25">
      <c r="B34" s="69"/>
      <c r="C34" s="4"/>
      <c r="D34" s="7" t="s">
        <v>7</v>
      </c>
      <c r="E34" s="43">
        <v>32</v>
      </c>
      <c r="Z34" s="9">
        <v>29.72</v>
      </c>
      <c r="AA34" s="51">
        <v>30.52</v>
      </c>
      <c r="AB34" s="52">
        <v>32.119999999999997</v>
      </c>
      <c r="AC34" s="53">
        <v>31.16</v>
      </c>
      <c r="AD34" s="6">
        <v>35.1</v>
      </c>
    </row>
    <row r="35" spans="2:30" x14ac:dyDescent="0.25">
      <c r="B35" s="69"/>
      <c r="C35" s="4" t="s">
        <v>4</v>
      </c>
      <c r="D35" s="7" t="s">
        <v>4</v>
      </c>
      <c r="E35" s="43">
        <v>33</v>
      </c>
      <c r="V35" s="9">
        <v>27.35</v>
      </c>
      <c r="W35" s="48"/>
      <c r="X35" s="9">
        <v>28.62</v>
      </c>
      <c r="Y35" s="9">
        <v>28.11</v>
      </c>
      <c r="Z35" s="47">
        <v>27.61</v>
      </c>
      <c r="AA35" s="53">
        <v>28.34</v>
      </c>
      <c r="AB35" s="54">
        <v>29.8</v>
      </c>
      <c r="AC35" s="55">
        <v>29.35</v>
      </c>
    </row>
    <row r="36" spans="2:30" x14ac:dyDescent="0.25">
      <c r="B36" s="69"/>
      <c r="C36" s="4"/>
      <c r="D36" s="7" t="s">
        <v>5</v>
      </c>
      <c r="E36" s="43">
        <v>34</v>
      </c>
      <c r="Y36" s="9">
        <v>30.32</v>
      </c>
      <c r="Z36" s="48"/>
      <c r="AA36" s="51">
        <v>31.44</v>
      </c>
      <c r="AB36" s="52">
        <v>33.31</v>
      </c>
      <c r="AC36" s="51">
        <v>32.799999999999997</v>
      </c>
      <c r="AD36" s="6">
        <v>36.799999999999997</v>
      </c>
    </row>
    <row r="37" spans="2:30" x14ac:dyDescent="0.25">
      <c r="B37" s="69"/>
      <c r="C37" s="4"/>
      <c r="D37" s="7" t="s">
        <v>6</v>
      </c>
      <c r="E37" s="43">
        <v>35</v>
      </c>
      <c r="Y37" s="9">
        <v>27.68</v>
      </c>
      <c r="Z37" s="48"/>
      <c r="AA37" s="51">
        <v>28.13</v>
      </c>
      <c r="AB37" s="52">
        <v>29.36</v>
      </c>
      <c r="AC37" s="51">
        <v>29.38</v>
      </c>
      <c r="AD37" s="6">
        <v>33</v>
      </c>
    </row>
    <row r="38" spans="2:30" x14ac:dyDescent="0.25">
      <c r="B38" s="70"/>
      <c r="C38" s="31"/>
      <c r="D38" s="7" t="s">
        <v>7</v>
      </c>
      <c r="E38" s="43">
        <v>36</v>
      </c>
      <c r="Y38" s="9">
        <v>27.62</v>
      </c>
      <c r="Z38" s="48"/>
      <c r="AA38" s="51">
        <v>28.92</v>
      </c>
      <c r="AB38" s="52">
        <v>28.97</v>
      </c>
      <c r="AC38" s="51">
        <v>29.61</v>
      </c>
      <c r="AD38" s="6">
        <v>32.659999999999997</v>
      </c>
    </row>
  </sheetData>
  <mergeCells count="5">
    <mergeCell ref="B3:B6"/>
    <mergeCell ref="B7:B14"/>
    <mergeCell ref="B15:B22"/>
    <mergeCell ref="B23:B30"/>
    <mergeCell ref="B31:B38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0"/>
  <sheetViews>
    <sheetView workbookViewId="0">
      <selection activeCell="F15" sqref="F15:I22"/>
    </sheetView>
  </sheetViews>
  <sheetFormatPr defaultRowHeight="15" x14ac:dyDescent="0.25"/>
  <cols>
    <col min="1" max="1" width="4.5703125" style="31" customWidth="1"/>
    <col min="2" max="2" width="11" style="31" customWidth="1"/>
    <col min="3" max="3" width="7.140625" style="31" customWidth="1"/>
    <col min="4" max="4" width="8.140625" style="31" customWidth="1"/>
    <col min="5" max="5" width="7.28515625" style="31" customWidth="1"/>
    <col min="6" max="6" width="8.42578125" customWidth="1"/>
    <col min="10" max="10" width="24.85546875" customWidth="1"/>
    <col min="11" max="11" width="31.28515625" customWidth="1"/>
    <col min="12" max="12" width="23" customWidth="1"/>
    <col min="14" max="14" width="8.28515625" customWidth="1"/>
    <col min="15" max="15" width="8.7109375" customWidth="1"/>
    <col min="16" max="16" width="7" style="4" customWidth="1"/>
    <col min="17" max="17" width="10.140625" customWidth="1"/>
  </cols>
  <sheetData>
    <row r="2" spans="1:29" ht="15.75" x14ac:dyDescent="0.25">
      <c r="A2" s="10"/>
      <c r="B2" s="10" t="s">
        <v>33</v>
      </c>
      <c r="C2" s="10" t="s">
        <v>0</v>
      </c>
      <c r="D2" s="11" t="s">
        <v>1</v>
      </c>
      <c r="E2" s="10" t="s">
        <v>2</v>
      </c>
      <c r="F2" s="74" t="s">
        <v>39</v>
      </c>
      <c r="G2" s="74"/>
      <c r="H2" s="74"/>
      <c r="I2" s="74"/>
      <c r="J2" s="39" t="s">
        <v>38</v>
      </c>
      <c r="K2" s="39" t="s">
        <v>40</v>
      </c>
      <c r="L2" s="39" t="s">
        <v>41</v>
      </c>
      <c r="N2" s="42" t="s">
        <v>42</v>
      </c>
      <c r="O2" s="42" t="s">
        <v>43</v>
      </c>
      <c r="Q2" s="42" t="s">
        <v>42</v>
      </c>
      <c r="R2" s="42" t="s">
        <v>43</v>
      </c>
      <c r="AB2" s="31" t="s">
        <v>42</v>
      </c>
      <c r="AC2" s="31" t="s">
        <v>43</v>
      </c>
    </row>
    <row r="3" spans="1:29" x14ac:dyDescent="0.25">
      <c r="B3" s="56" t="s">
        <v>34</v>
      </c>
      <c r="C3" s="4" t="s">
        <v>3</v>
      </c>
      <c r="D3" s="7" t="s">
        <v>4</v>
      </c>
      <c r="E3" s="32">
        <v>1</v>
      </c>
      <c r="F3" s="71">
        <f>2*(38.3-34.7)/5</f>
        <v>1.4399999999999977</v>
      </c>
      <c r="G3" s="71"/>
      <c r="H3" s="71"/>
      <c r="I3" s="71"/>
      <c r="J3" s="37">
        <f>1.44/(38.3-1.44)*100</f>
        <v>3.9066739012479652</v>
      </c>
      <c r="K3" s="38">
        <f>39.7-38.3</f>
        <v>1.4000000000000057</v>
      </c>
      <c r="L3" s="37">
        <f>(1.4/38.3)*100</f>
        <v>3.6553524804177546</v>
      </c>
      <c r="N3" s="36">
        <f>AVERAGE(J3:J6)</f>
        <v>3.1851819888255051</v>
      </c>
      <c r="O3" s="36">
        <f>AVERAGE(L3:L6)</f>
        <v>4.0892787060034772</v>
      </c>
      <c r="P3" s="4" t="s">
        <v>44</v>
      </c>
      <c r="Q3" s="36">
        <v>3.19</v>
      </c>
      <c r="R3" s="36">
        <f>AVERAGE(O3:O6)</f>
        <v>4.0892787060034772</v>
      </c>
      <c r="AA3" s="31" t="s">
        <v>44</v>
      </c>
      <c r="AB3">
        <f>AVERAGE(F3:I6)</f>
        <v>1.0424999999999995</v>
      </c>
      <c r="AC3">
        <f>AVERAGE(K3:K6)</f>
        <v>1.3500000000000014</v>
      </c>
    </row>
    <row r="4" spans="1:29" x14ac:dyDescent="0.25">
      <c r="B4" s="57"/>
      <c r="D4" s="7" t="s">
        <v>5</v>
      </c>
      <c r="E4" s="32">
        <v>2</v>
      </c>
      <c r="F4" s="72">
        <v>1.2</v>
      </c>
      <c r="G4" s="72"/>
      <c r="H4" s="72"/>
      <c r="I4" s="72"/>
      <c r="J4" s="37">
        <f>1.2/(30.2-0.6)*100</f>
        <v>4.0540540540540544</v>
      </c>
      <c r="K4" s="38">
        <v>1.1000000000000001</v>
      </c>
      <c r="L4" s="37">
        <f>100*1.1/(30.8)</f>
        <v>3.5714285714285716</v>
      </c>
      <c r="P4" s="4" t="s">
        <v>18</v>
      </c>
      <c r="Q4" s="36">
        <v>2.81</v>
      </c>
      <c r="R4" s="36">
        <f>AVERAGE(O7:O14)</f>
        <v>-1.5710529556650248</v>
      </c>
      <c r="AA4" s="31" t="s">
        <v>18</v>
      </c>
      <c r="AB4">
        <f>AVERAGE(F7:I14)</f>
        <v>0.91874999999999996</v>
      </c>
      <c r="AC4">
        <f>AVERAGE(K7:K14)</f>
        <v>-0.57125000000000004</v>
      </c>
    </row>
    <row r="5" spans="1:29" x14ac:dyDescent="0.25">
      <c r="B5" s="57"/>
      <c r="D5" s="7" t="s">
        <v>6</v>
      </c>
      <c r="E5" s="32">
        <v>3</v>
      </c>
      <c r="F5" s="72">
        <v>0.84</v>
      </c>
      <c r="G5" s="72"/>
      <c r="H5" s="72"/>
      <c r="I5" s="72"/>
      <c r="J5" s="37">
        <v>2.46</v>
      </c>
      <c r="K5" s="38">
        <v>1.3</v>
      </c>
      <c r="L5" s="37">
        <f>1.3/(34.9)*100</f>
        <v>3.7249283667621778</v>
      </c>
      <c r="P5" s="4" t="s">
        <v>19</v>
      </c>
      <c r="Q5" s="36">
        <v>2.85</v>
      </c>
      <c r="R5" s="36">
        <f>AVERAGE(O15:O22)</f>
        <v>-0.50124999999999997</v>
      </c>
      <c r="AA5" s="31" t="s">
        <v>19</v>
      </c>
      <c r="AB5">
        <f>AVERAGE(F15:I22)</f>
        <v>0.92625000000000002</v>
      </c>
      <c r="AC5">
        <f>AVERAGE(K15:K22)</f>
        <v>-0.17750000000000002</v>
      </c>
    </row>
    <row r="6" spans="1:29" x14ac:dyDescent="0.25">
      <c r="B6" s="58"/>
      <c r="D6" s="7" t="s">
        <v>7</v>
      </c>
      <c r="E6" s="32">
        <v>4</v>
      </c>
      <c r="F6" s="75">
        <v>0.69</v>
      </c>
      <c r="G6" s="75"/>
      <c r="H6" s="75"/>
      <c r="I6" s="75"/>
      <c r="J6" s="49">
        <v>2.3199999999999998</v>
      </c>
      <c r="K6" s="41">
        <v>1.6</v>
      </c>
      <c r="L6" s="40">
        <f>1.6/29.6*100</f>
        <v>5.4054054054054053</v>
      </c>
      <c r="P6" s="4" t="s">
        <v>20</v>
      </c>
      <c r="Q6" s="36">
        <v>3.21</v>
      </c>
      <c r="R6" s="36">
        <f>AVERAGE(O23:O30)</f>
        <v>-1.28</v>
      </c>
      <c r="AA6" s="31" t="s">
        <v>20</v>
      </c>
      <c r="AB6">
        <f>AVERAGE(F23:I30)</f>
        <v>1.0049999999999999</v>
      </c>
      <c r="AC6">
        <f>AVERAGE(K23:K30)</f>
        <v>-0.41000000000000003</v>
      </c>
    </row>
    <row r="7" spans="1:29" x14ac:dyDescent="0.25">
      <c r="B7" s="59" t="s">
        <v>35</v>
      </c>
      <c r="C7" s="4" t="s">
        <v>8</v>
      </c>
      <c r="D7" s="7" t="s">
        <v>4</v>
      </c>
      <c r="E7" s="32">
        <v>5</v>
      </c>
      <c r="F7" s="71">
        <v>1.6</v>
      </c>
      <c r="G7" s="71"/>
      <c r="H7" s="71"/>
      <c r="I7" s="71"/>
      <c r="J7" s="37">
        <f>(1.6/32)*100</f>
        <v>5</v>
      </c>
      <c r="K7" s="38">
        <f>32.1-33.6</f>
        <v>-1.5</v>
      </c>
      <c r="L7" s="37">
        <f>(-1.5/33.6)*100</f>
        <v>-4.4642857142857144</v>
      </c>
      <c r="N7" s="36">
        <f>AVERAGE(J7:J14)</f>
        <v>2.8146144335387664</v>
      </c>
      <c r="O7" s="36">
        <f>AVERAGE(L7:L14)</f>
        <v>-1.5710529556650248</v>
      </c>
      <c r="P7" s="4" t="s">
        <v>45</v>
      </c>
      <c r="Q7" s="36">
        <v>4.3</v>
      </c>
      <c r="R7" s="31">
        <v>-0.89</v>
      </c>
      <c r="AA7" s="31" t="s">
        <v>45</v>
      </c>
      <c r="AB7" s="31">
        <v>1.29</v>
      </c>
      <c r="AC7">
        <v>-0.28999999999999998</v>
      </c>
    </row>
    <row r="8" spans="1:29" x14ac:dyDescent="0.25">
      <c r="B8" s="60"/>
      <c r="D8" s="7" t="s">
        <v>5</v>
      </c>
      <c r="E8" s="32">
        <v>6</v>
      </c>
      <c r="F8" s="72">
        <v>1.1000000000000001</v>
      </c>
      <c r="G8" s="72"/>
      <c r="H8" s="72"/>
      <c r="I8" s="72"/>
      <c r="J8" s="37">
        <f>(1.1/33.7)*100</f>
        <v>3.2640949554896146</v>
      </c>
      <c r="K8" s="38">
        <v>-0.6</v>
      </c>
      <c r="L8" s="37">
        <f>(-0.6/34.8)*100</f>
        <v>-1.7241379310344827</v>
      </c>
    </row>
    <row r="9" spans="1:29" x14ac:dyDescent="0.25">
      <c r="B9" s="60"/>
      <c r="D9" s="7" t="s">
        <v>6</v>
      </c>
      <c r="E9" s="32">
        <v>7</v>
      </c>
      <c r="F9" s="72">
        <v>0.8</v>
      </c>
      <c r="G9" s="72"/>
      <c r="H9" s="72"/>
      <c r="I9" s="72"/>
      <c r="J9" s="37">
        <f>(0.8/30)*100</f>
        <v>2.666666666666667</v>
      </c>
      <c r="K9" s="38">
        <v>0</v>
      </c>
      <c r="L9" s="37">
        <v>0</v>
      </c>
    </row>
    <row r="10" spans="1:29" x14ac:dyDescent="0.25">
      <c r="B10" s="60"/>
      <c r="D10" s="7" t="s">
        <v>7</v>
      </c>
      <c r="E10" s="32">
        <v>8</v>
      </c>
      <c r="F10" s="72">
        <v>1.1000000000000001</v>
      </c>
      <c r="G10" s="72"/>
      <c r="H10" s="72"/>
      <c r="I10" s="72"/>
      <c r="J10" s="37">
        <f>(1.1/28.6)*100</f>
        <v>3.8461538461538463</v>
      </c>
      <c r="K10" s="38">
        <v>0</v>
      </c>
      <c r="L10" s="37">
        <v>0</v>
      </c>
    </row>
    <row r="11" spans="1:29" x14ac:dyDescent="0.25">
      <c r="B11" s="60"/>
      <c r="C11" s="4" t="s">
        <v>9</v>
      </c>
      <c r="D11" s="7" t="s">
        <v>4</v>
      </c>
      <c r="E11" s="32">
        <v>9</v>
      </c>
      <c r="F11" s="72">
        <v>1.3</v>
      </c>
      <c r="G11" s="72"/>
      <c r="H11" s="72"/>
      <c r="I11" s="72"/>
      <c r="J11" s="37">
        <v>3.93</v>
      </c>
      <c r="K11" s="38">
        <v>0</v>
      </c>
      <c r="L11" s="37">
        <v>0</v>
      </c>
    </row>
    <row r="12" spans="1:29" x14ac:dyDescent="0.25">
      <c r="B12" s="60"/>
      <c r="D12" s="7" t="s">
        <v>5</v>
      </c>
      <c r="E12" s="32">
        <v>10</v>
      </c>
      <c r="F12" s="72">
        <v>0.45</v>
      </c>
      <c r="G12" s="72"/>
      <c r="H12" s="72"/>
      <c r="I12" s="72"/>
      <c r="J12" s="37">
        <v>1.1599999999999999</v>
      </c>
      <c r="K12" s="38">
        <v>-1.05</v>
      </c>
      <c r="L12" s="37">
        <v>-2.67</v>
      </c>
    </row>
    <row r="13" spans="1:29" x14ac:dyDescent="0.25">
      <c r="B13" s="60"/>
      <c r="D13" s="7" t="s">
        <v>6</v>
      </c>
      <c r="E13" s="32">
        <v>11</v>
      </c>
      <c r="F13" s="72">
        <v>0.52</v>
      </c>
      <c r="G13" s="72"/>
      <c r="H13" s="72"/>
      <c r="I13" s="72"/>
      <c r="J13" s="37">
        <v>1.37</v>
      </c>
      <c r="K13" s="38">
        <v>-0.51</v>
      </c>
      <c r="L13" s="37">
        <v>-1.32</v>
      </c>
    </row>
    <row r="14" spans="1:29" x14ac:dyDescent="0.25">
      <c r="B14" s="61"/>
      <c r="D14" s="7" t="s">
        <v>7</v>
      </c>
      <c r="E14" s="32">
        <v>12</v>
      </c>
      <c r="F14" s="73">
        <v>0.48</v>
      </c>
      <c r="G14" s="73"/>
      <c r="H14" s="73"/>
      <c r="I14" s="73"/>
      <c r="J14" s="40">
        <v>1.28</v>
      </c>
      <c r="K14" s="41">
        <v>-0.91</v>
      </c>
      <c r="L14" s="40">
        <v>-2.39</v>
      </c>
    </row>
    <row r="15" spans="1:29" x14ac:dyDescent="0.25">
      <c r="B15" s="62" t="s">
        <v>36</v>
      </c>
      <c r="C15" s="4" t="s">
        <v>10</v>
      </c>
      <c r="D15" s="7" t="s">
        <v>4</v>
      </c>
      <c r="E15" s="32">
        <v>13</v>
      </c>
      <c r="F15" s="71">
        <v>0.87</v>
      </c>
      <c r="G15" s="71"/>
      <c r="H15" s="71"/>
      <c r="I15" s="71"/>
      <c r="J15" s="37">
        <v>2.5099999999999998</v>
      </c>
      <c r="K15" s="38">
        <v>-0.03</v>
      </c>
      <c r="L15" s="37">
        <v>-0.08</v>
      </c>
      <c r="N15" s="36">
        <f>AVERAGE(J15:J22)</f>
        <v>2.8500000000000005</v>
      </c>
      <c r="O15" s="36">
        <f>AVERAGE(L15:L22)</f>
        <v>-0.50124999999999997</v>
      </c>
    </row>
    <row r="16" spans="1:29" x14ac:dyDescent="0.25">
      <c r="B16" s="63"/>
      <c r="D16" s="7" t="s">
        <v>5</v>
      </c>
      <c r="E16" s="32">
        <v>14</v>
      </c>
      <c r="F16" s="72">
        <v>1.4</v>
      </c>
      <c r="G16" s="72"/>
      <c r="H16" s="72"/>
      <c r="I16" s="72"/>
      <c r="J16" s="37">
        <v>4.7300000000000004</v>
      </c>
      <c r="K16" s="38">
        <v>-0.05</v>
      </c>
      <c r="L16" s="37">
        <v>-0.16</v>
      </c>
    </row>
    <row r="17" spans="2:15" x14ac:dyDescent="0.25">
      <c r="B17" s="63"/>
      <c r="D17" s="7" t="s">
        <v>6</v>
      </c>
      <c r="E17" s="32">
        <v>15</v>
      </c>
      <c r="F17" s="72">
        <v>1.4</v>
      </c>
      <c r="G17" s="72"/>
      <c r="H17" s="72"/>
      <c r="I17" s="72"/>
      <c r="J17" s="37">
        <v>4.6500000000000004</v>
      </c>
      <c r="K17" s="38">
        <v>-0.7</v>
      </c>
      <c r="L17" s="37">
        <v>-2.2200000000000002</v>
      </c>
    </row>
    <row r="18" spans="2:15" x14ac:dyDescent="0.25">
      <c r="B18" s="63"/>
      <c r="D18" s="7" t="s">
        <v>7</v>
      </c>
      <c r="E18" s="32">
        <v>16</v>
      </c>
      <c r="F18" s="72">
        <v>0.72</v>
      </c>
      <c r="G18" s="72"/>
      <c r="H18" s="72"/>
      <c r="I18" s="72"/>
      <c r="J18" s="37">
        <v>2.38</v>
      </c>
      <c r="K18" s="38">
        <v>0.7</v>
      </c>
      <c r="L18" s="37">
        <v>2.2599999999999998</v>
      </c>
    </row>
    <row r="19" spans="2:15" x14ac:dyDescent="0.25">
      <c r="B19" s="63"/>
      <c r="C19" s="4" t="s">
        <v>11</v>
      </c>
      <c r="D19" s="7" t="s">
        <v>4</v>
      </c>
      <c r="E19" s="32">
        <v>17</v>
      </c>
      <c r="F19" s="72">
        <v>0.84</v>
      </c>
      <c r="G19" s="72"/>
      <c r="H19" s="72"/>
      <c r="I19" s="72"/>
      <c r="J19" s="37">
        <v>2.2799999999999998</v>
      </c>
      <c r="K19" s="38">
        <v>0.49</v>
      </c>
      <c r="L19" s="37">
        <v>1.3</v>
      </c>
    </row>
    <row r="20" spans="2:15" x14ac:dyDescent="0.25">
      <c r="B20" s="63"/>
      <c r="D20" s="7" t="s">
        <v>5</v>
      </c>
      <c r="E20" s="32">
        <v>18</v>
      </c>
      <c r="F20" s="72">
        <v>0.7</v>
      </c>
      <c r="G20" s="72"/>
      <c r="H20" s="72"/>
      <c r="I20" s="72"/>
      <c r="J20" s="37">
        <v>2.33</v>
      </c>
      <c r="K20" s="38">
        <v>-0.6</v>
      </c>
      <c r="L20" s="37">
        <v>-1.95</v>
      </c>
    </row>
    <row r="21" spans="2:15" x14ac:dyDescent="0.25">
      <c r="B21" s="63"/>
      <c r="D21" s="7" t="s">
        <v>6</v>
      </c>
      <c r="E21" s="32">
        <v>19</v>
      </c>
      <c r="F21" s="72">
        <v>1.2</v>
      </c>
      <c r="G21" s="72"/>
      <c r="H21" s="72"/>
      <c r="I21" s="72"/>
      <c r="J21" s="37">
        <v>3.23</v>
      </c>
      <c r="K21" s="38">
        <v>-0.89</v>
      </c>
      <c r="L21" s="37">
        <v>-2.3199999999999998</v>
      </c>
    </row>
    <row r="22" spans="2:15" x14ac:dyDescent="0.25">
      <c r="B22" s="64"/>
      <c r="D22" s="7" t="s">
        <v>7</v>
      </c>
      <c r="E22" s="32">
        <v>20</v>
      </c>
      <c r="F22" s="73">
        <v>0.28000000000000003</v>
      </c>
      <c r="G22" s="73"/>
      <c r="H22" s="73"/>
      <c r="I22" s="73"/>
      <c r="J22" s="40">
        <v>0.69</v>
      </c>
      <c r="K22" s="41">
        <v>-0.34</v>
      </c>
      <c r="L22" s="40">
        <v>-0.84</v>
      </c>
    </row>
    <row r="23" spans="2:15" x14ac:dyDescent="0.25">
      <c r="B23" s="65" t="s">
        <v>37</v>
      </c>
      <c r="C23" s="4" t="s">
        <v>12</v>
      </c>
      <c r="D23" s="7" t="s">
        <v>4</v>
      </c>
      <c r="E23" s="32">
        <v>21</v>
      </c>
      <c r="F23" s="71">
        <v>1.07</v>
      </c>
      <c r="G23" s="71"/>
      <c r="H23" s="71"/>
      <c r="I23" s="71"/>
      <c r="J23" s="37">
        <v>3.52</v>
      </c>
      <c r="K23" s="38">
        <v>-1.2</v>
      </c>
      <c r="L23" s="37">
        <v>-3.81</v>
      </c>
      <c r="N23" s="36">
        <f>AVERAGE(J23:J30)</f>
        <v>3.2112500000000002</v>
      </c>
      <c r="O23" s="36">
        <f>AVERAGE(L23:L30)</f>
        <v>-1.28</v>
      </c>
    </row>
    <row r="24" spans="2:15" x14ac:dyDescent="0.25">
      <c r="B24" s="66"/>
      <c r="D24" s="7" t="s">
        <v>5</v>
      </c>
      <c r="E24" s="32">
        <v>22</v>
      </c>
      <c r="F24" s="72">
        <v>1.4</v>
      </c>
      <c r="G24" s="72"/>
      <c r="H24" s="72"/>
      <c r="I24" s="72"/>
      <c r="J24" s="37">
        <v>4.03</v>
      </c>
      <c r="K24" s="38">
        <v>-0.6</v>
      </c>
      <c r="L24" s="37">
        <v>-1.66</v>
      </c>
    </row>
    <row r="25" spans="2:15" x14ac:dyDescent="0.25">
      <c r="B25" s="66"/>
      <c r="D25" s="7" t="s">
        <v>6</v>
      </c>
      <c r="E25" s="32">
        <v>23</v>
      </c>
      <c r="F25" s="72">
        <v>1.5</v>
      </c>
      <c r="G25" s="72"/>
      <c r="H25" s="72"/>
      <c r="I25" s="72"/>
      <c r="J25" s="37">
        <v>5.05</v>
      </c>
      <c r="K25" s="38">
        <v>-0.54</v>
      </c>
      <c r="L25" s="37">
        <v>-1.73</v>
      </c>
    </row>
    <row r="26" spans="2:15" x14ac:dyDescent="0.25">
      <c r="B26" s="66"/>
      <c r="D26" s="7" t="s">
        <v>7</v>
      </c>
      <c r="E26" s="32">
        <v>24</v>
      </c>
      <c r="F26" s="72">
        <v>1.4</v>
      </c>
      <c r="G26" s="72"/>
      <c r="H26" s="72"/>
      <c r="I26" s="72"/>
      <c r="J26" s="37">
        <v>4.5599999999999996</v>
      </c>
      <c r="K26" s="38">
        <v>-0.53</v>
      </c>
      <c r="L26" s="37">
        <v>-1.65</v>
      </c>
    </row>
    <row r="27" spans="2:15" x14ac:dyDescent="0.25">
      <c r="B27" s="66"/>
      <c r="C27" s="4" t="s">
        <v>13</v>
      </c>
      <c r="D27" s="7" t="s">
        <v>4</v>
      </c>
      <c r="E27" s="32">
        <v>25</v>
      </c>
      <c r="F27" s="72">
        <v>0.77</v>
      </c>
      <c r="G27" s="72"/>
      <c r="H27" s="72"/>
      <c r="I27" s="72"/>
      <c r="J27" s="37">
        <v>2.59</v>
      </c>
      <c r="K27" s="38">
        <v>-0.43</v>
      </c>
      <c r="L27" s="37">
        <v>-1.41</v>
      </c>
    </row>
    <row r="28" spans="2:15" x14ac:dyDescent="0.25">
      <c r="B28" s="66"/>
      <c r="D28" s="7" t="s">
        <v>5</v>
      </c>
      <c r="E28" s="32">
        <v>26</v>
      </c>
      <c r="F28" s="72">
        <v>0.5</v>
      </c>
      <c r="G28" s="72"/>
      <c r="H28" s="72"/>
      <c r="I28" s="72"/>
      <c r="J28" s="37">
        <v>1.62</v>
      </c>
      <c r="K28" s="38">
        <v>-7.0000000000000007E-2</v>
      </c>
      <c r="L28" s="37">
        <v>-0.22</v>
      </c>
    </row>
    <row r="29" spans="2:15" x14ac:dyDescent="0.25">
      <c r="B29" s="66"/>
      <c r="D29" s="7" t="s">
        <v>6</v>
      </c>
      <c r="E29" s="32">
        <v>27</v>
      </c>
      <c r="F29" s="72">
        <v>0.7</v>
      </c>
      <c r="G29" s="72"/>
      <c r="H29" s="72"/>
      <c r="I29" s="72"/>
      <c r="J29" s="37">
        <v>2.2200000000000002</v>
      </c>
      <c r="K29" s="38">
        <v>-0.16</v>
      </c>
      <c r="L29" s="37">
        <v>-0.5</v>
      </c>
    </row>
    <row r="30" spans="2:15" x14ac:dyDescent="0.25">
      <c r="B30" s="67"/>
      <c r="D30" s="7" t="s">
        <v>7</v>
      </c>
      <c r="E30" s="32">
        <v>28</v>
      </c>
      <c r="F30" s="72">
        <v>0.7</v>
      </c>
      <c r="G30" s="72"/>
      <c r="H30" s="72"/>
      <c r="I30" s="72"/>
      <c r="J30" s="37">
        <v>2.1</v>
      </c>
      <c r="K30" s="38">
        <v>0.25</v>
      </c>
      <c r="L30" s="37">
        <v>0.74</v>
      </c>
    </row>
    <row r="31" spans="2:15" x14ac:dyDescent="0.25">
      <c r="B31" s="68" t="s">
        <v>47</v>
      </c>
      <c r="C31" s="4" t="s">
        <v>46</v>
      </c>
      <c r="D31" s="7" t="s">
        <v>4</v>
      </c>
      <c r="E31" s="43">
        <v>29</v>
      </c>
      <c r="F31" s="71">
        <v>1.45</v>
      </c>
      <c r="G31" s="71"/>
      <c r="H31" s="71"/>
      <c r="I31" s="71"/>
      <c r="J31" s="45">
        <v>4.05</v>
      </c>
      <c r="K31" s="45">
        <v>0.59</v>
      </c>
      <c r="L31" s="46">
        <v>1.58</v>
      </c>
      <c r="N31">
        <f>AVERAGE(J31:J38)</f>
        <v>4.2949999999999999</v>
      </c>
      <c r="O31" s="36">
        <f>AVERAGE(L31:L38)</f>
        <v>-0.88874999999999993</v>
      </c>
    </row>
    <row r="32" spans="2:15" x14ac:dyDescent="0.25">
      <c r="B32" s="69"/>
      <c r="C32" s="4"/>
      <c r="D32" s="7" t="s">
        <v>5</v>
      </c>
      <c r="E32" s="43">
        <v>30</v>
      </c>
      <c r="F32" s="72">
        <v>1.03</v>
      </c>
      <c r="G32" s="72"/>
      <c r="H32" s="72"/>
      <c r="I32" s="72"/>
      <c r="J32" s="43">
        <v>3.12</v>
      </c>
      <c r="K32" s="43">
        <v>-1.34</v>
      </c>
      <c r="L32" s="43">
        <v>-3.94</v>
      </c>
    </row>
    <row r="33" spans="2:12" x14ac:dyDescent="0.25">
      <c r="B33" s="69"/>
      <c r="C33" s="4"/>
      <c r="D33" s="7" t="s">
        <v>6</v>
      </c>
      <c r="E33" s="43">
        <v>31</v>
      </c>
      <c r="F33" s="72">
        <v>1.58</v>
      </c>
      <c r="G33" s="72"/>
      <c r="H33" s="72"/>
      <c r="I33" s="72"/>
      <c r="J33" s="43">
        <v>5.28</v>
      </c>
      <c r="K33" s="43">
        <v>0.02</v>
      </c>
      <c r="L33" s="43">
        <v>0.06</v>
      </c>
    </row>
    <row r="34" spans="2:12" x14ac:dyDescent="0.25">
      <c r="B34" s="69"/>
      <c r="C34" s="4"/>
      <c r="D34" s="7" t="s">
        <v>7</v>
      </c>
      <c r="E34" s="43">
        <v>32</v>
      </c>
      <c r="F34" s="72">
        <v>1.6</v>
      </c>
      <c r="G34" s="72"/>
      <c r="H34" s="72"/>
      <c r="I34" s="72"/>
      <c r="J34" s="43">
        <v>5.24</v>
      </c>
      <c r="K34" s="43">
        <v>-0.96</v>
      </c>
      <c r="L34" s="43">
        <v>-2.99</v>
      </c>
    </row>
    <row r="35" spans="2:12" x14ac:dyDescent="0.25">
      <c r="B35" s="69"/>
      <c r="C35" s="4" t="s">
        <v>4</v>
      </c>
      <c r="D35" s="7" t="s">
        <v>4</v>
      </c>
      <c r="E35" s="43">
        <v>33</v>
      </c>
      <c r="F35" s="72">
        <v>1.46</v>
      </c>
      <c r="G35" s="72"/>
      <c r="H35" s="72"/>
      <c r="I35" s="72"/>
      <c r="J35" s="43">
        <v>5.15</v>
      </c>
      <c r="K35" s="43">
        <v>-0.45</v>
      </c>
      <c r="L35" s="43">
        <v>-1.51</v>
      </c>
    </row>
    <row r="36" spans="2:12" x14ac:dyDescent="0.25">
      <c r="B36" s="69"/>
      <c r="C36" s="4"/>
      <c r="D36" s="7" t="s">
        <v>5</v>
      </c>
      <c r="E36" s="43">
        <v>34</v>
      </c>
      <c r="F36" s="72">
        <v>1.66</v>
      </c>
      <c r="G36" s="72"/>
      <c r="H36" s="72"/>
      <c r="I36" s="72"/>
      <c r="J36" s="43">
        <v>5.95</v>
      </c>
      <c r="K36" s="43">
        <v>-0.51</v>
      </c>
      <c r="L36" s="43">
        <v>-1.53</v>
      </c>
    </row>
    <row r="37" spans="2:12" x14ac:dyDescent="0.25">
      <c r="B37" s="69"/>
      <c r="C37" s="4"/>
      <c r="D37" s="7" t="s">
        <v>6</v>
      </c>
      <c r="E37" s="43">
        <v>35</v>
      </c>
      <c r="F37" s="72">
        <v>1.23</v>
      </c>
      <c r="G37" s="72"/>
      <c r="H37" s="72"/>
      <c r="I37" s="72"/>
      <c r="J37" s="43">
        <v>4.37</v>
      </c>
      <c r="K37" s="43">
        <v>0.02</v>
      </c>
      <c r="L37" s="43">
        <v>7.0000000000000007E-2</v>
      </c>
    </row>
    <row r="38" spans="2:12" x14ac:dyDescent="0.25">
      <c r="B38" s="70"/>
      <c r="D38" s="7" t="s">
        <v>7</v>
      </c>
      <c r="E38" s="43">
        <v>36</v>
      </c>
      <c r="F38" s="72">
        <v>0.34</v>
      </c>
      <c r="G38" s="72"/>
      <c r="H38" s="72"/>
      <c r="I38" s="72"/>
      <c r="J38" s="43">
        <v>1.2</v>
      </c>
      <c r="K38" s="43">
        <v>0.33</v>
      </c>
      <c r="L38" s="43">
        <v>1.1499999999999999</v>
      </c>
    </row>
    <row r="39" spans="2:12" x14ac:dyDescent="0.25">
      <c r="J39" s="43"/>
      <c r="K39" s="43"/>
      <c r="L39" s="43"/>
    </row>
    <row r="40" spans="2:12" x14ac:dyDescent="0.25">
      <c r="J40" s="43"/>
      <c r="K40" s="43"/>
      <c r="L40" s="43"/>
    </row>
  </sheetData>
  <mergeCells count="42">
    <mergeCell ref="F14:I14"/>
    <mergeCell ref="F8:I8"/>
    <mergeCell ref="F9:I9"/>
    <mergeCell ref="F10:I10"/>
    <mergeCell ref="F11:I11"/>
    <mergeCell ref="F12:I12"/>
    <mergeCell ref="F13:I13"/>
    <mergeCell ref="B3:B6"/>
    <mergeCell ref="B7:B14"/>
    <mergeCell ref="B15:B22"/>
    <mergeCell ref="B23:B30"/>
    <mergeCell ref="F2:I2"/>
    <mergeCell ref="F3:I3"/>
    <mergeCell ref="F4:I4"/>
    <mergeCell ref="F5:I5"/>
    <mergeCell ref="F6:I6"/>
    <mergeCell ref="F7:I7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B31:B38"/>
    <mergeCell ref="F31:I31"/>
    <mergeCell ref="F32:I32"/>
    <mergeCell ref="F33:I33"/>
    <mergeCell ref="F34:I34"/>
    <mergeCell ref="F35:I35"/>
    <mergeCell ref="F36:I36"/>
    <mergeCell ref="F37:I37"/>
    <mergeCell ref="F38:I3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workbookViewId="0">
      <selection activeCell="B30" sqref="B30"/>
    </sheetView>
  </sheetViews>
  <sheetFormatPr defaultRowHeight="15" x14ac:dyDescent="0.25"/>
  <cols>
    <col min="1" max="1" width="4.7109375" customWidth="1"/>
    <col min="2" max="2" width="25.42578125" customWidth="1"/>
    <col min="8" max="8" width="9.140625" style="31"/>
  </cols>
  <sheetData>
    <row r="1" spans="2:14" x14ac:dyDescent="0.25">
      <c r="C1" s="14" t="s">
        <v>23</v>
      </c>
    </row>
    <row r="2" spans="2:14" ht="18.75" x14ac:dyDescent="0.3">
      <c r="K2" s="19" t="s">
        <v>24</v>
      </c>
    </row>
    <row r="3" spans="2:14" ht="18.75" x14ac:dyDescent="0.3">
      <c r="B3" s="17" t="s">
        <v>16</v>
      </c>
      <c r="C3" s="15" t="s">
        <v>17</v>
      </c>
      <c r="D3" s="16" t="s">
        <v>18</v>
      </c>
      <c r="E3" s="16" t="s">
        <v>19</v>
      </c>
      <c r="F3" s="16" t="s">
        <v>20</v>
      </c>
      <c r="G3" s="33" t="s">
        <v>45</v>
      </c>
      <c r="J3" s="15" t="s">
        <v>17</v>
      </c>
      <c r="K3" s="16" t="s">
        <v>18</v>
      </c>
      <c r="L3" s="16" t="s">
        <v>19</v>
      </c>
      <c r="M3" s="16" t="s">
        <v>20</v>
      </c>
      <c r="N3" s="33" t="s">
        <v>45</v>
      </c>
    </row>
    <row r="4" spans="2:14" x14ac:dyDescent="0.25">
      <c r="B4" s="14"/>
      <c r="C4" s="15">
        <v>1</v>
      </c>
      <c r="D4" s="18">
        <v>1.2384259259259258E-3</v>
      </c>
      <c r="E4" s="18">
        <v>1.0185185185185186E-3</v>
      </c>
      <c r="F4" s="18">
        <v>1.0185185185185186E-3</v>
      </c>
      <c r="G4" s="18">
        <v>8.9120370370370362E-4</v>
      </c>
      <c r="J4" s="15">
        <v>1</v>
      </c>
      <c r="K4" s="20">
        <f>47+60</f>
        <v>107</v>
      </c>
      <c r="L4" s="20">
        <f>28+60</f>
        <v>88</v>
      </c>
      <c r="M4" s="20">
        <f>28+60</f>
        <v>88</v>
      </c>
      <c r="N4" s="36">
        <f>(60+17)</f>
        <v>77</v>
      </c>
    </row>
    <row r="5" spans="2:14" x14ac:dyDescent="0.25">
      <c r="B5" s="14"/>
      <c r="C5" s="15">
        <v>2</v>
      </c>
      <c r="D5" s="18">
        <v>3.4490740740740745E-3</v>
      </c>
      <c r="E5" s="18">
        <v>1.1689814814814816E-3</v>
      </c>
      <c r="F5" s="18">
        <v>1.1689814814814816E-3</v>
      </c>
      <c r="G5" s="18">
        <v>8.7962962962962962E-4</v>
      </c>
      <c r="J5" s="15">
        <v>2</v>
      </c>
      <c r="K5" s="20">
        <f>58+(4*60)</f>
        <v>298</v>
      </c>
      <c r="L5" s="20">
        <f>41+60</f>
        <v>101</v>
      </c>
      <c r="M5" s="20">
        <f>41+60</f>
        <v>101</v>
      </c>
      <c r="N5" s="36">
        <f>60+16</f>
        <v>76</v>
      </c>
    </row>
    <row r="6" spans="2:14" x14ac:dyDescent="0.25">
      <c r="B6" s="14"/>
      <c r="C6" s="15">
        <v>3</v>
      </c>
      <c r="D6" s="18">
        <v>1.3888888888888889E-3</v>
      </c>
      <c r="E6" s="18">
        <v>1.1689814814814816E-3</v>
      </c>
      <c r="F6" s="18">
        <v>1.2037037037037038E-3</v>
      </c>
      <c r="G6" s="18">
        <v>1.0069444444444444E-3</v>
      </c>
      <c r="J6" s="15">
        <v>3</v>
      </c>
      <c r="K6" s="20">
        <f>2*60</f>
        <v>120</v>
      </c>
      <c r="L6" s="20">
        <f>41+60</f>
        <v>101</v>
      </c>
      <c r="M6" s="20">
        <f>44+60</f>
        <v>104</v>
      </c>
      <c r="N6" s="36">
        <f>60+27</f>
        <v>87</v>
      </c>
    </row>
    <row r="7" spans="2:14" x14ac:dyDescent="0.25">
      <c r="B7" s="14"/>
      <c r="C7" s="15">
        <v>4</v>
      </c>
      <c r="D7" s="18">
        <v>1.1689814814814816E-3</v>
      </c>
      <c r="E7" s="18">
        <v>9.8379629629629642E-4</v>
      </c>
      <c r="F7" s="18">
        <v>1.1226851851851851E-3</v>
      </c>
      <c r="G7" s="18">
        <v>9.3750000000000007E-4</v>
      </c>
      <c r="J7" s="15">
        <v>4</v>
      </c>
      <c r="K7" s="20">
        <f>41+60</f>
        <v>101</v>
      </c>
      <c r="L7" s="20">
        <f>25+60</f>
        <v>85</v>
      </c>
      <c r="M7" s="20">
        <f>37+60</f>
        <v>97</v>
      </c>
      <c r="N7" s="36">
        <f>60+21</f>
        <v>81</v>
      </c>
    </row>
    <row r="8" spans="2:14" x14ac:dyDescent="0.25">
      <c r="B8" s="14"/>
      <c r="C8" s="15">
        <v>5</v>
      </c>
      <c r="D8" s="18">
        <v>1.2268518518518518E-3</v>
      </c>
      <c r="E8" s="18">
        <v>1.1111111111111111E-3</v>
      </c>
      <c r="F8" s="18">
        <v>1.2962962962962963E-3</v>
      </c>
      <c r="G8" s="18">
        <v>8.3333333333333339E-4</v>
      </c>
      <c r="J8" s="15">
        <v>5</v>
      </c>
      <c r="K8" s="20">
        <f>46+60</f>
        <v>106</v>
      </c>
      <c r="L8" s="20">
        <f>36+60</f>
        <v>96</v>
      </c>
      <c r="M8" s="20">
        <f>52+60</f>
        <v>112</v>
      </c>
      <c r="N8" s="36">
        <f>(60+12)</f>
        <v>72</v>
      </c>
    </row>
    <row r="9" spans="2:14" x14ac:dyDescent="0.25">
      <c r="B9" s="14"/>
      <c r="C9" s="15">
        <v>6</v>
      </c>
      <c r="D9" s="18">
        <v>1.25E-3</v>
      </c>
      <c r="E9" s="18">
        <v>1.1689814814814816E-3</v>
      </c>
      <c r="F9" s="18">
        <v>1.6319444444444445E-3</v>
      </c>
      <c r="G9" s="18">
        <v>7.175925925925927E-4</v>
      </c>
      <c r="J9" s="15">
        <v>6</v>
      </c>
      <c r="K9" s="20">
        <f>48+60</f>
        <v>108</v>
      </c>
      <c r="L9" s="20">
        <f>41+60</f>
        <v>101</v>
      </c>
      <c r="M9" s="20">
        <f>21+(2*60)</f>
        <v>141</v>
      </c>
      <c r="N9" s="36">
        <f>60+2</f>
        <v>62</v>
      </c>
    </row>
    <row r="10" spans="2:14" x14ac:dyDescent="0.25">
      <c r="B10" s="14"/>
      <c r="C10" s="15">
        <v>7</v>
      </c>
      <c r="D10" s="18">
        <v>1.0532407407407407E-3</v>
      </c>
      <c r="E10" s="18">
        <v>1.3888888888888889E-3</v>
      </c>
      <c r="F10" s="18">
        <v>1.0879629629629629E-3</v>
      </c>
      <c r="G10" s="18">
        <v>1.2037037037037038E-3</v>
      </c>
      <c r="J10" s="15">
        <v>7</v>
      </c>
      <c r="K10" s="20">
        <f>31+60</f>
        <v>91</v>
      </c>
      <c r="L10" s="20">
        <f>2*60</f>
        <v>120</v>
      </c>
      <c r="M10" s="20">
        <f>34+60</f>
        <v>94</v>
      </c>
      <c r="N10" s="36">
        <f>60+44</f>
        <v>104</v>
      </c>
    </row>
    <row r="11" spans="2:14" x14ac:dyDescent="0.25">
      <c r="B11" s="14"/>
      <c r="C11" s="15">
        <v>8</v>
      </c>
      <c r="D11" s="18">
        <v>1.5856481481481479E-3</v>
      </c>
      <c r="E11" s="18">
        <v>1.8750000000000001E-3</v>
      </c>
      <c r="F11" s="18">
        <v>1.2962962962962963E-3</v>
      </c>
      <c r="G11" s="18">
        <v>9.1435185185185185E-4</v>
      </c>
      <c r="J11" s="15">
        <v>8</v>
      </c>
      <c r="K11" s="20">
        <f>17+(2*60)</f>
        <v>137</v>
      </c>
      <c r="L11" s="20">
        <f>42+(2*60)</f>
        <v>162</v>
      </c>
      <c r="M11" s="20">
        <f>52+60</f>
        <v>112</v>
      </c>
      <c r="N11" s="36">
        <f>60+19</f>
        <v>79</v>
      </c>
    </row>
    <row r="12" spans="2:14" x14ac:dyDescent="0.25">
      <c r="B12" s="14"/>
      <c r="C12" s="14"/>
      <c r="D12" s="18"/>
      <c r="E12" s="18"/>
      <c r="F12" s="18"/>
      <c r="G12" s="14"/>
      <c r="J12" s="14"/>
      <c r="K12" s="18"/>
      <c r="L12" s="18"/>
      <c r="M12" s="18"/>
      <c r="N12" s="36"/>
    </row>
    <row r="13" spans="2:14" x14ac:dyDescent="0.25">
      <c r="B13" s="14"/>
      <c r="C13" s="15" t="s">
        <v>21</v>
      </c>
      <c r="D13" s="18">
        <v>1.244212962962963E-3</v>
      </c>
      <c r="E13" s="18">
        <v>1.1689814814814816E-3</v>
      </c>
      <c r="F13" s="18">
        <v>1.1863425925925926E-3</v>
      </c>
      <c r="G13" s="18">
        <f>MEDIAN(G4:G11)</f>
        <v>9.0277777777777774E-4</v>
      </c>
      <c r="J13" s="14" t="s">
        <v>21</v>
      </c>
      <c r="K13" s="20">
        <f>MEDIAN(K4:K11)</f>
        <v>107.5</v>
      </c>
      <c r="L13" s="20">
        <f>MEDIAN(L4:L11)</f>
        <v>101</v>
      </c>
      <c r="M13" s="20">
        <f>MEDIAN(M4:M11)</f>
        <v>102.5</v>
      </c>
      <c r="N13" s="36">
        <f>MEDIAN(N4:N11)</f>
        <v>78</v>
      </c>
    </row>
    <row r="14" spans="2:14" x14ac:dyDescent="0.25">
      <c r="B14" s="14"/>
      <c r="C14" s="15"/>
      <c r="D14" s="14"/>
      <c r="E14" s="14"/>
      <c r="F14" s="14"/>
      <c r="G14" s="14"/>
    </row>
    <row r="16" spans="2:14" ht="18.75" x14ac:dyDescent="0.3">
      <c r="B16" s="17" t="s">
        <v>22</v>
      </c>
      <c r="C16" s="15" t="s">
        <v>17</v>
      </c>
      <c r="D16" s="16" t="s">
        <v>18</v>
      </c>
      <c r="E16" s="16" t="s">
        <v>19</v>
      </c>
      <c r="F16" s="16" t="s">
        <v>20</v>
      </c>
      <c r="G16" s="33" t="s">
        <v>45</v>
      </c>
      <c r="J16" s="15" t="s">
        <v>17</v>
      </c>
      <c r="K16" s="16" t="s">
        <v>18</v>
      </c>
      <c r="L16" s="16" t="s">
        <v>19</v>
      </c>
      <c r="M16" s="16" t="s">
        <v>20</v>
      </c>
      <c r="N16" s="33" t="s">
        <v>45</v>
      </c>
    </row>
    <row r="17" spans="2:14" x14ac:dyDescent="0.25">
      <c r="B17" s="14"/>
      <c r="C17" s="15">
        <v>1</v>
      </c>
      <c r="D17" s="18">
        <v>3.2210648148148148E-2</v>
      </c>
      <c r="E17" s="18">
        <v>2.6817129629629632E-2</v>
      </c>
      <c r="F17" s="18">
        <v>2.2361111111111113E-2</v>
      </c>
      <c r="G17" s="18">
        <v>2.5578703703703704E-2</v>
      </c>
      <c r="J17" s="15">
        <v>1</v>
      </c>
      <c r="K17" s="20">
        <f>23+(46*60)</f>
        <v>2783</v>
      </c>
      <c r="L17" s="20">
        <f>37+(38*60)</f>
        <v>2317</v>
      </c>
      <c r="M17" s="20">
        <f>12+(32*60)</f>
        <v>1932</v>
      </c>
      <c r="N17" s="36">
        <f>(60*36)+50</f>
        <v>2210</v>
      </c>
    </row>
    <row r="18" spans="2:14" x14ac:dyDescent="0.25">
      <c r="B18" s="14"/>
      <c r="C18" s="15">
        <v>2</v>
      </c>
      <c r="D18" s="18">
        <v>4.6342592592592595E-2</v>
      </c>
      <c r="E18" s="18">
        <v>2.1412037037037035E-2</v>
      </c>
      <c r="F18" s="18">
        <v>3.0821759259259257E-2</v>
      </c>
      <c r="G18" s="18">
        <v>3.2442129629629633E-2</v>
      </c>
      <c r="J18" s="15">
        <v>2</v>
      </c>
      <c r="K18" s="20">
        <f>44+(6*60)+(60*60)</f>
        <v>4004</v>
      </c>
      <c r="L18" s="20">
        <f>50+(30*60)</f>
        <v>1850</v>
      </c>
      <c r="M18" s="20">
        <f>23+(44*60)</f>
        <v>2663</v>
      </c>
      <c r="N18" s="36">
        <f>(46*60)+43</f>
        <v>2803</v>
      </c>
    </row>
    <row r="19" spans="2:14" x14ac:dyDescent="0.25">
      <c r="B19" s="14"/>
      <c r="C19" s="15">
        <v>3</v>
      </c>
      <c r="D19" s="18">
        <v>2.5011574074074075E-2</v>
      </c>
      <c r="E19" s="18">
        <v>3.6215277777777777E-2</v>
      </c>
      <c r="F19" s="18">
        <v>2.9537037037037039E-2</v>
      </c>
      <c r="G19" s="18">
        <v>2.9062500000000002E-2</v>
      </c>
      <c r="J19" s="15">
        <v>3</v>
      </c>
      <c r="K19" s="20">
        <f>1+(36*60)</f>
        <v>2161</v>
      </c>
      <c r="L19" s="20">
        <f>9+(52*60)</f>
        <v>3129</v>
      </c>
      <c r="M19" s="20">
        <f>32+(42*60)</f>
        <v>2552</v>
      </c>
      <c r="N19" s="36">
        <f>(41*60)+51</f>
        <v>2511</v>
      </c>
    </row>
    <row r="20" spans="2:14" x14ac:dyDescent="0.25">
      <c r="B20" s="14"/>
      <c r="C20" s="15">
        <v>4</v>
      </c>
      <c r="D20" s="18">
        <v>3.1273148148148147E-2</v>
      </c>
      <c r="E20" s="18">
        <v>2.6041666666666668E-2</v>
      </c>
      <c r="F20" s="18">
        <v>2.5787037037037039E-2</v>
      </c>
      <c r="G20" s="18">
        <v>3.4039351851851855E-2</v>
      </c>
      <c r="J20" s="15">
        <v>4</v>
      </c>
      <c r="K20" s="20">
        <f>2+(45*60)</f>
        <v>2702</v>
      </c>
      <c r="L20" s="20">
        <f>30+(37*60)</f>
        <v>2250</v>
      </c>
      <c r="M20" s="20">
        <f>8+(37*60)</f>
        <v>2228</v>
      </c>
      <c r="N20" s="36">
        <f>(49*60)+1</f>
        <v>2941</v>
      </c>
    </row>
    <row r="21" spans="2:14" x14ac:dyDescent="0.25">
      <c r="B21" s="14"/>
      <c r="C21" s="15">
        <v>5</v>
      </c>
      <c r="D21" s="18">
        <v>2.9710648148148149E-2</v>
      </c>
      <c r="E21" s="18">
        <v>4.594907407407408E-2</v>
      </c>
      <c r="F21" s="18">
        <v>3.7662037037037036E-2</v>
      </c>
      <c r="G21" s="18">
        <v>2.5474537037037035E-2</v>
      </c>
      <c r="J21" s="15">
        <v>5</v>
      </c>
      <c r="K21" s="20">
        <f>47+(42*60)</f>
        <v>2567</v>
      </c>
      <c r="L21" s="20">
        <f>10+(6*60)+(60*60)</f>
        <v>3970</v>
      </c>
      <c r="M21" s="20">
        <f>14+(54*60)</f>
        <v>3254</v>
      </c>
      <c r="N21" s="36">
        <f>(60*36)+41</f>
        <v>2201</v>
      </c>
    </row>
    <row r="22" spans="2:14" x14ac:dyDescent="0.25">
      <c r="B22" s="14"/>
      <c r="C22" s="15">
        <v>6</v>
      </c>
      <c r="D22" s="18">
        <v>4.1030092592592597E-2</v>
      </c>
      <c r="E22" s="18">
        <v>3.8032407407407411E-2</v>
      </c>
      <c r="F22" s="18">
        <v>2.6932870370370371E-2</v>
      </c>
      <c r="G22" s="18">
        <v>3.1747685185185184E-2</v>
      </c>
      <c r="J22" s="15">
        <v>6</v>
      </c>
      <c r="K22" s="20">
        <f>5+(59*60)</f>
        <v>3545</v>
      </c>
      <c r="L22" s="20">
        <f>46+(54*60)</f>
        <v>3286</v>
      </c>
      <c r="M22" s="20">
        <f>47+(38*60)</f>
        <v>2327</v>
      </c>
      <c r="N22" s="36">
        <f>(45*60)+43</f>
        <v>2743</v>
      </c>
    </row>
    <row r="23" spans="2:14" x14ac:dyDescent="0.25">
      <c r="B23" s="14"/>
      <c r="C23" s="15">
        <v>7</v>
      </c>
      <c r="D23" s="18">
        <v>4.2847222222222224E-2</v>
      </c>
      <c r="E23" s="18">
        <v>4.6990740740740743E-2</v>
      </c>
      <c r="F23" s="18">
        <v>2.9930555555555557E-2</v>
      </c>
      <c r="G23" s="18">
        <v>2.8310185185185185E-2</v>
      </c>
      <c r="J23" s="15">
        <v>7</v>
      </c>
      <c r="K23" s="20">
        <f>42+(1*60)+(60*60)</f>
        <v>3702</v>
      </c>
      <c r="L23" s="20">
        <f>40+(7*60)+(60*60)</f>
        <v>4060</v>
      </c>
      <c r="M23" s="20">
        <f>6+(43*60)</f>
        <v>2586</v>
      </c>
      <c r="N23" s="36">
        <f>(40*60)+46</f>
        <v>2446</v>
      </c>
    </row>
    <row r="24" spans="2:14" x14ac:dyDescent="0.25">
      <c r="B24" s="14"/>
      <c r="C24" s="15">
        <v>8</v>
      </c>
      <c r="D24" s="18">
        <v>3.3333333333333333E-2</v>
      </c>
      <c r="E24" s="18">
        <v>0.04</v>
      </c>
      <c r="F24" s="18">
        <v>2.3923611111111114E-2</v>
      </c>
      <c r="G24" s="18">
        <v>2.884259259259259E-2</v>
      </c>
      <c r="J24" s="15">
        <v>8</v>
      </c>
      <c r="K24" s="20">
        <f>48*60</f>
        <v>2880</v>
      </c>
      <c r="L24" s="20">
        <f>36+(57*60)</f>
        <v>3456</v>
      </c>
      <c r="M24" s="20">
        <f>27+(34*60)</f>
        <v>2067</v>
      </c>
      <c r="N24" s="36">
        <f>(41*60)+32</f>
        <v>2492</v>
      </c>
    </row>
    <row r="25" spans="2:14" x14ac:dyDescent="0.25">
      <c r="B25" s="14"/>
      <c r="C25" s="14"/>
      <c r="D25" s="18"/>
      <c r="E25" s="18"/>
      <c r="F25" s="18"/>
      <c r="G25" s="14"/>
      <c r="K25" s="20"/>
      <c r="L25" s="20"/>
      <c r="M25" s="20"/>
      <c r="N25" s="36"/>
    </row>
    <row r="26" spans="2:14" x14ac:dyDescent="0.25">
      <c r="B26" s="14"/>
      <c r="C26" s="15" t="s">
        <v>21</v>
      </c>
      <c r="D26" s="18">
        <v>3.277199074074074E-2</v>
      </c>
      <c r="E26" s="18">
        <v>3.712384259259259E-2</v>
      </c>
      <c r="F26" s="18">
        <v>2.8234953703703707E-2</v>
      </c>
      <c r="G26" s="18">
        <f>MEDIAN(G17:G24)</f>
        <v>2.8952546296296296E-2</v>
      </c>
      <c r="J26" s="14" t="s">
        <v>25</v>
      </c>
      <c r="K26" s="20">
        <f>MEDIAN(K17:K24)</f>
        <v>2831.5</v>
      </c>
      <c r="L26" s="20">
        <f>MEDIAN(L17:L24)</f>
        <v>3207.5</v>
      </c>
      <c r="M26" s="20">
        <f>MEDIAN(M17:M24)</f>
        <v>2439.5</v>
      </c>
      <c r="N26" s="36">
        <f>MEDIAN(N17:N24)</f>
        <v>2501.5</v>
      </c>
    </row>
    <row r="27" spans="2:14" x14ac:dyDescent="0.25">
      <c r="B27" s="14"/>
      <c r="C27" s="15"/>
      <c r="D27" s="14"/>
      <c r="E27" s="14"/>
      <c r="F27" s="14"/>
      <c r="G27" s="14"/>
      <c r="N27" s="36"/>
    </row>
  </sheetData>
  <pageMargins left="0.7" right="0.7" top="0.75" bottom="0.75" header="0.3" footer="0.3"/>
  <pageSetup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E20" sqref="E20"/>
    </sheetView>
  </sheetViews>
  <sheetFormatPr defaultRowHeight="15" x14ac:dyDescent="0.25"/>
  <cols>
    <col min="1" max="1" width="40.7109375" customWidth="1"/>
  </cols>
  <sheetData>
    <row r="2" spans="1:6" ht="18.75" x14ac:dyDescent="0.3">
      <c r="A2" s="34" t="s">
        <v>32</v>
      </c>
      <c r="B2" s="21"/>
      <c r="C2" s="21"/>
      <c r="D2" s="21"/>
      <c r="E2" s="21"/>
    </row>
    <row r="3" spans="1:6" ht="32.25" customHeight="1" x14ac:dyDescent="0.25">
      <c r="A3" s="24" t="s">
        <v>26</v>
      </c>
      <c r="B3" s="21"/>
      <c r="C3" s="21"/>
      <c r="D3" s="21"/>
      <c r="E3" s="21"/>
    </row>
    <row r="4" spans="1:6" x14ac:dyDescent="0.25">
      <c r="A4" s="21"/>
      <c r="B4" s="22" t="s">
        <v>17</v>
      </c>
      <c r="C4" s="23" t="s">
        <v>18</v>
      </c>
      <c r="D4" s="23" t="s">
        <v>19</v>
      </c>
      <c r="E4" s="23" t="s">
        <v>20</v>
      </c>
      <c r="F4" s="33" t="s">
        <v>45</v>
      </c>
    </row>
    <row r="5" spans="1:6" x14ac:dyDescent="0.25">
      <c r="A5" s="21"/>
      <c r="B5" s="22">
        <v>1</v>
      </c>
      <c r="C5" s="25">
        <v>39</v>
      </c>
      <c r="D5" s="25">
        <v>31</v>
      </c>
      <c r="E5" s="25">
        <v>27</v>
      </c>
      <c r="F5" s="36">
        <v>31</v>
      </c>
    </row>
    <row r="6" spans="1:6" x14ac:dyDescent="0.25">
      <c r="B6" s="22">
        <v>2</v>
      </c>
      <c r="C6" s="25">
        <v>53</v>
      </c>
      <c r="D6" s="25">
        <v>26</v>
      </c>
      <c r="E6" s="25">
        <v>36</v>
      </c>
      <c r="F6" s="36">
        <v>38</v>
      </c>
    </row>
    <row r="7" spans="1:6" x14ac:dyDescent="0.25">
      <c r="B7" s="22">
        <v>3</v>
      </c>
      <c r="C7" s="25">
        <v>30</v>
      </c>
      <c r="D7" s="25">
        <v>41</v>
      </c>
      <c r="E7" s="25">
        <v>37</v>
      </c>
      <c r="F7" s="36">
        <v>30</v>
      </c>
    </row>
    <row r="8" spans="1:6" x14ac:dyDescent="0.25">
      <c r="B8" s="22">
        <v>4</v>
      </c>
      <c r="C8" s="25">
        <v>38</v>
      </c>
      <c r="D8" s="25">
        <v>27</v>
      </c>
      <c r="E8" s="25">
        <v>21</v>
      </c>
      <c r="F8" s="36">
        <v>37</v>
      </c>
    </row>
    <row r="9" spans="1:6" x14ac:dyDescent="0.25">
      <c r="B9" s="22">
        <v>5</v>
      </c>
      <c r="C9" s="25">
        <v>33</v>
      </c>
      <c r="D9" s="25">
        <v>47</v>
      </c>
      <c r="E9" s="25">
        <v>45</v>
      </c>
      <c r="F9" s="36">
        <v>31</v>
      </c>
    </row>
    <row r="10" spans="1:6" x14ac:dyDescent="0.25">
      <c r="B10" s="22">
        <v>6</v>
      </c>
      <c r="C10" s="25">
        <v>43</v>
      </c>
      <c r="D10" s="25">
        <v>47</v>
      </c>
      <c r="E10" s="25">
        <v>22</v>
      </c>
      <c r="F10" s="36">
        <v>38</v>
      </c>
    </row>
    <row r="11" spans="1:6" x14ac:dyDescent="0.25">
      <c r="B11" s="22">
        <v>7</v>
      </c>
      <c r="C11" s="25">
        <v>44</v>
      </c>
      <c r="D11" s="25">
        <v>40</v>
      </c>
      <c r="E11" s="25">
        <v>25</v>
      </c>
      <c r="F11" s="36">
        <v>28</v>
      </c>
    </row>
    <row r="12" spans="1:6" x14ac:dyDescent="0.25">
      <c r="B12" s="22">
        <v>8</v>
      </c>
      <c r="C12" s="25">
        <v>30</v>
      </c>
      <c r="D12" s="25">
        <v>46</v>
      </c>
      <c r="E12" s="25">
        <v>26</v>
      </c>
      <c r="F12" s="36">
        <v>33</v>
      </c>
    </row>
    <row r="13" spans="1:6" x14ac:dyDescent="0.25">
      <c r="B13" s="21"/>
      <c r="C13" s="25"/>
      <c r="D13" s="25"/>
      <c r="E13" s="25"/>
    </row>
    <row r="14" spans="1:6" x14ac:dyDescent="0.25">
      <c r="B14" s="22" t="s">
        <v>21</v>
      </c>
      <c r="C14" s="25">
        <v>38.5</v>
      </c>
      <c r="D14" s="25">
        <v>40.5</v>
      </c>
      <c r="E14" s="25">
        <v>26.5</v>
      </c>
      <c r="F14" s="36">
        <f>MEDIAN(F5:F12)</f>
        <v>32</v>
      </c>
    </row>
    <row r="15" spans="1:6" x14ac:dyDescent="0.25">
      <c r="B15" s="22"/>
      <c r="C15" s="21"/>
      <c r="D15" s="21"/>
      <c r="E15" s="21"/>
    </row>
    <row r="16" spans="1:6" x14ac:dyDescent="0.25">
      <c r="B16" s="21"/>
      <c r="C16" s="21"/>
      <c r="D16" s="21"/>
      <c r="E16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tabSelected="1" workbookViewId="0">
      <selection activeCell="E38" sqref="E38"/>
    </sheetView>
  </sheetViews>
  <sheetFormatPr defaultRowHeight="15" x14ac:dyDescent="0.25"/>
  <cols>
    <col min="1" max="1" width="69.85546875" customWidth="1"/>
  </cols>
  <sheetData>
    <row r="2" spans="1:11" ht="18.75" x14ac:dyDescent="0.3">
      <c r="A2" s="29" t="s">
        <v>27</v>
      </c>
      <c r="B2" s="26"/>
      <c r="C2" s="26"/>
      <c r="D2" s="26"/>
      <c r="E2" s="26"/>
    </row>
    <row r="3" spans="1:11" ht="31.5" customHeight="1" x14ac:dyDescent="0.25">
      <c r="A3" s="35" t="s">
        <v>28</v>
      </c>
      <c r="B3" s="26"/>
      <c r="C3" s="26"/>
      <c r="D3" s="26"/>
      <c r="E3" s="26"/>
    </row>
    <row r="4" spans="1:11" x14ac:dyDescent="0.25">
      <c r="A4" s="26"/>
      <c r="B4" s="27" t="s">
        <v>17</v>
      </c>
      <c r="C4" s="28" t="s">
        <v>18</v>
      </c>
      <c r="D4" s="28" t="s">
        <v>19</v>
      </c>
      <c r="E4" s="28" t="s">
        <v>20</v>
      </c>
      <c r="F4" s="33" t="s">
        <v>45</v>
      </c>
    </row>
    <row r="5" spans="1:11" x14ac:dyDescent="0.25">
      <c r="A5" s="26"/>
      <c r="B5" s="27">
        <v>1</v>
      </c>
      <c r="C5" s="30">
        <v>0</v>
      </c>
      <c r="D5" s="30">
        <v>0</v>
      </c>
      <c r="E5" s="30">
        <v>1</v>
      </c>
      <c r="F5" s="36">
        <v>11</v>
      </c>
      <c r="H5" s="36"/>
      <c r="I5" s="36"/>
      <c r="J5" s="36">
        <v>1</v>
      </c>
      <c r="K5" s="36">
        <v>11</v>
      </c>
    </row>
    <row r="6" spans="1:11" x14ac:dyDescent="0.25">
      <c r="A6" s="26"/>
      <c r="B6" s="27">
        <v>2</v>
      </c>
      <c r="C6" s="30">
        <v>0</v>
      </c>
      <c r="D6" s="30">
        <v>0</v>
      </c>
      <c r="E6" s="30">
        <v>13</v>
      </c>
      <c r="F6" s="36">
        <v>30</v>
      </c>
      <c r="H6" s="36"/>
      <c r="I6" s="36"/>
      <c r="J6" s="36">
        <v>13</v>
      </c>
      <c r="K6" s="36">
        <v>30</v>
      </c>
    </row>
    <row r="7" spans="1:11" x14ac:dyDescent="0.25">
      <c r="A7" s="26"/>
      <c r="B7" s="27">
        <v>3</v>
      </c>
      <c r="C7" s="30">
        <v>0</v>
      </c>
      <c r="D7" s="30">
        <v>6</v>
      </c>
      <c r="E7" s="30">
        <v>17</v>
      </c>
      <c r="F7" s="36">
        <v>0</v>
      </c>
      <c r="H7" s="36"/>
      <c r="I7" s="36">
        <v>6</v>
      </c>
      <c r="J7" s="36">
        <v>17</v>
      </c>
      <c r="K7" s="36"/>
    </row>
    <row r="8" spans="1:11" x14ac:dyDescent="0.25">
      <c r="A8" s="26"/>
      <c r="B8" s="27">
        <v>4</v>
      </c>
      <c r="C8" s="30">
        <v>0</v>
      </c>
      <c r="D8" s="30">
        <v>1</v>
      </c>
      <c r="E8" s="30">
        <v>0</v>
      </c>
      <c r="F8" s="36">
        <v>26</v>
      </c>
      <c r="H8" s="36"/>
      <c r="I8" s="36">
        <v>1</v>
      </c>
      <c r="J8" s="36"/>
      <c r="K8" s="36">
        <v>26</v>
      </c>
    </row>
    <row r="9" spans="1:11" x14ac:dyDescent="0.25">
      <c r="A9" s="26"/>
      <c r="B9" s="27">
        <v>5</v>
      </c>
      <c r="C9" s="30">
        <v>0</v>
      </c>
      <c r="D9" s="30">
        <v>13</v>
      </c>
      <c r="E9" s="30">
        <v>9</v>
      </c>
      <c r="F9" s="36">
        <v>13</v>
      </c>
      <c r="H9" s="36"/>
      <c r="I9" s="36">
        <v>13</v>
      </c>
      <c r="J9" s="36">
        <v>9</v>
      </c>
      <c r="K9" s="36">
        <v>13</v>
      </c>
    </row>
    <row r="10" spans="1:11" x14ac:dyDescent="0.25">
      <c r="A10" s="26"/>
      <c r="B10" s="27">
        <v>6</v>
      </c>
      <c r="C10" s="30">
        <v>0</v>
      </c>
      <c r="D10" s="30">
        <v>10</v>
      </c>
      <c r="E10" s="30">
        <v>0</v>
      </c>
      <c r="F10" s="36">
        <v>20</v>
      </c>
      <c r="H10" s="36"/>
      <c r="I10" s="36">
        <v>10</v>
      </c>
      <c r="J10" s="36"/>
      <c r="K10" s="36">
        <v>20</v>
      </c>
    </row>
    <row r="11" spans="1:11" x14ac:dyDescent="0.25">
      <c r="A11" s="26"/>
      <c r="B11" s="27">
        <v>7</v>
      </c>
      <c r="C11" s="30">
        <v>9</v>
      </c>
      <c r="D11" s="30">
        <v>2</v>
      </c>
      <c r="E11" s="30">
        <v>0</v>
      </c>
      <c r="F11" s="36">
        <v>0</v>
      </c>
      <c r="H11" s="36">
        <v>9</v>
      </c>
      <c r="I11" s="36">
        <v>2</v>
      </c>
      <c r="J11" s="36"/>
      <c r="K11" s="36"/>
    </row>
    <row r="12" spans="1:11" x14ac:dyDescent="0.25">
      <c r="A12" s="26"/>
      <c r="B12" s="27">
        <v>8</v>
      </c>
      <c r="C12" s="30">
        <v>0</v>
      </c>
      <c r="D12" s="30">
        <v>0</v>
      </c>
      <c r="E12" s="30">
        <v>0</v>
      </c>
      <c r="F12" s="36">
        <v>13</v>
      </c>
      <c r="H12" s="36"/>
      <c r="I12" s="36"/>
      <c r="J12" s="36"/>
      <c r="K12" s="36">
        <v>13</v>
      </c>
    </row>
    <row r="13" spans="1:11" x14ac:dyDescent="0.25">
      <c r="A13" s="26"/>
      <c r="B13" s="27"/>
      <c r="C13" s="30"/>
      <c r="D13" s="30"/>
      <c r="E13" s="30"/>
    </row>
    <row r="14" spans="1:11" x14ac:dyDescent="0.25">
      <c r="A14" s="26"/>
      <c r="B14" s="44" t="s">
        <v>48</v>
      </c>
      <c r="C14" s="36">
        <f>AVERAGE(C5:C12)</f>
        <v>1.125</v>
      </c>
      <c r="D14" s="36">
        <f>AVERAGE(D5:D12)</f>
        <v>4</v>
      </c>
      <c r="E14" s="36">
        <f>AVERAGE(E5:E12)</f>
        <v>5</v>
      </c>
      <c r="F14" s="36">
        <f>AVERAGE(F5:F12)</f>
        <v>14.125</v>
      </c>
      <c r="H14" s="36">
        <f>MEDIAN(H11)</f>
        <v>9</v>
      </c>
      <c r="I14" s="36">
        <f>MEDIAN(I7:I11)</f>
        <v>6</v>
      </c>
      <c r="J14" s="36">
        <f>MEDIAN(J5:J9)</f>
        <v>11</v>
      </c>
      <c r="K14" s="36">
        <f>MEDIAN(K5:K12)</f>
        <v>16.5</v>
      </c>
    </row>
    <row r="15" spans="1:11" x14ac:dyDescent="0.25">
      <c r="A15" s="26"/>
      <c r="B15" s="27"/>
      <c r="C15" s="26"/>
      <c r="D15" s="26"/>
      <c r="E15" s="26"/>
    </row>
    <row r="16" spans="1:11" ht="18.75" x14ac:dyDescent="0.3">
      <c r="A16" s="34" t="s">
        <v>29</v>
      </c>
      <c r="B16" s="31"/>
      <c r="C16" s="31"/>
      <c r="D16" s="31"/>
      <c r="E16" s="31"/>
    </row>
    <row r="17" spans="1:6" ht="30" x14ac:dyDescent="0.25">
      <c r="A17" s="35" t="s">
        <v>30</v>
      </c>
      <c r="B17" s="31"/>
      <c r="C17" s="31"/>
      <c r="D17" s="31"/>
      <c r="E17" s="31"/>
    </row>
    <row r="18" spans="1:6" x14ac:dyDescent="0.25">
      <c r="A18" s="76" t="s">
        <v>31</v>
      </c>
      <c r="B18" s="32" t="s">
        <v>17</v>
      </c>
      <c r="C18" s="33" t="s">
        <v>18</v>
      </c>
      <c r="D18" s="33" t="s">
        <v>19</v>
      </c>
      <c r="E18" s="33" t="s">
        <v>20</v>
      </c>
      <c r="F18" s="33" t="s">
        <v>45</v>
      </c>
    </row>
    <row r="19" spans="1:6" x14ac:dyDescent="0.25">
      <c r="A19" s="77"/>
      <c r="B19" s="32">
        <v>1</v>
      </c>
      <c r="C19" s="36">
        <v>0</v>
      </c>
      <c r="D19" s="36">
        <v>3</v>
      </c>
      <c r="E19" s="36">
        <v>1</v>
      </c>
      <c r="F19" s="36">
        <v>14</v>
      </c>
    </row>
    <row r="20" spans="1:6" x14ac:dyDescent="0.25">
      <c r="A20" s="77"/>
      <c r="B20" s="32">
        <v>2</v>
      </c>
      <c r="C20" s="36">
        <v>2</v>
      </c>
      <c r="D20" s="36">
        <v>0</v>
      </c>
      <c r="E20" s="36">
        <v>15</v>
      </c>
      <c r="F20" s="36">
        <v>30</v>
      </c>
    </row>
    <row r="21" spans="1:6" x14ac:dyDescent="0.25">
      <c r="A21" s="31"/>
      <c r="B21" s="32">
        <v>3</v>
      </c>
      <c r="C21" s="36">
        <v>0</v>
      </c>
      <c r="D21" s="36">
        <v>9</v>
      </c>
      <c r="E21" s="36">
        <v>23</v>
      </c>
      <c r="F21" s="36">
        <v>2</v>
      </c>
    </row>
    <row r="22" spans="1:6" x14ac:dyDescent="0.25">
      <c r="A22" s="31"/>
      <c r="B22" s="32">
        <v>4</v>
      </c>
      <c r="C22" s="36">
        <v>1</v>
      </c>
      <c r="D22" s="36">
        <v>3</v>
      </c>
      <c r="E22" s="36">
        <v>1</v>
      </c>
      <c r="F22" s="36">
        <v>29</v>
      </c>
    </row>
    <row r="23" spans="1:6" x14ac:dyDescent="0.25">
      <c r="A23" s="31"/>
      <c r="B23" s="32">
        <v>5</v>
      </c>
      <c r="C23" s="36">
        <v>1</v>
      </c>
      <c r="D23" s="36">
        <v>15</v>
      </c>
      <c r="E23" s="36">
        <v>12</v>
      </c>
      <c r="F23" s="36">
        <v>18</v>
      </c>
    </row>
    <row r="24" spans="1:6" x14ac:dyDescent="0.25">
      <c r="A24" s="31"/>
      <c r="B24" s="32">
        <v>6</v>
      </c>
      <c r="C24" s="36">
        <v>2</v>
      </c>
      <c r="D24" s="36">
        <v>12</v>
      </c>
      <c r="E24" s="36">
        <v>6</v>
      </c>
      <c r="F24" s="36">
        <v>22</v>
      </c>
    </row>
    <row r="25" spans="1:6" x14ac:dyDescent="0.25">
      <c r="A25" s="31"/>
      <c r="B25" s="32">
        <v>7</v>
      </c>
      <c r="C25" s="36">
        <v>11</v>
      </c>
      <c r="D25" s="36">
        <v>7</v>
      </c>
      <c r="E25" s="36">
        <v>3</v>
      </c>
      <c r="F25" s="36">
        <v>0</v>
      </c>
    </row>
    <row r="26" spans="1:6" x14ac:dyDescent="0.25">
      <c r="A26" s="31"/>
      <c r="B26" s="32">
        <v>8</v>
      </c>
      <c r="C26" s="36">
        <v>0</v>
      </c>
      <c r="D26" s="36">
        <v>4</v>
      </c>
      <c r="E26" s="36">
        <v>0</v>
      </c>
      <c r="F26" s="36">
        <v>15</v>
      </c>
    </row>
    <row r="27" spans="1:6" x14ac:dyDescent="0.25">
      <c r="A27" s="31"/>
      <c r="B27" s="32"/>
      <c r="C27" s="36"/>
      <c r="D27" s="36"/>
      <c r="E27" s="36"/>
    </row>
    <row r="28" spans="1:6" x14ac:dyDescent="0.25">
      <c r="A28" s="31"/>
      <c r="B28" s="44" t="s">
        <v>48</v>
      </c>
      <c r="C28" s="36">
        <f>AVERAGE(C19:C26)</f>
        <v>2.125</v>
      </c>
      <c r="D28" s="36">
        <f>AVERAGE(D19:D26)</f>
        <v>6.625</v>
      </c>
      <c r="E28" s="36">
        <f>AVERAGE(E19:E26)</f>
        <v>7.625</v>
      </c>
      <c r="F28" s="36">
        <f>AVERAGE(F19:F26)</f>
        <v>16.25</v>
      </c>
    </row>
  </sheetData>
  <mergeCells count="1">
    <mergeCell ref="A18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Body weights</vt:lpstr>
      <vt:lpstr>Body wt changes</vt:lpstr>
      <vt:lpstr>Times to righting loss-returns</vt:lpstr>
      <vt:lpstr>Minutes immobilized</vt:lpstr>
      <vt:lpstr>Toe pinch</vt:lpstr>
    </vt:vector>
  </TitlesOfParts>
  <Company>Columbia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Urshulaa</dc:creator>
  <cp:lastModifiedBy>Stuart C. Clark-Price</cp:lastModifiedBy>
  <dcterms:created xsi:type="dcterms:W3CDTF">2016-03-16T00:32:06Z</dcterms:created>
  <dcterms:modified xsi:type="dcterms:W3CDTF">2017-09-06T18:29:41Z</dcterms:modified>
</cp:coreProperties>
</file>