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_UBGB100_ALL\AG_Feussner\fbrodhu\JA Production\2nd Revision\"/>
    </mc:Choice>
  </mc:AlternateContent>
  <bookViews>
    <workbookView xWindow="0" yWindow="0" windowWidth="19005" windowHeight="10920"/>
  </bookViews>
  <sheets>
    <sheet name="Figure_2" sheetId="1" r:id="rId1"/>
    <sheet name="Table_1" sheetId="3" r:id="rId2"/>
    <sheet name="Table_2-5" sheetId="4" r:id="rId3"/>
    <sheet name="Phytohormones_raw dat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4" l="1"/>
  <c r="Q12" i="4"/>
  <c r="P12" i="4"/>
  <c r="O12" i="4"/>
  <c r="R11" i="4"/>
  <c r="Q11" i="4"/>
  <c r="P11" i="4"/>
  <c r="O11" i="4"/>
  <c r="H13" i="4"/>
  <c r="H12" i="4"/>
  <c r="F12" i="4"/>
  <c r="E12" i="4"/>
  <c r="D12" i="4"/>
  <c r="C12" i="4"/>
  <c r="H11" i="4"/>
  <c r="L7" i="4"/>
  <c r="J7" i="4"/>
  <c r="H7" i="4"/>
  <c r="L6" i="4"/>
  <c r="J6" i="4"/>
  <c r="H6" i="4"/>
  <c r="L5" i="4"/>
  <c r="J5" i="4"/>
  <c r="H5" i="4"/>
  <c r="I11" i="3" l="1"/>
  <c r="H11" i="3"/>
  <c r="F11" i="3"/>
  <c r="E11" i="3"/>
  <c r="I8" i="3"/>
  <c r="H8" i="3"/>
  <c r="F8" i="3"/>
  <c r="E8" i="3"/>
  <c r="I5" i="3"/>
  <c r="H5" i="3"/>
  <c r="F5" i="3"/>
  <c r="E5" i="3"/>
  <c r="I2" i="3"/>
  <c r="H2" i="3"/>
  <c r="F2" i="3"/>
  <c r="E2" i="3"/>
  <c r="AI37" i="2" l="1"/>
  <c r="AM53" i="2" l="1"/>
  <c r="AM52" i="2"/>
  <c r="AM51" i="2"/>
  <c r="AM50" i="2"/>
  <c r="AM49" i="2"/>
  <c r="AM54" i="2"/>
  <c r="AM44" i="2"/>
  <c r="BR33" i="2" l="1"/>
  <c r="BR32" i="2"/>
  <c r="BU48" i="2"/>
  <c r="BR48" i="2"/>
  <c r="BO48" i="2"/>
  <c r="BK48" i="2"/>
  <c r="BG48" i="2"/>
  <c r="BC48" i="2"/>
  <c r="AZ48" i="2"/>
  <c r="AW48" i="2"/>
  <c r="AS48" i="2"/>
  <c r="AP48" i="2"/>
  <c r="AM48" i="2"/>
  <c r="AI48" i="2"/>
  <c r="BU47" i="2"/>
  <c r="BR47" i="2"/>
  <c r="BO47" i="2"/>
  <c r="BK47" i="2"/>
  <c r="BG47" i="2"/>
  <c r="BC47" i="2"/>
  <c r="AZ47" i="2"/>
  <c r="AW47" i="2"/>
  <c r="AS47" i="2"/>
  <c r="AP47" i="2"/>
  <c r="AM47" i="2"/>
  <c r="AI47" i="2"/>
  <c r="BU46" i="2"/>
  <c r="BR46" i="2"/>
  <c r="BO46" i="2"/>
  <c r="BK46" i="2"/>
  <c r="BG46" i="2"/>
  <c r="BC46" i="2"/>
  <c r="AZ46" i="2"/>
  <c r="AW46" i="2"/>
  <c r="AS46" i="2"/>
  <c r="AP46" i="2"/>
  <c r="AM46" i="2"/>
  <c r="AI46" i="2"/>
  <c r="BU45" i="2"/>
  <c r="BR45" i="2"/>
  <c r="BO45" i="2"/>
  <c r="BK45" i="2"/>
  <c r="BG45" i="2"/>
  <c r="BC45" i="2"/>
  <c r="AZ45" i="2"/>
  <c r="AW45" i="2"/>
  <c r="AS45" i="2"/>
  <c r="AP45" i="2"/>
  <c r="AM45" i="2"/>
  <c r="AI45" i="2"/>
  <c r="BU44" i="2"/>
  <c r="BR44" i="2"/>
  <c r="BO44" i="2"/>
  <c r="BK44" i="2"/>
  <c r="BG44" i="2"/>
  <c r="BC44" i="2"/>
  <c r="AZ44" i="2"/>
  <c r="AW44" i="2"/>
  <c r="AS44" i="2"/>
  <c r="AP44" i="2"/>
  <c r="AI44" i="2"/>
  <c r="BU43" i="2"/>
  <c r="BR43" i="2"/>
  <c r="BO43" i="2"/>
  <c r="BK43" i="2"/>
  <c r="BG43" i="2"/>
  <c r="BC43" i="2"/>
  <c r="AZ43" i="2"/>
  <c r="AW43" i="2"/>
  <c r="AS43" i="2"/>
  <c r="AP43" i="2"/>
  <c r="AM43" i="2"/>
  <c r="AI43" i="2"/>
  <c r="BU36" i="2"/>
  <c r="BR36" i="2"/>
  <c r="BO36" i="2"/>
  <c r="BK36" i="2"/>
  <c r="BG36" i="2"/>
  <c r="BC36" i="2"/>
  <c r="AZ36" i="2"/>
  <c r="AW36" i="2"/>
  <c r="AS36" i="2"/>
  <c r="AP36" i="2"/>
  <c r="AM36" i="2"/>
  <c r="AI36" i="2"/>
  <c r="BU35" i="2"/>
  <c r="BR35" i="2"/>
  <c r="BO35" i="2"/>
  <c r="BK35" i="2"/>
  <c r="BG35" i="2"/>
  <c r="BC35" i="2"/>
  <c r="AZ35" i="2"/>
  <c r="AW35" i="2"/>
  <c r="AS35" i="2"/>
  <c r="AP35" i="2"/>
  <c r="AM35" i="2"/>
  <c r="AI35" i="2"/>
  <c r="BU34" i="2"/>
  <c r="BR34" i="2"/>
  <c r="BO34" i="2"/>
  <c r="BK34" i="2"/>
  <c r="BG34" i="2"/>
  <c r="BC34" i="2"/>
  <c r="AZ34" i="2"/>
  <c r="AW34" i="2"/>
  <c r="AS34" i="2"/>
  <c r="AP34" i="2"/>
  <c r="AM34" i="2"/>
  <c r="AI34" i="2"/>
  <c r="AW26" i="2"/>
  <c r="AW22" i="2"/>
  <c r="AW23" i="2"/>
  <c r="AW24" i="2"/>
  <c r="AW25" i="2"/>
  <c r="AW21" i="2"/>
  <c r="AM22" i="2"/>
  <c r="AM23" i="2"/>
  <c r="AM24" i="2"/>
  <c r="AM25" i="2"/>
  <c r="AM21" i="2"/>
  <c r="AM20" i="2"/>
  <c r="BU25" i="2"/>
  <c r="BR25" i="2"/>
  <c r="BO25" i="2"/>
  <c r="BK25" i="2"/>
  <c r="BG25" i="2"/>
  <c r="BC25" i="2"/>
  <c r="AZ25" i="2"/>
  <c r="AS25" i="2"/>
  <c r="AP25" i="2"/>
  <c r="AI25" i="2"/>
  <c r="BU24" i="2"/>
  <c r="BR24" i="2"/>
  <c r="BO24" i="2"/>
  <c r="BK24" i="2"/>
  <c r="BG24" i="2"/>
  <c r="BC24" i="2"/>
  <c r="AZ24" i="2"/>
  <c r="AS24" i="2"/>
  <c r="AP24" i="2"/>
  <c r="AI24" i="2"/>
  <c r="BU23" i="2"/>
  <c r="BR23" i="2"/>
  <c r="BO23" i="2"/>
  <c r="BK23" i="2"/>
  <c r="BG23" i="2"/>
  <c r="BC23" i="2"/>
  <c r="AZ23" i="2"/>
  <c r="AS23" i="2"/>
  <c r="AP23" i="2"/>
  <c r="AI23" i="2"/>
  <c r="BU22" i="2"/>
  <c r="BR22" i="2"/>
  <c r="BO22" i="2"/>
  <c r="BK22" i="2"/>
  <c r="BG22" i="2"/>
  <c r="BC22" i="2"/>
  <c r="AZ22" i="2"/>
  <c r="AS22" i="2"/>
  <c r="AP22" i="2"/>
  <c r="AI22" i="2"/>
  <c r="BU21" i="2"/>
  <c r="BR21" i="2"/>
  <c r="BO21" i="2"/>
  <c r="BK21" i="2"/>
  <c r="BG21" i="2"/>
  <c r="BC21" i="2"/>
  <c r="AZ21" i="2"/>
  <c r="AS21" i="2"/>
  <c r="AP21" i="2"/>
  <c r="AI21" i="2"/>
  <c r="AW40" i="2"/>
  <c r="AW41" i="2"/>
  <c r="AW42" i="2"/>
  <c r="AW49" i="2"/>
  <c r="AW50" i="2"/>
  <c r="AW51" i="2"/>
  <c r="AW52" i="2"/>
  <c r="AW53" i="2"/>
  <c r="AW54" i="2"/>
  <c r="AW56" i="2"/>
  <c r="AW57" i="2"/>
  <c r="AW58" i="2"/>
  <c r="AW60" i="2"/>
  <c r="AW61" i="2"/>
  <c r="AW27" i="2"/>
  <c r="AW28" i="2"/>
  <c r="AW29" i="2"/>
  <c r="AW30" i="2"/>
  <c r="AW31" i="2"/>
  <c r="AW32" i="2"/>
  <c r="AW33" i="2"/>
  <c r="AW37" i="2"/>
  <c r="AW38" i="2"/>
  <c r="AW39" i="2"/>
  <c r="AM11" i="2"/>
  <c r="AM12" i="2"/>
  <c r="AM13" i="2"/>
  <c r="AM14" i="2"/>
  <c r="AW9" i="2"/>
  <c r="AW10" i="2"/>
  <c r="AW11" i="2"/>
  <c r="AW12" i="2"/>
  <c r="AW13" i="2"/>
  <c r="AW14" i="2"/>
  <c r="BU14" i="2"/>
  <c r="BR14" i="2"/>
  <c r="BO14" i="2"/>
  <c r="BK14" i="2"/>
  <c r="BG14" i="2"/>
  <c r="BC14" i="2"/>
  <c r="AZ14" i="2"/>
  <c r="AS14" i="2"/>
  <c r="AP14" i="2"/>
  <c r="AI14" i="2"/>
  <c r="BU13" i="2"/>
  <c r="BR13" i="2"/>
  <c r="BO13" i="2"/>
  <c r="BK13" i="2"/>
  <c r="BG13" i="2"/>
  <c r="BC13" i="2"/>
  <c r="AZ13" i="2"/>
  <c r="AS13" i="2"/>
  <c r="AP13" i="2"/>
  <c r="AI13" i="2"/>
  <c r="BU12" i="2"/>
  <c r="BR12" i="2"/>
  <c r="BO12" i="2"/>
  <c r="BK12" i="2"/>
  <c r="BG12" i="2"/>
  <c r="BC12" i="2"/>
  <c r="AZ12" i="2"/>
  <c r="AS12" i="2"/>
  <c r="AP12" i="2"/>
  <c r="AI12" i="2"/>
  <c r="BU11" i="2"/>
  <c r="BR11" i="2"/>
  <c r="BO11" i="2"/>
  <c r="BK11" i="2"/>
  <c r="BG11" i="2"/>
  <c r="BC11" i="2"/>
  <c r="AZ11" i="2"/>
  <c r="AS11" i="2"/>
  <c r="AP11" i="2"/>
  <c r="AI11" i="2"/>
  <c r="AM7" i="2"/>
  <c r="AM8" i="2"/>
  <c r="AM9" i="2"/>
  <c r="AM10" i="2"/>
  <c r="AM15" i="2"/>
  <c r="AM16" i="2"/>
  <c r="AM17" i="2"/>
  <c r="AM18" i="2"/>
  <c r="AM19" i="2"/>
  <c r="AM26" i="2"/>
  <c r="AM27" i="2"/>
  <c r="AM28" i="2"/>
  <c r="AM29" i="2"/>
  <c r="AM30" i="2"/>
  <c r="AM31" i="2"/>
  <c r="AM32" i="2"/>
  <c r="AM33" i="2"/>
  <c r="AM37" i="2"/>
  <c r="AM38" i="2"/>
  <c r="AM39" i="2"/>
  <c r="AM40" i="2"/>
  <c r="AM41" i="2"/>
  <c r="AM42" i="2"/>
  <c r="AM56" i="2"/>
  <c r="AM57" i="2"/>
  <c r="AM58" i="2"/>
  <c r="AM60" i="2"/>
  <c r="AM61" i="2"/>
  <c r="BG61" i="2"/>
  <c r="BK61" i="2" s="1"/>
  <c r="BC61" i="2"/>
  <c r="AS61" i="2"/>
  <c r="AZ61" i="2" s="1"/>
  <c r="AP61" i="2"/>
  <c r="AI61" i="2"/>
  <c r="BG60" i="2"/>
  <c r="BK60" i="2" s="1"/>
  <c r="BC60" i="2"/>
  <c r="AS60" i="2"/>
  <c r="AZ60" i="2" s="1"/>
  <c r="AP60" i="2"/>
  <c r="AI60" i="2"/>
  <c r="BG58" i="2"/>
  <c r="BK58" i="2" s="1"/>
  <c r="BC58" i="2"/>
  <c r="AS58" i="2"/>
  <c r="AZ58" i="2" s="1"/>
  <c r="AP58" i="2"/>
  <c r="AI58" i="2"/>
  <c r="BG57" i="2"/>
  <c r="BK57" i="2" s="1"/>
  <c r="BC57" i="2"/>
  <c r="AS57" i="2"/>
  <c r="AZ57" i="2" s="1"/>
  <c r="AP57" i="2"/>
  <c r="AI57" i="2"/>
  <c r="BG56" i="2"/>
  <c r="BK56" i="2" s="1"/>
  <c r="BC56" i="2"/>
  <c r="AS56" i="2"/>
  <c r="BR56" i="2" s="1"/>
  <c r="AP56" i="2"/>
  <c r="AI56" i="2"/>
  <c r="BO60" i="2" l="1"/>
  <c r="BU60" i="2"/>
  <c r="BU61" i="2"/>
  <c r="BO61" i="2"/>
  <c r="BR60" i="2"/>
  <c r="BR61" i="2"/>
  <c r="BO56" i="2"/>
  <c r="BU56" i="2"/>
  <c r="AZ56" i="2"/>
  <c r="BU58" i="2"/>
  <c r="BO58" i="2"/>
  <c r="BO57" i="2"/>
  <c r="BU57" i="2"/>
  <c r="BR57" i="2"/>
  <c r="BR58" i="2"/>
  <c r="BU54" i="2" l="1"/>
  <c r="BR54" i="2"/>
  <c r="BO54" i="2"/>
  <c r="BK54" i="2"/>
  <c r="BG54" i="2"/>
  <c r="BC54" i="2"/>
  <c r="AZ54" i="2"/>
  <c r="AS54" i="2"/>
  <c r="AP54" i="2"/>
  <c r="AI54" i="2"/>
  <c r="BU53" i="2"/>
  <c r="BR53" i="2"/>
  <c r="BO53" i="2"/>
  <c r="BK53" i="2"/>
  <c r="BG53" i="2"/>
  <c r="BC53" i="2"/>
  <c r="AZ53" i="2"/>
  <c r="AS53" i="2"/>
  <c r="AP53" i="2"/>
  <c r="AI53" i="2"/>
  <c r="BU52" i="2"/>
  <c r="BR52" i="2"/>
  <c r="BO52" i="2"/>
  <c r="BK52" i="2"/>
  <c r="BG52" i="2"/>
  <c r="BC52" i="2"/>
  <c r="AZ52" i="2"/>
  <c r="AS52" i="2"/>
  <c r="AP52" i="2"/>
  <c r="AI52" i="2"/>
  <c r="BU51" i="2"/>
  <c r="BR51" i="2"/>
  <c r="BO51" i="2"/>
  <c r="BK51" i="2"/>
  <c r="BG51" i="2"/>
  <c r="BC51" i="2"/>
  <c r="AZ51" i="2"/>
  <c r="AS51" i="2"/>
  <c r="AP51" i="2"/>
  <c r="AI51" i="2"/>
  <c r="BU50" i="2"/>
  <c r="BR50" i="2"/>
  <c r="BO50" i="2"/>
  <c r="BK50" i="2"/>
  <c r="BG50" i="2"/>
  <c r="BC50" i="2"/>
  <c r="AZ50" i="2"/>
  <c r="AS50" i="2"/>
  <c r="AP50" i="2"/>
  <c r="AI50" i="2"/>
  <c r="BU49" i="2"/>
  <c r="BR49" i="2"/>
  <c r="BO49" i="2"/>
  <c r="BK49" i="2"/>
  <c r="BG49" i="2"/>
  <c r="BC49" i="2"/>
  <c r="AZ49" i="2"/>
  <c r="AS49" i="2"/>
  <c r="AP49" i="2"/>
  <c r="AI49" i="2"/>
  <c r="BU42" i="2"/>
  <c r="BR42" i="2"/>
  <c r="BO42" i="2"/>
  <c r="BK42" i="2"/>
  <c r="BG42" i="2"/>
  <c r="BC42" i="2"/>
  <c r="AZ42" i="2"/>
  <c r="AS42" i="2"/>
  <c r="AP42" i="2"/>
  <c r="AI42" i="2"/>
  <c r="BU41" i="2"/>
  <c r="BR41" i="2"/>
  <c r="BO41" i="2"/>
  <c r="BK41" i="2"/>
  <c r="BG41" i="2"/>
  <c r="BC41" i="2"/>
  <c r="AZ41" i="2"/>
  <c r="AS41" i="2"/>
  <c r="AP41" i="2"/>
  <c r="AI41" i="2"/>
  <c r="BU40" i="2"/>
  <c r="BR40" i="2"/>
  <c r="BO40" i="2"/>
  <c r="BK40" i="2"/>
  <c r="BG40" i="2"/>
  <c r="BC40" i="2"/>
  <c r="AZ40" i="2"/>
  <c r="AS40" i="2"/>
  <c r="AP40" i="2"/>
  <c r="AI40" i="2"/>
  <c r="BU39" i="2"/>
  <c r="BR39" i="2"/>
  <c r="BO39" i="2"/>
  <c r="BK39" i="2"/>
  <c r="BG39" i="2"/>
  <c r="BC39" i="2"/>
  <c r="AZ39" i="2"/>
  <c r="AS39" i="2"/>
  <c r="AP39" i="2"/>
  <c r="AI39" i="2"/>
  <c r="BU38" i="2"/>
  <c r="BR38" i="2"/>
  <c r="BO38" i="2"/>
  <c r="BK38" i="2"/>
  <c r="BG38" i="2"/>
  <c r="BC38" i="2"/>
  <c r="AZ38" i="2"/>
  <c r="AS38" i="2"/>
  <c r="AP38" i="2"/>
  <c r="AI38" i="2"/>
  <c r="BU37" i="2"/>
  <c r="BR37" i="2"/>
  <c r="BO37" i="2"/>
  <c r="BK37" i="2"/>
  <c r="BG37" i="2"/>
  <c r="BC37" i="2"/>
  <c r="AZ37" i="2"/>
  <c r="AS37" i="2"/>
  <c r="AP37" i="2"/>
  <c r="BK26" i="2"/>
  <c r="BK27" i="2"/>
  <c r="BK28" i="2"/>
  <c r="BK29" i="2"/>
  <c r="BK30" i="2"/>
  <c r="BK31" i="2"/>
  <c r="BU31" i="2"/>
  <c r="BR31" i="2"/>
  <c r="BO31" i="2"/>
  <c r="BG31" i="2"/>
  <c r="BC31" i="2"/>
  <c r="AZ31" i="2"/>
  <c r="AS31" i="2"/>
  <c r="AP31" i="2"/>
  <c r="AI31" i="2"/>
  <c r="BU30" i="2"/>
  <c r="BR30" i="2"/>
  <c r="BO30" i="2"/>
  <c r="BG30" i="2"/>
  <c r="BC30" i="2"/>
  <c r="AZ30" i="2"/>
  <c r="AS30" i="2"/>
  <c r="AP30" i="2"/>
  <c r="AI30" i="2"/>
  <c r="BU29" i="2"/>
  <c r="BR29" i="2"/>
  <c r="BO29" i="2"/>
  <c r="BG29" i="2"/>
  <c r="BC29" i="2"/>
  <c r="AZ29" i="2"/>
  <c r="AS29" i="2"/>
  <c r="AP29" i="2"/>
  <c r="AI29" i="2"/>
  <c r="BU28" i="2"/>
  <c r="BR28" i="2"/>
  <c r="BO28" i="2"/>
  <c r="BG28" i="2"/>
  <c r="BC28" i="2"/>
  <c r="AZ28" i="2"/>
  <c r="AS28" i="2"/>
  <c r="AP28" i="2"/>
  <c r="AI28" i="2"/>
  <c r="BU27" i="2"/>
  <c r="BR27" i="2"/>
  <c r="BO27" i="2"/>
  <c r="BG27" i="2"/>
  <c r="BC27" i="2"/>
  <c r="AZ27" i="2"/>
  <c r="AS27" i="2"/>
  <c r="AP27" i="2"/>
  <c r="AI27" i="2"/>
  <c r="BU26" i="2"/>
  <c r="BR26" i="2"/>
  <c r="BO26" i="2"/>
  <c r="BG26" i="2"/>
  <c r="BC26" i="2"/>
  <c r="AZ26" i="2"/>
  <c r="AS26" i="2"/>
  <c r="AP26" i="2"/>
  <c r="AI26" i="2"/>
  <c r="BU20" i="2"/>
  <c r="BR20" i="2"/>
  <c r="BO20" i="2"/>
  <c r="BK20" i="2"/>
  <c r="BG20" i="2"/>
  <c r="BC20" i="2"/>
  <c r="AZ20" i="2"/>
  <c r="AW20" i="2"/>
  <c r="AS20" i="2"/>
  <c r="AP20" i="2"/>
  <c r="AI20" i="2"/>
  <c r="BU19" i="2"/>
  <c r="BR19" i="2"/>
  <c r="BO19" i="2"/>
  <c r="BK19" i="2"/>
  <c r="BG19" i="2"/>
  <c r="BC19" i="2"/>
  <c r="AZ19" i="2"/>
  <c r="AW19" i="2"/>
  <c r="AS19" i="2"/>
  <c r="AP19" i="2"/>
  <c r="AI19" i="2"/>
  <c r="BU18" i="2"/>
  <c r="BR18" i="2"/>
  <c r="BO18" i="2"/>
  <c r="BK18" i="2"/>
  <c r="BG18" i="2"/>
  <c r="BC18" i="2"/>
  <c r="AZ18" i="2"/>
  <c r="AW18" i="2"/>
  <c r="AS18" i="2"/>
  <c r="AP18" i="2"/>
  <c r="AI18" i="2"/>
  <c r="BU17" i="2"/>
  <c r="BR17" i="2"/>
  <c r="BO17" i="2"/>
  <c r="BK17" i="2"/>
  <c r="BG17" i="2"/>
  <c r="BC17" i="2"/>
  <c r="AZ17" i="2"/>
  <c r="AW17" i="2"/>
  <c r="AS17" i="2"/>
  <c r="AP17" i="2"/>
  <c r="AI17" i="2"/>
  <c r="BU16" i="2"/>
  <c r="BR16" i="2"/>
  <c r="BO16" i="2"/>
  <c r="BK16" i="2"/>
  <c r="BG16" i="2"/>
  <c r="BC16" i="2"/>
  <c r="AZ16" i="2"/>
  <c r="AW16" i="2"/>
  <c r="AS16" i="2"/>
  <c r="AP16" i="2"/>
  <c r="AI16" i="2"/>
  <c r="BU15" i="2"/>
  <c r="BR15" i="2"/>
  <c r="BO15" i="2"/>
  <c r="BK15" i="2"/>
  <c r="BG15" i="2"/>
  <c r="BC15" i="2"/>
  <c r="AZ15" i="2"/>
  <c r="AW15" i="2"/>
  <c r="AS15" i="2"/>
  <c r="AP15" i="2"/>
  <c r="AI15" i="2"/>
  <c r="BU10" i="2"/>
  <c r="BR10" i="2"/>
  <c r="BO10" i="2"/>
  <c r="BK10" i="2"/>
  <c r="BG10" i="2"/>
  <c r="BC10" i="2"/>
  <c r="AZ10" i="2"/>
  <c r="AS10" i="2"/>
  <c r="AP10" i="2"/>
  <c r="AI10" i="2"/>
  <c r="BU9" i="2"/>
  <c r="BR9" i="2"/>
  <c r="BO9" i="2"/>
  <c r="BK9" i="2"/>
  <c r="BG9" i="2"/>
  <c r="BC9" i="2"/>
  <c r="AZ9" i="2"/>
  <c r="AS9" i="2"/>
  <c r="AP9" i="2"/>
  <c r="AI9" i="2"/>
  <c r="BU8" i="2"/>
  <c r="BR8" i="2"/>
  <c r="BO8" i="2"/>
  <c r="BK8" i="2"/>
  <c r="BG8" i="2"/>
  <c r="BC8" i="2"/>
  <c r="AZ8" i="2"/>
  <c r="AW8" i="2"/>
  <c r="AS8" i="2"/>
  <c r="AP8" i="2"/>
  <c r="AI8" i="2"/>
  <c r="BU7" i="2"/>
  <c r="BR7" i="2"/>
  <c r="BO7" i="2"/>
  <c r="BK7" i="2"/>
  <c r="BG7" i="2"/>
  <c r="BC7" i="2"/>
  <c r="AZ7" i="2"/>
  <c r="AW7" i="2"/>
  <c r="AS7" i="2"/>
  <c r="AP7" i="2"/>
  <c r="AI7" i="2"/>
  <c r="BU6" i="2"/>
  <c r="BR6" i="2"/>
  <c r="BO6" i="2"/>
  <c r="BK6" i="2"/>
  <c r="BG6" i="2"/>
  <c r="BC6" i="2"/>
  <c r="AZ6" i="2"/>
  <c r="AW6" i="2"/>
  <c r="AS6" i="2"/>
  <c r="AP6" i="2"/>
  <c r="AM6" i="2"/>
  <c r="AI6" i="2"/>
  <c r="AS33" i="2" l="1"/>
  <c r="AP33" i="2"/>
  <c r="AS32" i="2"/>
  <c r="AP32" i="2"/>
  <c r="BU33" i="2"/>
  <c r="BO33" i="2"/>
  <c r="BK33" i="2"/>
  <c r="BG33" i="2"/>
  <c r="BC33" i="2"/>
  <c r="AZ33" i="2"/>
  <c r="AI33" i="2"/>
  <c r="BU32" i="2"/>
  <c r="BO32" i="2"/>
  <c r="BK32" i="2"/>
  <c r="BG32" i="2"/>
  <c r="BC32" i="2"/>
  <c r="AZ32" i="2"/>
  <c r="AI32" i="2"/>
  <c r="P58" i="1" l="1"/>
  <c r="M58" i="1"/>
  <c r="K58" i="1"/>
  <c r="M54" i="1"/>
  <c r="K54" i="1"/>
  <c r="M50" i="1"/>
  <c r="K50" i="1"/>
  <c r="M47" i="1"/>
  <c r="K47" i="1"/>
  <c r="P44" i="1"/>
  <c r="M44" i="1"/>
  <c r="K44" i="1"/>
  <c r="P41" i="1"/>
  <c r="M41" i="1"/>
  <c r="K41" i="1"/>
  <c r="P38" i="1"/>
  <c r="M38" i="1"/>
  <c r="K38" i="1"/>
  <c r="P35" i="1"/>
  <c r="M35" i="1"/>
  <c r="K35" i="1"/>
  <c r="P32" i="1"/>
  <c r="M32" i="1"/>
  <c r="K32" i="1"/>
  <c r="P30" i="1"/>
  <c r="M30" i="1"/>
  <c r="K30" i="1"/>
  <c r="P27" i="1"/>
  <c r="M27" i="1"/>
  <c r="K27" i="1"/>
  <c r="P24" i="1"/>
  <c r="M24" i="1"/>
  <c r="K24" i="1"/>
  <c r="P21" i="1"/>
  <c r="M21" i="1"/>
  <c r="K21" i="1"/>
  <c r="P19" i="1"/>
  <c r="M19" i="1"/>
  <c r="K19" i="1"/>
  <c r="P16" i="1"/>
  <c r="M16" i="1"/>
  <c r="K16" i="1"/>
  <c r="P13" i="1"/>
  <c r="M13" i="1"/>
  <c r="K13" i="1"/>
  <c r="K11" i="1"/>
  <c r="K9" i="1"/>
  <c r="M7" i="1"/>
  <c r="K7" i="1"/>
  <c r="K4" i="1"/>
  <c r="U7" i="1"/>
  <c r="U8" i="1"/>
  <c r="V37" i="1" l="1"/>
  <c r="T37" i="1"/>
  <c r="U37" i="1"/>
  <c r="S37" i="1"/>
  <c r="U36" i="1" l="1"/>
  <c r="T36" i="1"/>
  <c r="V36" i="1"/>
  <c r="S36" i="1"/>
  <c r="H59" i="1" l="1"/>
  <c r="H60" i="1"/>
  <c r="H61" i="1"/>
  <c r="H55" i="1"/>
  <c r="H56" i="1"/>
  <c r="H57" i="1"/>
  <c r="H54" i="1"/>
  <c r="I54" i="1" s="1"/>
  <c r="H51" i="1"/>
  <c r="H52" i="1"/>
  <c r="H53" i="1"/>
  <c r="H48" i="1"/>
  <c r="I47" i="1" s="1"/>
  <c r="H49" i="1"/>
  <c r="H47" i="1"/>
  <c r="H50" i="1"/>
  <c r="H58" i="1"/>
  <c r="I58" i="1" s="1"/>
  <c r="I50" i="1" l="1"/>
  <c r="E58" i="1"/>
  <c r="E54" i="1"/>
  <c r="E50" i="1"/>
  <c r="E47" i="1"/>
  <c r="H11" i="1" l="1"/>
  <c r="E44" i="1"/>
  <c r="E41" i="1"/>
  <c r="E38" i="1"/>
  <c r="E35" i="1"/>
  <c r="E32" i="1"/>
  <c r="E30" i="1"/>
  <c r="E27" i="1"/>
  <c r="E24" i="1"/>
  <c r="E21" i="1"/>
  <c r="E19" i="1"/>
  <c r="E16" i="1"/>
  <c r="E13" i="1"/>
  <c r="E11" i="1"/>
  <c r="E9" i="1"/>
  <c r="E7" i="1"/>
  <c r="E4" i="1"/>
  <c r="H42" i="1" l="1"/>
  <c r="H43" i="1"/>
  <c r="H41" i="1"/>
  <c r="I41" i="1" s="1"/>
  <c r="H36" i="1"/>
  <c r="H37" i="1"/>
  <c r="H35" i="1"/>
  <c r="H38" i="1"/>
  <c r="H39" i="1"/>
  <c r="H40" i="1"/>
  <c r="H44" i="1"/>
  <c r="H45" i="1"/>
  <c r="H46" i="1"/>
  <c r="I44" i="1" l="1"/>
  <c r="I38" i="1"/>
  <c r="I35" i="1"/>
  <c r="H24" i="1"/>
  <c r="H31" i="1" l="1"/>
  <c r="H30" i="1"/>
  <c r="I30" i="1" s="1"/>
  <c r="H28" i="1"/>
  <c r="H29" i="1"/>
  <c r="H25" i="1"/>
  <c r="H26" i="1"/>
  <c r="I24" i="1" s="1"/>
  <c r="H27" i="1"/>
  <c r="H32" i="1"/>
  <c r="H33" i="1"/>
  <c r="H34" i="1"/>
  <c r="I32" i="1" l="1"/>
  <c r="I27" i="1"/>
  <c r="H20" i="1"/>
  <c r="H19" i="1"/>
  <c r="H22" i="1"/>
  <c r="H23" i="1"/>
  <c r="H17" i="1"/>
  <c r="H18" i="1"/>
  <c r="H14" i="1"/>
  <c r="H15" i="1"/>
  <c r="H13" i="1"/>
  <c r="H21" i="1"/>
  <c r="H16" i="1"/>
  <c r="I13" i="1" l="1"/>
  <c r="I16" i="1"/>
  <c r="I21" i="1"/>
  <c r="I19" i="1"/>
  <c r="H12" i="1"/>
  <c r="I11" i="1" s="1"/>
  <c r="H10" i="1"/>
  <c r="H8" i="1"/>
  <c r="H9" i="1"/>
  <c r="I9" i="1" s="1"/>
  <c r="H7" i="1"/>
  <c r="H5" i="1"/>
  <c r="H6" i="1"/>
  <c r="H4" i="1"/>
  <c r="I4" i="1" s="1"/>
  <c r="I7" i="1" l="1"/>
  <c r="U20" i="1"/>
  <c r="V20" i="1" s="1"/>
  <c r="U21" i="1"/>
  <c r="V21" i="1" s="1"/>
  <c r="U22" i="1"/>
  <c r="V22" i="1" s="1"/>
  <c r="U23" i="1"/>
  <c r="V23" i="1" s="1"/>
  <c r="U19" i="1"/>
  <c r="U13" i="1"/>
  <c r="V13" i="1" s="1"/>
  <c r="U14" i="1"/>
  <c r="V14" i="1" s="1"/>
  <c r="U15" i="1"/>
  <c r="V15" i="1" s="1"/>
  <c r="U16" i="1"/>
  <c r="V16" i="1" s="1"/>
  <c r="U12" i="1"/>
  <c r="U6" i="1"/>
  <c r="V6" i="1" s="1"/>
  <c r="V7" i="1"/>
  <c r="V8" i="1"/>
  <c r="U9" i="1"/>
  <c r="V9" i="1" s="1"/>
  <c r="U5" i="1"/>
  <c r="U10" i="1" l="1"/>
  <c r="V10" i="1" s="1"/>
  <c r="U17" i="1"/>
  <c r="V17" i="1" s="1"/>
  <c r="V5" i="1"/>
  <c r="V12" i="1"/>
  <c r="V24" i="1"/>
  <c r="U24" i="1"/>
  <c r="V19" i="1"/>
</calcChain>
</file>

<file path=xl/sharedStrings.xml><?xml version="1.0" encoding="utf-8"?>
<sst xmlns="http://schemas.openxmlformats.org/spreadsheetml/2006/main" count="322" uniqueCount="133">
  <si>
    <t>No</t>
  </si>
  <si>
    <t>pH</t>
  </si>
  <si>
    <t>Average</t>
  </si>
  <si>
    <t>Label</t>
  </si>
  <si>
    <t xml:space="preserve">time </t>
  </si>
  <si>
    <t>Lnxo</t>
  </si>
  <si>
    <t>JA</t>
  </si>
  <si>
    <t>Yx/s</t>
  </si>
  <si>
    <t>Yp/s</t>
  </si>
  <si>
    <t>U</t>
  </si>
  <si>
    <t>u</t>
  </si>
  <si>
    <t>Productivity</t>
  </si>
  <si>
    <t>11-12OHJA</t>
  </si>
  <si>
    <t>OPC4</t>
  </si>
  <si>
    <t>Tare (filter) [mg]</t>
  </si>
  <si>
    <t>Weight (filter+biomass) [mg]</t>
  </si>
  <si>
    <r>
      <t>Biomass           (</t>
    </r>
    <r>
      <rPr>
        <b/>
        <sz val="11"/>
        <rFont val="Calibri"/>
        <family val="2"/>
      </rPr>
      <t>Δ</t>
    </r>
    <r>
      <rPr>
        <b/>
        <sz val="11"/>
        <rFont val="Calibri"/>
        <family val="2"/>
        <scheme val="minor"/>
      </rPr>
      <t>-weight(t0)) [g/L]</t>
    </r>
  </si>
  <si>
    <t>Growth time</t>
  </si>
  <si>
    <t>Growth time [d]</t>
  </si>
  <si>
    <t>KNO3-100mL-A</t>
  </si>
  <si>
    <t>KNO3-100mL-B</t>
  </si>
  <si>
    <t>KNO3-100mL-C</t>
  </si>
  <si>
    <t>KNO3-250mL-A</t>
  </si>
  <si>
    <t>KNO3-250mL-B</t>
  </si>
  <si>
    <t>KNO3-500mL-A</t>
  </si>
  <si>
    <t>KNO3-500mL-B</t>
  </si>
  <si>
    <t>NH4NO3-250mL-A</t>
  </si>
  <si>
    <t>NH4NO3-250mL-B</t>
  </si>
  <si>
    <t>KNO3-250mL-C</t>
  </si>
  <si>
    <t>NH4NO3-250mL-C</t>
  </si>
  <si>
    <t>KNO3-500mL-C</t>
  </si>
  <si>
    <t>KNO3-250mL-D</t>
  </si>
  <si>
    <t>KNO3-500mL-D</t>
  </si>
  <si>
    <t>NH4NO3-250mL-D</t>
  </si>
  <si>
    <t>Biomass/Volume relation</t>
  </si>
  <si>
    <t>V=100mL</t>
  </si>
  <si>
    <t>V=500mL</t>
  </si>
  <si>
    <t>V=250mL</t>
  </si>
  <si>
    <t>Inocuklation 100mL = 5 discs</t>
  </si>
  <si>
    <t>Inocuklation 500mL = 15 discs</t>
  </si>
  <si>
    <t>Inocuklation 250mL = 10 discs</t>
  </si>
  <si>
    <t xml:space="preserve">Growth time [d] </t>
  </si>
  <si>
    <t>100 mL</t>
  </si>
  <si>
    <t>250 mL</t>
  </si>
  <si>
    <t xml:space="preserve">500 mL </t>
  </si>
  <si>
    <t>250 mL-NH4NO3</t>
  </si>
  <si>
    <t>141/97</t>
  </si>
  <si>
    <t>137/93</t>
  </si>
  <si>
    <t>179/135</t>
  </si>
  <si>
    <t>160/116</t>
  </si>
  <si>
    <t>174/130</t>
  </si>
  <si>
    <t>207/137 (-H2O)</t>
  </si>
  <si>
    <t>214/62</t>
  </si>
  <si>
    <t>209/59</t>
  </si>
  <si>
    <t>225/59</t>
  </si>
  <si>
    <t>237/165</t>
  </si>
  <si>
    <t>269/159</t>
  </si>
  <si>
    <t>263/153</t>
  </si>
  <si>
    <t>296/170</t>
  </si>
  <si>
    <t>291/165</t>
  </si>
  <si>
    <t>325/133</t>
  </si>
  <si>
    <t>292/100</t>
  </si>
  <si>
    <t>305/97</t>
  </si>
  <si>
    <t>308/116</t>
  </si>
  <si>
    <t>[mg/L]</t>
  </si>
  <si>
    <t>[nmol/g f.w.]</t>
  </si>
  <si>
    <t>[mg/l]</t>
  </si>
  <si>
    <t>SA</t>
  </si>
  <si>
    <t>DHBA</t>
  </si>
  <si>
    <t>ICA</t>
  </si>
  <si>
    <t>RA</t>
  </si>
  <si>
    <t>IAA</t>
  </si>
  <si>
    <t>Camalexin</t>
  </si>
  <si>
    <t>IBA</t>
  </si>
  <si>
    <t>Corismate</t>
  </si>
  <si>
    <t>11/12-OH-JA</t>
  </si>
  <si>
    <t>ABA</t>
  </si>
  <si>
    <t>dnOPDA</t>
  </si>
  <si>
    <t>OPC6</t>
  </si>
  <si>
    <t>cisOPDA</t>
  </si>
  <si>
    <t>JA-ACC</t>
  </si>
  <si>
    <t>OPC8</t>
  </si>
  <si>
    <t>SA-Gluc</t>
  </si>
  <si>
    <t>12-HSO4-JA</t>
  </si>
  <si>
    <t>JA-Val</t>
  </si>
  <si>
    <t>JA-IleLeu</t>
  </si>
  <si>
    <t>12OH-JA-Ile</t>
  </si>
  <si>
    <t>12COOH-JA-Ile</t>
  </si>
  <si>
    <t>JA-Phe</t>
  </si>
  <si>
    <t>12-O-Gluc-JA</t>
  </si>
  <si>
    <t>ABA-GE</t>
  </si>
  <si>
    <t>Glucobrassicin</t>
  </si>
  <si>
    <t>4M-Glucobrassicin</t>
  </si>
  <si>
    <t>SA-St</t>
  </si>
  <si>
    <t>S.D.</t>
  </si>
  <si>
    <t>IAA-St</t>
  </si>
  <si>
    <t>Chorismate</t>
  </si>
  <si>
    <t>JA-St</t>
  </si>
  <si>
    <t>11/12OH-JA</t>
  </si>
  <si>
    <t>11_12OH-JA</t>
  </si>
  <si>
    <t>ABA-St</t>
  </si>
  <si>
    <t>oPDA-St</t>
  </si>
  <si>
    <t>oPDA</t>
  </si>
  <si>
    <t>St-D3JA-Leu</t>
  </si>
  <si>
    <t>12HSO2-JA</t>
  </si>
  <si>
    <t>Mean pH</t>
  </si>
  <si>
    <t>Mean Biomass</t>
  </si>
  <si>
    <t>JA [mg/L]</t>
  </si>
  <si>
    <t>Average JA [mg/L]</t>
  </si>
  <si>
    <t>11-12OH-JA [mg/L]</t>
  </si>
  <si>
    <t>Average 11-12OHJA [mg/L]</t>
  </si>
  <si>
    <t>oPDA [mg/L]</t>
  </si>
  <si>
    <t>OPC4 [mg/L]</t>
  </si>
  <si>
    <t>relative [mg/L]</t>
  </si>
  <si>
    <t>[g]</t>
  </si>
  <si>
    <t>[d]</t>
  </si>
  <si>
    <t>Weight</t>
  </si>
  <si>
    <t>Calibration</t>
  </si>
  <si>
    <t>Transitions:</t>
  </si>
  <si>
    <t>Inoculation [g/L]</t>
  </si>
  <si>
    <t>V=250mL-NH4NO3</t>
  </si>
  <si>
    <t>time [d]</t>
  </si>
  <si>
    <t>ICA [mg/L]</t>
  </si>
  <si>
    <t>SA [mg/L]</t>
  </si>
  <si>
    <t>Average OPC4 [mg/L]</t>
  </si>
  <si>
    <t>Average ICA [mg/L]</t>
  </si>
  <si>
    <t>Std. deviation ICA [mg/L]</t>
  </si>
  <si>
    <t>Average SA [mg/L]</t>
  </si>
  <si>
    <t>Std. deviation SA [mg/L]</t>
  </si>
  <si>
    <t>Fungus weight at inoculation (t0)</t>
  </si>
  <si>
    <t>Weight Inoculum+ PDA</t>
  </si>
  <si>
    <t>Weight filter</t>
  </si>
  <si>
    <t>Weight filter+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</si>
</sst>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"/>
    <numFmt numFmtId="167" formatCode="0.00000000"/>
    <numFmt numFmtId="168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49" fontId="1" fillId="0" borderId="4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2" fontId="0" fillId="0" borderId="9" xfId="0" applyNumberFormat="1" applyBorder="1"/>
    <xf numFmtId="0" fontId="6" fillId="6" borderId="0" xfId="0" applyFont="1" applyFill="1" applyProtection="1">
      <protection locked="0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166" fontId="0" fillId="0" borderId="0" xfId="0" applyNumberFormat="1"/>
    <xf numFmtId="0" fontId="7" fillId="0" borderId="0" xfId="0" applyFont="1" applyFill="1"/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6" fontId="5" fillId="7" borderId="0" xfId="0" applyNumberFormat="1" applyFont="1" applyFill="1" applyAlignment="1">
      <alignment horizontal="center"/>
    </xf>
    <xf numFmtId="167" fontId="5" fillId="7" borderId="0" xfId="0" applyNumberFormat="1" applyFont="1" applyFill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5" fillId="8" borderId="10" xfId="0" applyFont="1" applyFill="1" applyBorder="1"/>
    <xf numFmtId="49" fontId="9" fillId="9" borderId="10" xfId="0" applyNumberFormat="1" applyFont="1" applyFill="1" applyBorder="1" applyProtection="1"/>
    <xf numFmtId="0" fontId="5" fillId="0" borderId="10" xfId="0" applyFont="1" applyFill="1" applyBorder="1"/>
    <xf numFmtId="0" fontId="9" fillId="0" borderId="10" xfId="0" applyFont="1" applyBorder="1"/>
    <xf numFmtId="49" fontId="9" fillId="0" borderId="10" xfId="0" applyNumberFormat="1" applyFont="1" applyFill="1" applyBorder="1" applyProtection="1"/>
    <xf numFmtId="0" fontId="9" fillId="0" borderId="10" xfId="0" applyFont="1" applyFill="1" applyBorder="1"/>
    <xf numFmtId="0" fontId="5" fillId="0" borderId="10" xfId="0" applyFont="1" applyBorder="1"/>
    <xf numFmtId="166" fontId="9" fillId="0" borderId="10" xfId="0" applyNumberFormat="1" applyFont="1" applyBorder="1"/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/>
    </xf>
    <xf numFmtId="166" fontId="0" fillId="0" borderId="9" xfId="0" applyNumberForma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0" borderId="12" xfId="0" applyNumberFormat="1" applyFont="1" applyFill="1" applyBorder="1" applyProtection="1"/>
    <xf numFmtId="0" fontId="0" fillId="0" borderId="11" xfId="0" applyFill="1" applyBorder="1"/>
    <xf numFmtId="2" fontId="0" fillId="0" borderId="11" xfId="0" applyNumberFormat="1" applyFill="1" applyBorder="1"/>
    <xf numFmtId="0" fontId="5" fillId="0" borderId="11" xfId="0" applyFont="1" applyFill="1" applyBorder="1"/>
    <xf numFmtId="49" fontId="9" fillId="0" borderId="11" xfId="0" applyNumberFormat="1" applyFont="1" applyFill="1" applyBorder="1" applyProtection="1"/>
    <xf numFmtId="0" fontId="9" fillId="0" borderId="11" xfId="0" applyFont="1" applyFill="1" applyBorder="1"/>
    <xf numFmtId="166" fontId="9" fillId="0" borderId="11" xfId="0" applyNumberFormat="1" applyFont="1" applyFill="1" applyBorder="1"/>
    <xf numFmtId="49" fontId="9" fillId="0" borderId="13" xfId="0" applyNumberFormat="1" applyFont="1" applyFill="1" applyBorder="1" applyProtection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168" fontId="5" fillId="0" borderId="9" xfId="0" applyNumberFormat="1" applyFont="1" applyBorder="1" applyAlignment="1">
      <alignment horizontal="right" vertic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/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Lnxo 100 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'Table_2-5'!$H$4</c:f>
              <c:strCache>
                <c:ptCount val="1"/>
                <c:pt idx="0">
                  <c:v>Lnxo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3793897637795274"/>
                  <c:y val="0.15805555555555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'Table_2-5'!$G$5:$G$7</c:f>
              <c:numCache>
                <c:formatCode>General</c:formatCode>
                <c:ptCount val="3"/>
                <c:pt idx="0">
                  <c:v>1.5</c:v>
                </c:pt>
                <c:pt idx="1">
                  <c:v>3</c:v>
                </c:pt>
                <c:pt idx="2">
                  <c:v>6</c:v>
                </c:pt>
              </c:numCache>
            </c:numRef>
          </c:xVal>
          <c:yVal>
            <c:numRef>
              <c:f>'Table_2-5'!$H$5:$H$7</c:f>
              <c:numCache>
                <c:formatCode>General</c:formatCode>
                <c:ptCount val="3"/>
                <c:pt idx="0">
                  <c:v>1.0818051703517284</c:v>
                </c:pt>
                <c:pt idx="1">
                  <c:v>1.8594181177018698</c:v>
                </c:pt>
                <c:pt idx="2">
                  <c:v>2.8255368965578769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81712"/>
        <c:axId val="227282104"/>
      </c:scatterChart>
      <c:valAx>
        <c:axId val="22728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82104"/>
        <c:crosses val="autoZero"/>
        <c:crossBetween val="midCat"/>
      </c:valAx>
      <c:valAx>
        <c:axId val="22728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8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Lnxo 250 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'Table_2-5'!$H$10</c:f>
              <c:strCache>
                <c:ptCount val="1"/>
                <c:pt idx="0">
                  <c:v>Lnxo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'Table_2-5'!$G$11:$G$13</c:f>
              <c:numCache>
                <c:formatCode>General</c:formatCode>
                <c:ptCount val="3"/>
                <c:pt idx="0">
                  <c:v>1.5</c:v>
                </c:pt>
                <c:pt idx="1">
                  <c:v>3</c:v>
                </c:pt>
                <c:pt idx="2">
                  <c:v>6</c:v>
                </c:pt>
              </c:numCache>
            </c:numRef>
          </c:xVal>
          <c:yVal>
            <c:numRef>
              <c:f>'Table_2-5'!$H$11:$H$13</c:f>
              <c:numCache>
                <c:formatCode>General</c:formatCode>
                <c:ptCount val="3"/>
                <c:pt idx="0">
                  <c:v>0.72270598280148979</c:v>
                </c:pt>
                <c:pt idx="1">
                  <c:v>2.0082140323914683</c:v>
                </c:pt>
                <c:pt idx="2">
                  <c:v>2.7750856024383683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22136"/>
        <c:axId val="228522528"/>
      </c:scatterChart>
      <c:valAx>
        <c:axId val="22852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22528"/>
        <c:crosses val="autoZero"/>
        <c:crossBetween val="midCat"/>
      </c:valAx>
      <c:valAx>
        <c:axId val="2285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52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Lnxo 500 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'Table_2-5'!$J$4</c:f>
              <c:strCache>
                <c:ptCount val="1"/>
                <c:pt idx="0">
                  <c:v>Lnxo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'Table_2-5'!$I$5:$I$7</c:f>
              <c:numCache>
                <c:formatCode>General</c:formatCode>
                <c:ptCount val="3"/>
                <c:pt idx="0">
                  <c:v>1.5</c:v>
                </c:pt>
                <c:pt idx="1">
                  <c:v>3</c:v>
                </c:pt>
                <c:pt idx="2">
                  <c:v>6</c:v>
                </c:pt>
              </c:numCache>
            </c:numRef>
          </c:xVal>
          <c:yVal>
            <c:numRef>
              <c:f>'Table_2-5'!$J$5:$J$7</c:f>
              <c:numCache>
                <c:formatCode>General</c:formatCode>
                <c:ptCount val="3"/>
                <c:pt idx="0">
                  <c:v>0.71294980785612505</c:v>
                </c:pt>
                <c:pt idx="1">
                  <c:v>2.0333976031784289</c:v>
                </c:pt>
                <c:pt idx="2">
                  <c:v>2.9003220887493328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80928"/>
        <c:axId val="227279752"/>
      </c:scatterChart>
      <c:valAx>
        <c:axId val="22728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79752"/>
        <c:crosses val="autoZero"/>
        <c:crossBetween val="midCat"/>
      </c:valAx>
      <c:valAx>
        <c:axId val="22727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8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Lnxo 250 mL</a:t>
            </a:r>
            <a:r>
              <a:rPr lang="en-US" baseline="0"/>
              <a:t> NH4NO3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'Table_2-5'!$L$4</c:f>
              <c:strCache>
                <c:ptCount val="1"/>
                <c:pt idx="0">
                  <c:v>Lnxo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'Table_2-5'!$K$5:$K$7</c:f>
              <c:numCache>
                <c:formatCode>General</c:formatCode>
                <c:ptCount val="3"/>
                <c:pt idx="0">
                  <c:v>1.5</c:v>
                </c:pt>
                <c:pt idx="1">
                  <c:v>3</c:v>
                </c:pt>
                <c:pt idx="2">
                  <c:v>6</c:v>
                </c:pt>
              </c:numCache>
            </c:numRef>
          </c:xVal>
          <c:yVal>
            <c:numRef>
              <c:f>'Table_2-5'!$L$5:$L$7</c:f>
              <c:numCache>
                <c:formatCode>General</c:formatCode>
                <c:ptCount val="3"/>
                <c:pt idx="0">
                  <c:v>-0.30110509278392161</c:v>
                </c:pt>
                <c:pt idx="1">
                  <c:v>1.3137236682850553</c:v>
                </c:pt>
                <c:pt idx="2">
                  <c:v>2.1138429683971682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78184"/>
        <c:axId val="227279360"/>
      </c:scatterChart>
      <c:valAx>
        <c:axId val="227278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79360"/>
        <c:crosses val="autoZero"/>
        <c:crossBetween val="midCat"/>
      </c:valAx>
      <c:valAx>
        <c:axId val="2272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78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57150</xdr:rowOff>
    </xdr:from>
    <xdr:to>
      <xdr:col>5</xdr:col>
      <xdr:colOff>683635</xdr:colOff>
      <xdr:row>31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816985</xdr:colOff>
      <xdr:row>16</xdr:row>
      <xdr:rowOff>138112</xdr:rowOff>
    </xdr:from>
    <xdr:to>
      <xdr:col>12</xdr:col>
      <xdr:colOff>404813</xdr:colOff>
      <xdr:row>31</xdr:row>
      <xdr:rowOff>23812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542925</xdr:colOff>
      <xdr:row>17</xdr:row>
      <xdr:rowOff>4762</xdr:rowOff>
    </xdr:from>
    <xdr:to>
      <xdr:col>20</xdr:col>
      <xdr:colOff>248949</xdr:colOff>
      <xdr:row>31</xdr:row>
      <xdr:rowOff>80962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347562</xdr:colOff>
      <xdr:row>17</xdr:row>
      <xdr:rowOff>84044</xdr:rowOff>
    </xdr:from>
    <xdr:to>
      <xdr:col>36</xdr:col>
      <xdr:colOff>181740</xdr:colOff>
      <xdr:row>31</xdr:row>
      <xdr:rowOff>160244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"/>
  <sheetViews>
    <sheetView tabSelected="1" zoomScale="70" zoomScaleNormal="70" workbookViewId="0">
      <selection activeCell="Q64" sqref="Q64"/>
    </sheetView>
  </sheetViews>
  <sheetFormatPr baseColWidth="10" defaultColWidth="11.42578125" defaultRowHeight="15" x14ac:dyDescent="0.25"/>
  <cols>
    <col min="1" max="1" width="6" customWidth="1"/>
    <col min="2" max="2" width="19.42578125" bestFit="1" customWidth="1"/>
    <col min="3" max="3" width="19.42578125" customWidth="1"/>
    <col min="4" max="4" width="15.5703125" customWidth="1"/>
    <col min="5" max="5" width="9.28515625" customWidth="1"/>
    <col min="6" max="6" width="11.28515625" customWidth="1"/>
    <col min="7" max="7" width="18.42578125" bestFit="1" customWidth="1"/>
    <col min="8" max="8" width="14" style="6" customWidth="1"/>
    <col min="9" max="9" width="15" bestFit="1" customWidth="1"/>
    <col min="10" max="10" width="17.28515625" customWidth="1"/>
    <col min="11" max="11" width="21.5703125" bestFit="1" customWidth="1"/>
    <col min="12" max="13" width="15" bestFit="1" customWidth="1"/>
    <col min="14" max="15" width="20.28515625" bestFit="1" customWidth="1"/>
    <col min="16" max="16" width="13.42578125" bestFit="1" customWidth="1"/>
    <col min="17" max="17" width="13.5703125" bestFit="1" customWidth="1"/>
    <col min="18" max="18" width="17" bestFit="1" customWidth="1"/>
    <col min="19" max="21" width="13.5703125" customWidth="1"/>
    <col min="22" max="22" width="17.85546875" bestFit="1" customWidth="1"/>
    <col min="23" max="23" width="15.85546875" bestFit="1" customWidth="1"/>
    <col min="24" max="24" width="17" bestFit="1" customWidth="1"/>
    <col min="26" max="26" width="20.140625" bestFit="1" customWidth="1"/>
    <col min="28" max="28" width="17.85546875" bestFit="1" customWidth="1"/>
    <col min="30" max="30" width="15.28515625" bestFit="1" customWidth="1"/>
  </cols>
  <sheetData>
    <row r="1" spans="1:22" ht="15.75" thickBot="1" x14ac:dyDescent="0.3">
      <c r="A1" s="2"/>
    </row>
    <row r="2" spans="1:22" x14ac:dyDescent="0.25">
      <c r="R2" s="31" t="s">
        <v>129</v>
      </c>
      <c r="S2" s="18"/>
      <c r="T2" s="18"/>
      <c r="U2" s="18"/>
      <c r="V2" s="19"/>
    </row>
    <row r="3" spans="1:22" ht="45" x14ac:dyDescent="0.25">
      <c r="A3" s="4" t="s">
        <v>0</v>
      </c>
      <c r="B3" s="4" t="s">
        <v>3</v>
      </c>
      <c r="C3" s="4" t="s">
        <v>18</v>
      </c>
      <c r="D3" s="4" t="s">
        <v>1</v>
      </c>
      <c r="E3" s="4" t="s">
        <v>105</v>
      </c>
      <c r="F3" s="4" t="s">
        <v>14</v>
      </c>
      <c r="G3" s="4" t="s">
        <v>15</v>
      </c>
      <c r="H3" s="4" t="s">
        <v>16</v>
      </c>
      <c r="I3" s="4" t="s">
        <v>106</v>
      </c>
      <c r="J3" s="4" t="s">
        <v>107</v>
      </c>
      <c r="K3" s="4" t="s">
        <v>108</v>
      </c>
      <c r="L3" s="4" t="s">
        <v>109</v>
      </c>
      <c r="M3" s="4" t="s">
        <v>110</v>
      </c>
      <c r="N3" s="4" t="s">
        <v>111</v>
      </c>
      <c r="O3" s="4" t="s">
        <v>112</v>
      </c>
      <c r="P3" s="4" t="s">
        <v>124</v>
      </c>
      <c r="Q3" s="4"/>
      <c r="R3" s="32"/>
      <c r="S3" s="33" t="s">
        <v>131</v>
      </c>
      <c r="T3" s="33" t="s">
        <v>132</v>
      </c>
      <c r="U3" s="33" t="s">
        <v>130</v>
      </c>
      <c r="V3" s="34" t="s">
        <v>119</v>
      </c>
    </row>
    <row r="4" spans="1:22" x14ac:dyDescent="0.25">
      <c r="A4" s="1">
        <v>1</v>
      </c>
      <c r="B4" s="8" t="s">
        <v>19</v>
      </c>
      <c r="C4" s="15">
        <v>1.5</v>
      </c>
      <c r="D4" s="1">
        <v>4.3099999999999996</v>
      </c>
      <c r="E4" s="1">
        <f>(D4+D5+D6)/3</f>
        <v>4.3066666666666658</v>
      </c>
      <c r="F4" s="1">
        <v>9755.2000000000007</v>
      </c>
      <c r="G4" s="1">
        <v>9880.2000000000007</v>
      </c>
      <c r="H4" s="7">
        <f>(G4-F4-70.78)/25</f>
        <v>2.1688000000000001</v>
      </c>
      <c r="I4" s="12">
        <f>(H4+H5+H6)/3</f>
        <v>2.9487999999999999</v>
      </c>
      <c r="J4" s="35">
        <v>0.14000000000000001</v>
      </c>
      <c r="K4" s="35">
        <f>(J4+J5+J6)/3</f>
        <v>0.11333333333333334</v>
      </c>
      <c r="L4" s="35">
        <v>0.01</v>
      </c>
      <c r="M4" s="35">
        <v>0.01</v>
      </c>
      <c r="N4" s="36">
        <v>0</v>
      </c>
      <c r="O4" s="35">
        <v>0.01</v>
      </c>
      <c r="P4" s="35">
        <v>0.01</v>
      </c>
      <c r="R4" s="32" t="s">
        <v>38</v>
      </c>
      <c r="S4" s="22"/>
      <c r="T4" s="25"/>
      <c r="U4" s="25"/>
      <c r="V4" s="23"/>
    </row>
    <row r="5" spans="1:22" x14ac:dyDescent="0.25">
      <c r="A5" s="1">
        <v>2</v>
      </c>
      <c r="B5" s="8" t="s">
        <v>20</v>
      </c>
      <c r="C5" s="15">
        <v>1.5</v>
      </c>
      <c r="D5" s="1">
        <v>4.25</v>
      </c>
      <c r="E5" s="1"/>
      <c r="F5" s="1">
        <v>8545.4</v>
      </c>
      <c r="G5" s="1">
        <v>8659.7000000000007</v>
      </c>
      <c r="H5" s="7">
        <f t="shared" ref="H5:H6" si="0">(G5-F5-70.78)/25</f>
        <v>1.7408000000000436</v>
      </c>
      <c r="I5" s="12"/>
      <c r="J5" s="35">
        <v>0.09</v>
      </c>
      <c r="K5" s="35"/>
      <c r="L5" s="35">
        <v>0.01</v>
      </c>
      <c r="M5" s="35"/>
      <c r="N5" s="36">
        <v>0</v>
      </c>
      <c r="O5" s="35">
        <v>0.01</v>
      </c>
      <c r="P5" s="35"/>
      <c r="R5" s="24">
        <v>1</v>
      </c>
      <c r="S5" s="25">
        <v>9756.7999999999993</v>
      </c>
      <c r="T5" s="25">
        <v>9858.7999999999993</v>
      </c>
      <c r="U5" s="25">
        <f>T5-S5</f>
        <v>102</v>
      </c>
      <c r="V5" s="23">
        <f t="shared" ref="V5:V9" si="1">(U5-70.15)/25</f>
        <v>1.2739999999999998</v>
      </c>
    </row>
    <row r="6" spans="1:22" x14ac:dyDescent="0.25">
      <c r="A6" s="1">
        <v>3</v>
      </c>
      <c r="B6" s="8" t="s">
        <v>21</v>
      </c>
      <c r="C6" s="15">
        <v>1.5</v>
      </c>
      <c r="D6" s="1">
        <v>4.3600000000000003</v>
      </c>
      <c r="E6" s="1"/>
      <c r="F6" s="1">
        <v>8429.6</v>
      </c>
      <c r="G6" s="1">
        <v>8623.7999999999993</v>
      </c>
      <c r="H6" s="7">
        <f t="shared" si="0"/>
        <v>4.9367999999999563</v>
      </c>
      <c r="I6" s="12"/>
      <c r="J6" s="35">
        <v>0.11</v>
      </c>
      <c r="K6" s="35"/>
      <c r="L6" s="35">
        <v>0.01</v>
      </c>
      <c r="M6" s="35"/>
      <c r="N6" s="36">
        <v>0</v>
      </c>
      <c r="O6" s="35">
        <v>0</v>
      </c>
      <c r="P6" s="35"/>
      <c r="R6" s="24">
        <v>2</v>
      </c>
      <c r="S6" s="25">
        <v>8526.9</v>
      </c>
      <c r="T6" s="25">
        <v>8590.2999999999993</v>
      </c>
      <c r="U6" s="25">
        <f>T6-S6</f>
        <v>63.399999999999636</v>
      </c>
      <c r="V6" s="23">
        <f t="shared" si="1"/>
        <v>-0.27000000000001478</v>
      </c>
    </row>
    <row r="7" spans="1:22" x14ac:dyDescent="0.25">
      <c r="A7" s="1">
        <v>4</v>
      </c>
      <c r="B7" s="9" t="s">
        <v>22</v>
      </c>
      <c r="C7" s="15">
        <v>1.5</v>
      </c>
      <c r="D7" s="1">
        <v>4.4800000000000004</v>
      </c>
      <c r="E7" s="1">
        <f>(D4+D5)/2</f>
        <v>4.2799999999999994</v>
      </c>
      <c r="F7" s="1">
        <v>8474.6</v>
      </c>
      <c r="G7" s="1">
        <v>8735.1</v>
      </c>
      <c r="H7" s="7">
        <f>(G7-F7-179.22)/50</f>
        <v>1.6255999999999999</v>
      </c>
      <c r="I7" s="12">
        <f>(H7+H8)/2</f>
        <v>2.0645999999999964</v>
      </c>
      <c r="J7" s="35">
        <v>0.2</v>
      </c>
      <c r="K7" s="35">
        <f>(J7+J8)/2</f>
        <v>0.17</v>
      </c>
      <c r="L7" s="35">
        <v>0.02</v>
      </c>
      <c r="M7" s="35">
        <f>(L7+L8)/2</f>
        <v>1.4999999999999999E-2</v>
      </c>
      <c r="N7" s="36">
        <v>0</v>
      </c>
      <c r="O7" s="35">
        <v>0.01</v>
      </c>
      <c r="P7" s="35">
        <v>0.01</v>
      </c>
      <c r="R7" s="24">
        <v>3</v>
      </c>
      <c r="S7" s="25">
        <v>8435.9</v>
      </c>
      <c r="T7" s="25">
        <v>8485.7000000000007</v>
      </c>
      <c r="U7" s="25">
        <f>T7-S7</f>
        <v>49.800000000001091</v>
      </c>
      <c r="V7" s="23">
        <f t="shared" si="1"/>
        <v>-0.81399999999995654</v>
      </c>
    </row>
    <row r="8" spans="1:22" x14ac:dyDescent="0.25">
      <c r="A8" s="1">
        <v>5</v>
      </c>
      <c r="B8" s="9" t="s">
        <v>23</v>
      </c>
      <c r="C8" s="15">
        <v>1.5</v>
      </c>
      <c r="D8" s="1">
        <v>4.84</v>
      </c>
      <c r="E8" s="1"/>
      <c r="F8" s="1">
        <v>8445.1</v>
      </c>
      <c r="G8" s="1">
        <v>8749.5</v>
      </c>
      <c r="H8" s="7">
        <f t="shared" ref="H8:H9" si="2">(G8-F8-179.22)/50</f>
        <v>2.5035999999999929</v>
      </c>
      <c r="I8" s="12"/>
      <c r="J8" s="35">
        <v>0.14000000000000001</v>
      </c>
      <c r="K8" s="35"/>
      <c r="L8" s="35">
        <v>0.01</v>
      </c>
      <c r="M8" s="35"/>
      <c r="N8" s="36">
        <v>0</v>
      </c>
      <c r="O8" s="35">
        <v>0.01</v>
      </c>
      <c r="P8" s="35"/>
      <c r="R8" s="24">
        <v>4</v>
      </c>
      <c r="S8" s="25">
        <v>8451.6</v>
      </c>
      <c r="T8" s="25">
        <v>8493</v>
      </c>
      <c r="U8" s="25">
        <f>T8-S8</f>
        <v>41.399999999999636</v>
      </c>
      <c r="V8" s="23">
        <f t="shared" si="1"/>
        <v>-1.1500000000000148</v>
      </c>
    </row>
    <row r="9" spans="1:22" x14ac:dyDescent="0.25">
      <c r="A9" s="1">
        <v>6</v>
      </c>
      <c r="B9" s="10" t="s">
        <v>24</v>
      </c>
      <c r="C9" s="15">
        <v>1.5</v>
      </c>
      <c r="D9" s="1">
        <v>4.3499999999999996</v>
      </c>
      <c r="E9" s="1">
        <f>(D6+D7)/2</f>
        <v>4.42</v>
      </c>
      <c r="F9" s="1">
        <v>8566.4</v>
      </c>
      <c r="G9" s="1">
        <v>8858.2999999999993</v>
      </c>
      <c r="H9" s="7">
        <f t="shared" si="2"/>
        <v>2.2535999999999929</v>
      </c>
      <c r="I9" s="12">
        <f>(H9+H10)/2</f>
        <v>2.0941000000000018</v>
      </c>
      <c r="J9" s="35">
        <v>0.1</v>
      </c>
      <c r="K9" s="35">
        <f>(J9+J10)/2</f>
        <v>0.10500000000000001</v>
      </c>
      <c r="L9" s="35">
        <v>0.01</v>
      </c>
      <c r="M9" s="35">
        <v>0.01</v>
      </c>
      <c r="N9" s="36">
        <v>0</v>
      </c>
      <c r="O9" s="35">
        <v>0.01</v>
      </c>
      <c r="P9" s="35">
        <v>0.01</v>
      </c>
      <c r="R9" s="24">
        <v>5</v>
      </c>
      <c r="S9" s="25">
        <v>8434.6</v>
      </c>
      <c r="T9" s="25">
        <v>8531.9</v>
      </c>
      <c r="U9" s="25">
        <f>T9-S9</f>
        <v>97.299999999999272</v>
      </c>
      <c r="V9" s="23">
        <f t="shared" si="1"/>
        <v>1.0859999999999708</v>
      </c>
    </row>
    <row r="10" spans="1:22" x14ac:dyDescent="0.25">
      <c r="A10" s="1">
        <v>7</v>
      </c>
      <c r="B10" s="10" t="s">
        <v>25</v>
      </c>
      <c r="C10" s="15">
        <v>1.5</v>
      </c>
      <c r="D10" s="1">
        <v>4.3</v>
      </c>
      <c r="E10" s="1"/>
      <c r="F10" s="1">
        <v>8518.7999999999993</v>
      </c>
      <c r="G10" s="1">
        <v>8944.6</v>
      </c>
      <c r="H10" s="7">
        <f>(G10-F10-232.34)/100</f>
        <v>1.934600000000011</v>
      </c>
      <c r="I10" s="12"/>
      <c r="J10" s="35">
        <v>0.11</v>
      </c>
      <c r="K10" s="35"/>
      <c r="L10" s="35">
        <v>0.01</v>
      </c>
      <c r="M10" s="35"/>
      <c r="N10" s="36">
        <v>0</v>
      </c>
      <c r="O10" s="35">
        <v>0.01</v>
      </c>
      <c r="P10" s="35"/>
      <c r="R10" s="32"/>
      <c r="S10" s="22"/>
      <c r="T10" s="69" t="s">
        <v>2</v>
      </c>
      <c r="U10" s="69">
        <f>(SUM(U5:U9))/5</f>
        <v>70.77999999999993</v>
      </c>
      <c r="V10" s="23">
        <f>(U10-70.15)/25</f>
        <v>2.5199999999996975E-2</v>
      </c>
    </row>
    <row r="11" spans="1:22" x14ac:dyDescent="0.25">
      <c r="A11" s="1">
        <v>8</v>
      </c>
      <c r="B11" s="11" t="s">
        <v>26</v>
      </c>
      <c r="C11" s="15">
        <v>1.5</v>
      </c>
      <c r="D11" s="1">
        <v>3.65</v>
      </c>
      <c r="E11" s="1">
        <f>(D11+D12)/2</f>
        <v>3.6799999999999997</v>
      </c>
      <c r="F11" s="1">
        <v>9678.6</v>
      </c>
      <c r="G11" s="1">
        <v>9840.7999999999993</v>
      </c>
      <c r="H11" s="7">
        <f>(G11-F11-121)/50</f>
        <v>0.82399999999997819</v>
      </c>
      <c r="I11" s="12">
        <f>(H11+H12)/2</f>
        <v>0.7407999999999928</v>
      </c>
      <c r="J11" s="35">
        <v>0.1</v>
      </c>
      <c r="K11" s="35">
        <f>(J11+J12)/2</f>
        <v>0.16999999999999998</v>
      </c>
      <c r="L11" s="35">
        <v>0.01</v>
      </c>
      <c r="M11" s="35">
        <v>0.01</v>
      </c>
      <c r="N11" s="36">
        <v>0</v>
      </c>
      <c r="O11" s="35">
        <v>0.01</v>
      </c>
      <c r="P11" s="35">
        <v>0.01</v>
      </c>
      <c r="R11" s="32" t="s">
        <v>40</v>
      </c>
      <c r="S11" s="22"/>
      <c r="T11" s="25"/>
      <c r="U11" s="25"/>
      <c r="V11" s="23"/>
    </row>
    <row r="12" spans="1:22" x14ac:dyDescent="0.25">
      <c r="A12" s="1">
        <v>9</v>
      </c>
      <c r="B12" s="11" t="s">
        <v>27</v>
      </c>
      <c r="C12" s="15">
        <v>1.5</v>
      </c>
      <c r="D12" s="1">
        <v>3.71</v>
      </c>
      <c r="E12" s="1"/>
      <c r="F12" s="1">
        <v>9631.1</v>
      </c>
      <c r="G12" s="1">
        <v>9843.2000000000007</v>
      </c>
      <c r="H12" s="7">
        <f>(G12-F12-179.22)/50</f>
        <v>0.65760000000000729</v>
      </c>
      <c r="I12" s="12"/>
      <c r="J12" s="35">
        <v>0.24</v>
      </c>
      <c r="K12" s="35"/>
      <c r="L12" s="35">
        <v>0.01</v>
      </c>
      <c r="M12" s="35"/>
      <c r="N12" s="36">
        <v>0</v>
      </c>
      <c r="O12" s="35">
        <v>0.01</v>
      </c>
      <c r="P12" s="35"/>
      <c r="R12" s="24">
        <v>6</v>
      </c>
      <c r="S12" s="25">
        <v>8523.6</v>
      </c>
      <c r="T12" s="25">
        <v>8698.9</v>
      </c>
      <c r="U12" s="25">
        <f>T12-S12</f>
        <v>175.29999999999927</v>
      </c>
      <c r="V12" s="23">
        <f t="shared" ref="V12:V16" si="3">(U12-114.15)/50</f>
        <v>1.2229999999999854</v>
      </c>
    </row>
    <row r="13" spans="1:22" x14ac:dyDescent="0.25">
      <c r="A13" s="1">
        <v>10</v>
      </c>
      <c r="B13" s="8" t="s">
        <v>19</v>
      </c>
      <c r="C13" s="15">
        <v>3</v>
      </c>
      <c r="D13" s="1">
        <v>6.38</v>
      </c>
      <c r="E13" s="1">
        <f>(D13+D14+D15)/3</f>
        <v>6.3066666666666675</v>
      </c>
      <c r="F13" s="1">
        <v>9762.6</v>
      </c>
      <c r="G13" s="1">
        <v>9987.2999999999993</v>
      </c>
      <c r="H13" s="7">
        <f>(G13-F13-70.78)/25</f>
        <v>6.1567999999999561</v>
      </c>
      <c r="I13" s="12">
        <f>(H13+H14)/2</f>
        <v>6.4207999999999705</v>
      </c>
      <c r="J13" s="35">
        <v>1.2</v>
      </c>
      <c r="K13" s="35">
        <f>(J13+J14+J15)/3</f>
        <v>1.1933333333333334</v>
      </c>
      <c r="L13" s="35">
        <v>0.32</v>
      </c>
      <c r="M13" s="35">
        <f>(L13+L14+L15)/3</f>
        <v>0.38666666666666666</v>
      </c>
      <c r="N13" s="36">
        <v>0.01</v>
      </c>
      <c r="O13" s="35">
        <v>0.82</v>
      </c>
      <c r="P13" s="35">
        <f>(O13+O14+O15)/3</f>
        <v>0.84666666666666668</v>
      </c>
      <c r="R13" s="24">
        <v>7</v>
      </c>
      <c r="S13" s="25">
        <v>8511.4</v>
      </c>
      <c r="T13" s="25">
        <v>8668.5</v>
      </c>
      <c r="U13" s="25">
        <f>T13-S13</f>
        <v>157.10000000000036</v>
      </c>
      <c r="V13" s="23">
        <f t="shared" si="3"/>
        <v>0.8590000000000072</v>
      </c>
    </row>
    <row r="14" spans="1:22" x14ac:dyDescent="0.25">
      <c r="A14" s="1">
        <v>11</v>
      </c>
      <c r="B14" s="8" t="s">
        <v>20</v>
      </c>
      <c r="C14" s="15">
        <v>3</v>
      </c>
      <c r="D14" s="1">
        <v>6.28</v>
      </c>
      <c r="E14" s="1"/>
      <c r="F14" s="1">
        <v>8536.5</v>
      </c>
      <c r="G14" s="1">
        <v>8774.4</v>
      </c>
      <c r="H14" s="7">
        <f t="shared" ref="H14:H15" si="4">(G14-F14-70.78)/25</f>
        <v>6.684799999999985</v>
      </c>
      <c r="I14" s="12"/>
      <c r="J14" s="35">
        <v>0.95</v>
      </c>
      <c r="K14" s="35"/>
      <c r="L14" s="35">
        <v>0.36</v>
      </c>
      <c r="M14" s="35"/>
      <c r="N14" s="36">
        <v>0.01</v>
      </c>
      <c r="O14" s="35">
        <v>0.71</v>
      </c>
      <c r="P14" s="35"/>
      <c r="R14" s="24">
        <v>8</v>
      </c>
      <c r="S14" s="25">
        <v>9682.4</v>
      </c>
      <c r="T14" s="25">
        <v>9919.7000000000007</v>
      </c>
      <c r="U14" s="25">
        <f>T14-S14</f>
        <v>237.30000000000109</v>
      </c>
      <c r="V14" s="23">
        <f t="shared" si="3"/>
        <v>2.4630000000000218</v>
      </c>
    </row>
    <row r="15" spans="1:22" x14ac:dyDescent="0.25">
      <c r="A15" s="1">
        <v>12</v>
      </c>
      <c r="B15" s="8" t="s">
        <v>21</v>
      </c>
      <c r="C15" s="15">
        <v>3</v>
      </c>
      <c r="D15" s="1">
        <v>6.26</v>
      </c>
      <c r="E15" s="1"/>
      <c r="F15" s="1">
        <v>8540.2999999999993</v>
      </c>
      <c r="G15" s="1">
        <v>8680.2999999999993</v>
      </c>
      <c r="H15" s="7">
        <f t="shared" si="4"/>
        <v>2.7688000000000001</v>
      </c>
      <c r="I15" s="12"/>
      <c r="J15" s="35">
        <v>1.43</v>
      </c>
      <c r="K15" s="35"/>
      <c r="L15" s="35">
        <v>0.48</v>
      </c>
      <c r="M15" s="35"/>
      <c r="N15" s="36">
        <v>0.01</v>
      </c>
      <c r="O15" s="35">
        <v>1.01</v>
      </c>
      <c r="P15" s="35"/>
      <c r="R15" s="24">
        <v>9</v>
      </c>
      <c r="S15" s="25">
        <v>9670.2000000000007</v>
      </c>
      <c r="T15" s="25">
        <v>9791.2000000000007</v>
      </c>
      <c r="U15" s="25">
        <f>T15-S15</f>
        <v>121</v>
      </c>
      <c r="V15" s="23">
        <f t="shared" si="3"/>
        <v>0.1369999999999999</v>
      </c>
    </row>
    <row r="16" spans="1:22" x14ac:dyDescent="0.25">
      <c r="A16" s="1">
        <v>13</v>
      </c>
      <c r="B16" s="9" t="s">
        <v>22</v>
      </c>
      <c r="C16" s="15">
        <v>3</v>
      </c>
      <c r="D16" s="1">
        <v>6.51</v>
      </c>
      <c r="E16" s="1">
        <f>(D16+D17+D18)/3</f>
        <v>6.2033333333333331</v>
      </c>
      <c r="F16" s="1">
        <v>8576.2000000000007</v>
      </c>
      <c r="G16" s="1">
        <v>9082</v>
      </c>
      <c r="H16" s="7">
        <f>(G16-F16-179.22)/50</f>
        <v>6.531599999999985</v>
      </c>
      <c r="I16" s="12">
        <f>(H16+H17+H18)/3</f>
        <v>7.4489333333333327</v>
      </c>
      <c r="J16" s="35">
        <v>3.96</v>
      </c>
      <c r="K16" s="35">
        <f>(J16+J17+J18)/3</f>
        <v>2.3933333333333331</v>
      </c>
      <c r="L16" s="35">
        <v>0.79</v>
      </c>
      <c r="M16" s="35">
        <f>(L16+L17+L18)/3</f>
        <v>0.33</v>
      </c>
      <c r="N16" s="36">
        <v>0.01</v>
      </c>
      <c r="O16" s="35">
        <v>3.99</v>
      </c>
      <c r="P16" s="35">
        <f>(O16+O17+O18)/3</f>
        <v>1.7833333333333334</v>
      </c>
      <c r="R16" s="24">
        <v>10</v>
      </c>
      <c r="S16" s="25">
        <v>9790.7999999999993</v>
      </c>
      <c r="T16" s="25">
        <v>9996.2000000000007</v>
      </c>
      <c r="U16" s="25">
        <f>T16-S16</f>
        <v>205.40000000000146</v>
      </c>
      <c r="V16" s="23">
        <f t="shared" si="3"/>
        <v>1.825000000000029</v>
      </c>
    </row>
    <row r="17" spans="1:22" x14ac:dyDescent="0.25">
      <c r="A17" s="1">
        <v>14</v>
      </c>
      <c r="B17" s="9" t="s">
        <v>23</v>
      </c>
      <c r="C17" s="15">
        <v>3</v>
      </c>
      <c r="D17" s="1">
        <v>6.19</v>
      </c>
      <c r="E17" s="1"/>
      <c r="F17" s="1">
        <v>8464.2000000000007</v>
      </c>
      <c r="G17" s="1">
        <v>9027.5</v>
      </c>
      <c r="H17" s="7">
        <f t="shared" ref="H17:H18" si="5">(G17-F17-179.22)/50</f>
        <v>7.6815999999999853</v>
      </c>
      <c r="I17" s="12"/>
      <c r="J17" s="35">
        <v>1.62</v>
      </c>
      <c r="K17" s="35"/>
      <c r="L17" s="35">
        <v>0.15</v>
      </c>
      <c r="M17" s="35"/>
      <c r="N17" s="36">
        <v>0.01</v>
      </c>
      <c r="O17" s="35">
        <v>0.71</v>
      </c>
      <c r="P17" s="35"/>
      <c r="R17" s="32"/>
      <c r="S17" s="22"/>
      <c r="T17" s="69" t="s">
        <v>2</v>
      </c>
      <c r="U17" s="69">
        <f>SUM(U12:U16)/5</f>
        <v>179.22000000000043</v>
      </c>
      <c r="V17" s="23">
        <f>(U17-114.15)/50</f>
        <v>1.3014000000000083</v>
      </c>
    </row>
    <row r="18" spans="1:22" x14ac:dyDescent="0.25">
      <c r="A18" s="1">
        <v>15</v>
      </c>
      <c r="B18" s="9" t="s">
        <v>28</v>
      </c>
      <c r="C18" s="15">
        <v>3</v>
      </c>
      <c r="D18" s="1">
        <v>5.91</v>
      </c>
      <c r="E18" s="1"/>
      <c r="F18" s="1">
        <v>8519.2999999999993</v>
      </c>
      <c r="G18" s="1">
        <v>9105.2000000000007</v>
      </c>
      <c r="H18" s="7">
        <f t="shared" si="5"/>
        <v>8.1336000000000279</v>
      </c>
      <c r="I18" s="12"/>
      <c r="J18" s="35">
        <v>1.6</v>
      </c>
      <c r="K18" s="35"/>
      <c r="L18" s="35">
        <v>0.05</v>
      </c>
      <c r="M18" s="35"/>
      <c r="N18" s="36">
        <v>0.01</v>
      </c>
      <c r="O18" s="35">
        <v>0.65</v>
      </c>
      <c r="P18" s="35"/>
      <c r="R18" s="32" t="s">
        <v>39</v>
      </c>
      <c r="S18" s="22"/>
      <c r="T18" s="25"/>
      <c r="U18" s="25"/>
      <c r="V18" s="23"/>
    </row>
    <row r="19" spans="1:22" x14ac:dyDescent="0.25">
      <c r="A19" s="1">
        <v>16</v>
      </c>
      <c r="B19" s="10" t="s">
        <v>24</v>
      </c>
      <c r="C19" s="15">
        <v>3</v>
      </c>
      <c r="D19" s="1">
        <v>6.09</v>
      </c>
      <c r="E19" s="1">
        <f>(D19+D20)/2</f>
        <v>6.18</v>
      </c>
      <c r="F19" s="1">
        <v>8532.2999999999993</v>
      </c>
      <c r="G19" s="1">
        <v>9541.9</v>
      </c>
      <c r="H19" s="7">
        <f>(G19-F19-232.94)/100</f>
        <v>7.7666000000000031</v>
      </c>
      <c r="I19" s="12">
        <f>(H19+H20)/2</f>
        <v>7.6386000000000012</v>
      </c>
      <c r="J19" s="35">
        <v>2.5</v>
      </c>
      <c r="K19" s="35">
        <f>(J19+J20)/2</f>
        <v>3</v>
      </c>
      <c r="L19" s="35">
        <v>0.71</v>
      </c>
      <c r="M19" s="35">
        <f>(L19+L20)/2</f>
        <v>0.69500000000000006</v>
      </c>
      <c r="N19" s="36">
        <v>0.01</v>
      </c>
      <c r="O19" s="35">
        <v>1.59</v>
      </c>
      <c r="P19" s="35">
        <f>(O19+O20)/2</f>
        <v>1.7749999999999999</v>
      </c>
      <c r="R19" s="24">
        <v>11</v>
      </c>
      <c r="S19" s="25">
        <v>9658.2999999999993</v>
      </c>
      <c r="T19" s="25">
        <v>9847.6</v>
      </c>
      <c r="U19" s="25">
        <f>T19-S19</f>
        <v>189.30000000000109</v>
      </c>
      <c r="V19" s="23">
        <f t="shared" ref="V19:V23" si="6">(U19-182.14)/100</f>
        <v>7.1600000000011044E-2</v>
      </c>
    </row>
    <row r="20" spans="1:22" x14ac:dyDescent="0.25">
      <c r="A20" s="1">
        <v>17</v>
      </c>
      <c r="B20" s="10" t="s">
        <v>25</v>
      </c>
      <c r="C20" s="15">
        <v>3</v>
      </c>
      <c r="D20" s="1">
        <v>6.27</v>
      </c>
      <c r="E20" s="1"/>
      <c r="F20" s="1">
        <v>9653.4</v>
      </c>
      <c r="G20" s="1">
        <v>10637.4</v>
      </c>
      <c r="H20" s="7">
        <f>(G20-F20-232.94)/100</f>
        <v>7.5105999999999993</v>
      </c>
      <c r="I20" s="12"/>
      <c r="J20" s="35">
        <v>3.5</v>
      </c>
      <c r="K20" s="35"/>
      <c r="L20" s="35">
        <v>0.68</v>
      </c>
      <c r="M20" s="35"/>
      <c r="N20" s="36">
        <v>0.01</v>
      </c>
      <c r="O20" s="35">
        <v>1.96</v>
      </c>
      <c r="P20" s="35"/>
      <c r="R20" s="24">
        <v>12</v>
      </c>
      <c r="S20" s="25">
        <v>9754.9</v>
      </c>
      <c r="T20" s="25">
        <v>10046.9</v>
      </c>
      <c r="U20" s="25">
        <f>T20-S20</f>
        <v>292</v>
      </c>
      <c r="V20" s="23">
        <f t="shared" si="6"/>
        <v>1.0986000000000002</v>
      </c>
    </row>
    <row r="21" spans="1:22" x14ac:dyDescent="0.25">
      <c r="A21" s="1">
        <v>18</v>
      </c>
      <c r="B21" s="11" t="s">
        <v>26</v>
      </c>
      <c r="C21" s="15">
        <v>3</v>
      </c>
      <c r="D21" s="1">
        <v>2.54</v>
      </c>
      <c r="E21" s="1">
        <f>(D21+D22+D23)/3</f>
        <v>2.6266666666666669</v>
      </c>
      <c r="F21" s="1">
        <v>9639.7000000000007</v>
      </c>
      <c r="G21" s="1">
        <v>10041.1</v>
      </c>
      <c r="H21" s="7">
        <f>(G21-F21-179.22)/50</f>
        <v>4.4435999999999929</v>
      </c>
      <c r="I21" s="12">
        <f>(H21+H22+H23)/3</f>
        <v>3.7169333333333263</v>
      </c>
      <c r="J21" s="35">
        <v>0.24</v>
      </c>
      <c r="K21" s="35">
        <f>(J21+J22+J23)/3</f>
        <v>0.31</v>
      </c>
      <c r="L21" s="35">
        <v>1</v>
      </c>
      <c r="M21" s="35">
        <f>(L21+L22+L23)/3</f>
        <v>0.56999999999999995</v>
      </c>
      <c r="N21" s="36">
        <v>0</v>
      </c>
      <c r="O21" s="35">
        <v>0.13</v>
      </c>
      <c r="P21" s="35">
        <f>(O21+O22+O23)/3</f>
        <v>5.6666666666666671E-2</v>
      </c>
      <c r="R21" s="24">
        <v>13</v>
      </c>
      <c r="S21" s="25">
        <v>8122.9</v>
      </c>
      <c r="T21" s="25">
        <v>8346.6</v>
      </c>
      <c r="U21" s="25">
        <f>T21-S21</f>
        <v>223.70000000000073</v>
      </c>
      <c r="V21" s="23">
        <f t="shared" si="6"/>
        <v>0.41560000000000741</v>
      </c>
    </row>
    <row r="22" spans="1:22" x14ac:dyDescent="0.25">
      <c r="A22" s="1">
        <v>19</v>
      </c>
      <c r="B22" s="11" t="s">
        <v>27</v>
      </c>
      <c r="C22" s="15">
        <v>3</v>
      </c>
      <c r="D22" s="1">
        <v>2.6</v>
      </c>
      <c r="E22" s="1"/>
      <c r="F22" s="1">
        <v>9768.2000000000007</v>
      </c>
      <c r="G22" s="1">
        <v>10169.9</v>
      </c>
      <c r="H22" s="7">
        <f>(G22-F22-179.22)/50</f>
        <v>4.449599999999978</v>
      </c>
      <c r="I22" s="12"/>
      <c r="J22" s="35">
        <v>0.28999999999999998</v>
      </c>
      <c r="K22" s="35"/>
      <c r="L22" s="35">
        <v>0.4</v>
      </c>
      <c r="M22" s="35"/>
      <c r="N22" s="36">
        <v>0</v>
      </c>
      <c r="O22" s="35">
        <v>0.03</v>
      </c>
      <c r="P22" s="35"/>
      <c r="R22" s="24">
        <v>14</v>
      </c>
      <c r="S22" s="25">
        <v>9360.2000000000007</v>
      </c>
      <c r="T22" s="25">
        <v>9554.9</v>
      </c>
      <c r="U22" s="25">
        <f>T22-S22</f>
        <v>194.69999999999891</v>
      </c>
      <c r="V22" s="23">
        <f t="shared" si="6"/>
        <v>0.12559999999998922</v>
      </c>
    </row>
    <row r="23" spans="1:22" x14ac:dyDescent="0.25">
      <c r="A23" s="1">
        <v>20</v>
      </c>
      <c r="B23" s="11" t="s">
        <v>29</v>
      </c>
      <c r="C23" s="15">
        <v>3</v>
      </c>
      <c r="D23" s="1">
        <v>2.74</v>
      </c>
      <c r="E23" s="1"/>
      <c r="F23" s="1">
        <v>9668</v>
      </c>
      <c r="G23" s="1">
        <v>9960.1</v>
      </c>
      <c r="H23" s="7">
        <f>(G23-F23-179.22)/50</f>
        <v>2.2576000000000072</v>
      </c>
      <c r="I23" s="12"/>
      <c r="J23" s="35">
        <v>0.4</v>
      </c>
      <c r="K23" s="35"/>
      <c r="L23" s="35">
        <v>0.31</v>
      </c>
      <c r="M23" s="35"/>
      <c r="N23" s="36">
        <v>0</v>
      </c>
      <c r="O23" s="35">
        <v>0.01</v>
      </c>
      <c r="P23" s="35"/>
      <c r="R23" s="24">
        <v>15</v>
      </c>
      <c r="S23" s="25">
        <v>8142.2</v>
      </c>
      <c r="T23" s="25">
        <v>8407.2000000000007</v>
      </c>
      <c r="U23" s="25">
        <f>T23-S23</f>
        <v>265.00000000000091</v>
      </c>
      <c r="V23" s="23">
        <f t="shared" si="6"/>
        <v>0.82860000000000922</v>
      </c>
    </row>
    <row r="24" spans="1:22" ht="15.75" thickBot="1" x14ac:dyDescent="0.3">
      <c r="A24" s="1">
        <v>21</v>
      </c>
      <c r="B24" s="8" t="s">
        <v>19</v>
      </c>
      <c r="C24" s="15">
        <v>6</v>
      </c>
      <c r="D24" s="1">
        <v>8.44</v>
      </c>
      <c r="E24" s="1">
        <f>(D24+D25+D26)/3</f>
        <v>8.33</v>
      </c>
      <c r="F24" s="1">
        <v>9737.7000000000007</v>
      </c>
      <c r="G24" s="1">
        <v>10211.799999999999</v>
      </c>
      <c r="H24" s="7">
        <f>(G24-F24-70.78)/25</f>
        <v>16.132799999999943</v>
      </c>
      <c r="I24" s="12">
        <f>(H24+H26)/2</f>
        <v>16.874799999999986</v>
      </c>
      <c r="J24" s="35">
        <v>389.21</v>
      </c>
      <c r="K24" s="35">
        <f>(J24+J25+J26)/3</f>
        <v>419.7833333333333</v>
      </c>
      <c r="L24" s="35">
        <v>5.13</v>
      </c>
      <c r="M24" s="35">
        <f>(L24+L25+L26)/3</f>
        <v>10.976666666666667</v>
      </c>
      <c r="N24" s="36">
        <v>0</v>
      </c>
      <c r="O24" s="35">
        <v>3</v>
      </c>
      <c r="P24" s="35">
        <f>(O24+O25+O26)/3</f>
        <v>34.166666666666664</v>
      </c>
      <c r="R24" s="27"/>
      <c r="S24" s="28"/>
      <c r="T24" s="70" t="s">
        <v>2</v>
      </c>
      <c r="U24" s="70">
        <f>(U19+U20+U21+U22+U23)/5</f>
        <v>232.94000000000034</v>
      </c>
      <c r="V24" s="30">
        <f>(V20+V21+V23)/3</f>
        <v>0.78093333333333892</v>
      </c>
    </row>
    <row r="25" spans="1:22" x14ac:dyDescent="0.25">
      <c r="A25" s="1">
        <v>22</v>
      </c>
      <c r="B25" s="8" t="s">
        <v>20</v>
      </c>
      <c r="C25" s="15">
        <v>6</v>
      </c>
      <c r="D25" s="1">
        <v>8.35</v>
      </c>
      <c r="E25" s="1"/>
      <c r="F25" s="1">
        <v>8549.4</v>
      </c>
      <c r="G25" s="1">
        <v>8979.9</v>
      </c>
      <c r="H25" s="7">
        <f t="shared" ref="H25:H26" si="7">(G25-F25-70.78)/25</f>
        <v>14.388800000000002</v>
      </c>
      <c r="I25" s="12"/>
      <c r="J25" s="35">
        <v>531.37</v>
      </c>
      <c r="K25" s="35"/>
      <c r="L25" s="35">
        <v>2.9</v>
      </c>
      <c r="M25" s="35"/>
      <c r="N25" s="36">
        <v>0</v>
      </c>
      <c r="O25" s="35">
        <v>11.8</v>
      </c>
      <c r="P25" s="35"/>
    </row>
    <row r="26" spans="1:22" ht="15.75" thickBot="1" x14ac:dyDescent="0.3">
      <c r="A26" s="1">
        <v>23</v>
      </c>
      <c r="B26" s="8" t="s">
        <v>21</v>
      </c>
      <c r="C26" s="15">
        <v>6</v>
      </c>
      <c r="D26" s="1">
        <v>8.1999999999999993</v>
      </c>
      <c r="E26" s="1"/>
      <c r="F26" s="1">
        <v>8412</v>
      </c>
      <c r="G26" s="1">
        <v>8923.2000000000007</v>
      </c>
      <c r="H26" s="7">
        <f t="shared" si="7"/>
        <v>17.61680000000003</v>
      </c>
      <c r="I26" s="12"/>
      <c r="J26" s="35">
        <v>338.77</v>
      </c>
      <c r="K26" s="35"/>
      <c r="L26" s="35">
        <v>24.9</v>
      </c>
      <c r="M26" s="35"/>
      <c r="N26" s="36">
        <v>0</v>
      </c>
      <c r="O26" s="35">
        <v>87.7</v>
      </c>
      <c r="P26" s="35"/>
    </row>
    <row r="27" spans="1:22" x14ac:dyDescent="0.25">
      <c r="A27" s="1">
        <v>24</v>
      </c>
      <c r="B27" s="9" t="s">
        <v>22</v>
      </c>
      <c r="C27" s="15">
        <v>6</v>
      </c>
      <c r="D27" s="1">
        <v>8.2100000000000009</v>
      </c>
      <c r="E27" s="1">
        <f>(D27+D28+D29)/3</f>
        <v>8.2266666666666666</v>
      </c>
      <c r="F27" s="1">
        <v>8449.7999999999993</v>
      </c>
      <c r="G27" s="1">
        <v>9189.6</v>
      </c>
      <c r="H27" s="7">
        <f>(G27-F27-179.22)/50</f>
        <v>11.211600000000022</v>
      </c>
      <c r="I27" s="12">
        <f>(H27+H29+H28)/3</f>
        <v>13.707599999999994</v>
      </c>
      <c r="J27" s="35">
        <v>1322.82</v>
      </c>
      <c r="K27" s="35">
        <f>(J28+J29)/2</f>
        <v>553.33000000000004</v>
      </c>
      <c r="L27" s="35">
        <v>178.7</v>
      </c>
      <c r="M27" s="35">
        <f>(L27+L28+L29)/3</f>
        <v>125.8</v>
      </c>
      <c r="N27" s="36">
        <v>0</v>
      </c>
      <c r="O27" s="35">
        <v>154.9</v>
      </c>
      <c r="P27" s="35">
        <f>(O27+O28+O29)/3</f>
        <v>88.40000000000002</v>
      </c>
      <c r="R27" s="16" t="s">
        <v>6</v>
      </c>
      <c r="S27" s="17"/>
      <c r="T27" s="17"/>
      <c r="U27" s="17"/>
      <c r="V27" s="37"/>
    </row>
    <row r="28" spans="1:22" x14ac:dyDescent="0.25">
      <c r="A28" s="1">
        <v>25</v>
      </c>
      <c r="B28" s="9" t="s">
        <v>23</v>
      </c>
      <c r="C28" s="15">
        <v>6</v>
      </c>
      <c r="D28" s="1">
        <v>8.1999999999999993</v>
      </c>
      <c r="E28" s="1"/>
      <c r="F28" s="1">
        <v>8433.2000000000007</v>
      </c>
      <c r="G28" s="1">
        <v>9414.6</v>
      </c>
      <c r="H28" s="7">
        <f>(G28-F28-179.22)/50</f>
        <v>16.043599999999991</v>
      </c>
      <c r="I28" s="12"/>
      <c r="J28" s="35">
        <v>309.8</v>
      </c>
      <c r="K28" s="35"/>
      <c r="L28" s="35">
        <v>84.8</v>
      </c>
      <c r="M28" s="35"/>
      <c r="N28" s="36">
        <v>0</v>
      </c>
      <c r="O28" s="35">
        <v>23.3</v>
      </c>
      <c r="P28" s="35"/>
      <c r="R28" s="24" t="s">
        <v>41</v>
      </c>
      <c r="S28" s="25" t="s">
        <v>42</v>
      </c>
      <c r="T28" s="22" t="s">
        <v>43</v>
      </c>
      <c r="U28" s="25" t="s">
        <v>44</v>
      </c>
      <c r="V28" s="26" t="s">
        <v>45</v>
      </c>
    </row>
    <row r="29" spans="1:22" x14ac:dyDescent="0.25">
      <c r="A29" s="1">
        <v>26</v>
      </c>
      <c r="B29" s="9" t="s">
        <v>28</v>
      </c>
      <c r="C29" s="15">
        <v>6</v>
      </c>
      <c r="D29" s="1">
        <v>8.27</v>
      </c>
      <c r="E29" s="1"/>
      <c r="F29" s="1">
        <v>8529.2000000000007</v>
      </c>
      <c r="G29" s="1">
        <v>9401.7999999999993</v>
      </c>
      <c r="H29" s="7">
        <f>(G29-F29-179.22)/50</f>
        <v>13.867599999999971</v>
      </c>
      <c r="I29" s="12"/>
      <c r="J29" s="35">
        <v>796.86</v>
      </c>
      <c r="K29" s="35"/>
      <c r="L29" s="35">
        <v>113.9</v>
      </c>
      <c r="M29" s="35"/>
      <c r="N29" s="36">
        <v>0</v>
      </c>
      <c r="O29" s="35">
        <v>87</v>
      </c>
      <c r="P29" s="35"/>
      <c r="R29" s="24">
        <v>0</v>
      </c>
      <c r="S29" s="25">
        <v>0</v>
      </c>
      <c r="T29" s="25">
        <v>0</v>
      </c>
      <c r="U29" s="25">
        <v>0</v>
      </c>
      <c r="V29" s="26">
        <v>0</v>
      </c>
    </row>
    <row r="30" spans="1:22" x14ac:dyDescent="0.25">
      <c r="A30" s="1">
        <v>27</v>
      </c>
      <c r="B30" s="10" t="s">
        <v>24</v>
      </c>
      <c r="C30" s="15">
        <v>6</v>
      </c>
      <c r="D30" s="1">
        <v>7.96</v>
      </c>
      <c r="E30" s="1">
        <f>(D30+D31)/2</f>
        <v>8.0050000000000008</v>
      </c>
      <c r="F30" s="1">
        <v>8498.7000000000007</v>
      </c>
      <c r="G30" s="1">
        <v>10620.3</v>
      </c>
      <c r="H30" s="7">
        <f>(G30-F30-232.94)/100</f>
        <v>18.886599999999984</v>
      </c>
      <c r="I30" s="12">
        <f>(H30+H31)/2</f>
        <v>18.181599999999996</v>
      </c>
      <c r="J30" s="35">
        <v>426.75</v>
      </c>
      <c r="K30" s="35">
        <f>(J30+J31)/2</f>
        <v>479.69</v>
      </c>
      <c r="L30" s="35">
        <v>70.8</v>
      </c>
      <c r="M30" s="35">
        <f>(L30+L31)/2</f>
        <v>61.55</v>
      </c>
      <c r="N30" s="36">
        <v>0</v>
      </c>
      <c r="O30" s="35">
        <v>19.7</v>
      </c>
      <c r="P30" s="35">
        <f>(O30+O31)/2</f>
        <v>32.450000000000003</v>
      </c>
      <c r="R30" s="24">
        <v>1.5</v>
      </c>
      <c r="S30" s="25">
        <v>0.11</v>
      </c>
      <c r="T30" s="25">
        <v>0.17</v>
      </c>
      <c r="U30" s="25">
        <v>0.105</v>
      </c>
      <c r="V30" s="26">
        <v>0.17</v>
      </c>
    </row>
    <row r="31" spans="1:22" x14ac:dyDescent="0.25">
      <c r="A31" s="1">
        <v>28</v>
      </c>
      <c r="B31" s="10" t="s">
        <v>25</v>
      </c>
      <c r="C31" s="15">
        <v>6</v>
      </c>
      <c r="D31" s="1">
        <v>8.0500000000000007</v>
      </c>
      <c r="E31" s="1"/>
      <c r="F31" s="1">
        <v>9642.5</v>
      </c>
      <c r="G31" s="1">
        <v>11623.1</v>
      </c>
      <c r="H31" s="7">
        <f>(G31-F31-232.94)/100</f>
        <v>17.476600000000005</v>
      </c>
      <c r="I31" s="12"/>
      <c r="J31" s="35">
        <v>532.63</v>
      </c>
      <c r="K31" s="35"/>
      <c r="L31" s="35">
        <v>52.3</v>
      </c>
      <c r="M31" s="35"/>
      <c r="N31" s="36">
        <v>0</v>
      </c>
      <c r="O31" s="35">
        <v>45.2</v>
      </c>
      <c r="P31" s="35"/>
      <c r="R31" s="24">
        <v>3</v>
      </c>
      <c r="S31" s="25">
        <v>1.19</v>
      </c>
      <c r="T31" s="25">
        <v>2.39</v>
      </c>
      <c r="U31" s="25">
        <v>3</v>
      </c>
      <c r="V31" s="26">
        <v>0.31</v>
      </c>
    </row>
    <row r="32" spans="1:22" x14ac:dyDescent="0.25">
      <c r="A32" s="1">
        <v>29</v>
      </c>
      <c r="B32" s="11" t="s">
        <v>26</v>
      </c>
      <c r="C32" s="15">
        <v>6</v>
      </c>
      <c r="D32" s="1">
        <v>2.37</v>
      </c>
      <c r="E32" s="1">
        <f>(D32+D33+D34)/3</f>
        <v>2.62</v>
      </c>
      <c r="F32" s="1">
        <v>9686.2999999999993</v>
      </c>
      <c r="G32" s="1">
        <v>10343.700000000001</v>
      </c>
      <c r="H32" s="7">
        <f>(G32-F32-179.22)/50</f>
        <v>9.5636000000000294</v>
      </c>
      <c r="I32" s="12">
        <f>(H32+H33+H34)/3</f>
        <v>8.284266666666662</v>
      </c>
      <c r="J32" s="35">
        <v>7.0000000000000007E-2</v>
      </c>
      <c r="K32" s="35">
        <f>(J32+J33+J34)/3</f>
        <v>0.11666666666666668</v>
      </c>
      <c r="L32" s="35">
        <v>1.1100000000000001</v>
      </c>
      <c r="M32" s="35">
        <f>(L32+L33+L34)/3</f>
        <v>1.1033333333333333</v>
      </c>
      <c r="N32" s="36">
        <v>0</v>
      </c>
      <c r="O32" s="35">
        <v>5.0000000000000002E-5</v>
      </c>
      <c r="P32" s="35">
        <f>(O32+O33+O34)/3</f>
        <v>5.0166666666666667E-3</v>
      </c>
      <c r="R32" s="24">
        <v>6</v>
      </c>
      <c r="S32" s="25">
        <v>419.78</v>
      </c>
      <c r="T32" s="25">
        <v>553.33000000000004</v>
      </c>
      <c r="U32" s="25">
        <v>479.69</v>
      </c>
      <c r="V32" s="26">
        <v>0.12</v>
      </c>
    </row>
    <row r="33" spans="1:22" x14ac:dyDescent="0.25">
      <c r="A33" s="1">
        <v>30</v>
      </c>
      <c r="B33" s="11" t="s">
        <v>27</v>
      </c>
      <c r="C33" s="15">
        <v>6</v>
      </c>
      <c r="D33" s="1">
        <v>2.86</v>
      </c>
      <c r="E33" s="1"/>
      <c r="F33" s="1">
        <v>9736.7000000000007</v>
      </c>
      <c r="G33" s="1">
        <v>10194.299999999999</v>
      </c>
      <c r="H33" s="7">
        <f>(G33-F33-179.22)/50</f>
        <v>5.5675999999999704</v>
      </c>
      <c r="I33" s="12"/>
      <c r="J33" s="35">
        <v>0.22</v>
      </c>
      <c r="K33" s="35"/>
      <c r="L33" s="35">
        <v>1.3</v>
      </c>
      <c r="M33" s="35"/>
      <c r="N33" s="36">
        <v>0</v>
      </c>
      <c r="O33" s="35">
        <v>0.01</v>
      </c>
      <c r="P33" s="35"/>
      <c r="R33" s="24">
        <v>9</v>
      </c>
      <c r="S33" s="25">
        <v>403.87</v>
      </c>
      <c r="T33" s="25">
        <v>559.37</v>
      </c>
      <c r="U33" s="25">
        <v>1269</v>
      </c>
      <c r="V33" s="26">
        <v>0.1</v>
      </c>
    </row>
    <row r="34" spans="1:22" x14ac:dyDescent="0.25">
      <c r="A34" s="1">
        <v>31</v>
      </c>
      <c r="B34" s="11" t="s">
        <v>29</v>
      </c>
      <c r="C34" s="15">
        <v>6</v>
      </c>
      <c r="D34" s="1">
        <v>2.63</v>
      </c>
      <c r="E34" s="1"/>
      <c r="F34" s="1">
        <v>9665.6</v>
      </c>
      <c r="G34" s="1">
        <v>10330.9</v>
      </c>
      <c r="H34" s="7">
        <f>(G34-F34-179.22)/50</f>
        <v>9.7215999999999845</v>
      </c>
      <c r="I34" s="12"/>
      <c r="J34" s="35">
        <v>0.06</v>
      </c>
      <c r="K34" s="35"/>
      <c r="L34" s="35">
        <v>0.9</v>
      </c>
      <c r="M34" s="35"/>
      <c r="N34" s="36">
        <v>0</v>
      </c>
      <c r="O34" s="35">
        <v>5.0000000000000001E-3</v>
      </c>
      <c r="P34" s="35"/>
      <c r="R34" s="24">
        <v>12</v>
      </c>
      <c r="S34" s="25">
        <v>427.23</v>
      </c>
      <c r="T34" s="25">
        <v>536.1</v>
      </c>
      <c r="U34" s="25">
        <v>912.71</v>
      </c>
      <c r="V34" s="26">
        <v>0.35</v>
      </c>
    </row>
    <row r="35" spans="1:22" x14ac:dyDescent="0.25">
      <c r="A35" s="1">
        <v>32</v>
      </c>
      <c r="B35" s="8" t="s">
        <v>19</v>
      </c>
      <c r="C35" s="15">
        <v>9</v>
      </c>
      <c r="D35" s="1">
        <v>8.57</v>
      </c>
      <c r="E35" s="1">
        <f>(D35+D36+D37)/3</f>
        <v>8.6233333333333331</v>
      </c>
      <c r="F35" s="1">
        <v>9362.5</v>
      </c>
      <c r="G35" s="1">
        <v>9728.5</v>
      </c>
      <c r="H35" s="7">
        <f>(G35-F35-70.78)/25</f>
        <v>11.808800000000002</v>
      </c>
      <c r="I35" s="12">
        <f>(H36+H37+H38)/3</f>
        <v>15.28439999999997</v>
      </c>
      <c r="J35" s="35">
        <v>403.87</v>
      </c>
      <c r="K35" s="35">
        <f>(J35+J36)/2</f>
        <v>374.05500000000001</v>
      </c>
      <c r="L35" s="35">
        <v>57.9</v>
      </c>
      <c r="M35" s="35">
        <f>(L35+L36+L37)/3</f>
        <v>80.866666666666674</v>
      </c>
      <c r="N35" s="36">
        <v>0</v>
      </c>
      <c r="O35" s="35">
        <v>20.6</v>
      </c>
      <c r="P35" s="35">
        <f>(O35+O36)/2</f>
        <v>19.600000000000001</v>
      </c>
      <c r="R35" s="32"/>
      <c r="S35" s="22"/>
      <c r="T35" s="22"/>
      <c r="U35" s="22"/>
      <c r="V35" s="23"/>
    </row>
    <row r="36" spans="1:22" x14ac:dyDescent="0.25">
      <c r="A36" s="1">
        <v>33</v>
      </c>
      <c r="B36" s="8" t="s">
        <v>20</v>
      </c>
      <c r="C36" s="15">
        <v>9</v>
      </c>
      <c r="D36" s="1">
        <v>8.7100000000000009</v>
      </c>
      <c r="E36" s="1"/>
      <c r="F36" s="1">
        <v>9394.7000000000007</v>
      </c>
      <c r="G36" s="1">
        <v>9785.4</v>
      </c>
      <c r="H36" s="7">
        <f t="shared" ref="H36:H37" si="8">(G36-F36-70.78)/25</f>
        <v>12.796799999999957</v>
      </c>
      <c r="I36" s="12"/>
      <c r="J36" s="35">
        <v>344.24</v>
      </c>
      <c r="K36" s="35"/>
      <c r="L36" s="35">
        <v>64.400000000000006</v>
      </c>
      <c r="M36" s="35"/>
      <c r="N36" s="36">
        <v>0</v>
      </c>
      <c r="O36" s="35">
        <v>18.600000000000001</v>
      </c>
      <c r="P36" s="35"/>
      <c r="R36" s="32" t="s">
        <v>8</v>
      </c>
      <c r="S36" s="22">
        <f>S34/(50*1000)</f>
        <v>8.5446000000000012E-3</v>
      </c>
      <c r="T36" s="22">
        <f>T33/(50*1000)</f>
        <v>1.11874E-2</v>
      </c>
      <c r="U36" s="22">
        <f>U33/(50*1000)</f>
        <v>2.538E-2</v>
      </c>
      <c r="V36" s="23">
        <f t="shared" ref="V36" si="9">V34/(50*1000)</f>
        <v>6.9999999999999999E-6</v>
      </c>
    </row>
    <row r="37" spans="1:22" ht="15.75" thickBot="1" x14ac:dyDescent="0.3">
      <c r="A37" s="1">
        <v>34</v>
      </c>
      <c r="B37" s="8" t="s">
        <v>21</v>
      </c>
      <c r="C37" s="15">
        <v>9</v>
      </c>
      <c r="D37" s="1">
        <v>8.59</v>
      </c>
      <c r="E37" s="1"/>
      <c r="F37" s="1">
        <v>9326.7000000000007</v>
      </c>
      <c r="G37" s="1">
        <v>9754.4</v>
      </c>
      <c r="H37" s="7">
        <f t="shared" si="8"/>
        <v>14.276799999999957</v>
      </c>
      <c r="I37" s="12"/>
      <c r="J37" s="35">
        <v>237.57</v>
      </c>
      <c r="K37" s="35"/>
      <c r="L37" s="35">
        <v>120.3</v>
      </c>
      <c r="M37" s="35"/>
      <c r="N37" s="36">
        <v>0</v>
      </c>
      <c r="O37" s="35">
        <v>0</v>
      </c>
      <c r="P37" s="35"/>
      <c r="R37" s="38" t="s">
        <v>11</v>
      </c>
      <c r="S37" s="29">
        <f>S32/6</f>
        <v>69.963333333333324</v>
      </c>
      <c r="T37" s="29">
        <f>T32/6</f>
        <v>92.221666666666678</v>
      </c>
      <c r="U37" s="29">
        <f>U33/9</f>
        <v>141</v>
      </c>
      <c r="V37" s="30">
        <f>V34/12</f>
        <v>2.9166666666666664E-2</v>
      </c>
    </row>
    <row r="38" spans="1:22" x14ac:dyDescent="0.25">
      <c r="A38" s="1">
        <v>35</v>
      </c>
      <c r="B38" s="9" t="s">
        <v>22</v>
      </c>
      <c r="C38" s="15">
        <v>9</v>
      </c>
      <c r="D38" s="1">
        <v>8.44</v>
      </c>
      <c r="E38" s="1">
        <f>(D38+D39+D40)/3</f>
        <v>8.4633333333333329</v>
      </c>
      <c r="F38" s="1">
        <v>8093.8</v>
      </c>
      <c r="G38" s="1">
        <v>9212</v>
      </c>
      <c r="H38" s="7">
        <f>(G38-F38-179.22)/50</f>
        <v>18.779599999999995</v>
      </c>
      <c r="I38" s="12">
        <f>(H38+H39+H40)/3</f>
        <v>16.352933333333329</v>
      </c>
      <c r="J38" s="35">
        <v>738.23</v>
      </c>
      <c r="K38" s="35">
        <f>(J38+J39+J40)/3</f>
        <v>559.37</v>
      </c>
      <c r="L38" s="35">
        <v>34.700000000000003</v>
      </c>
      <c r="M38" s="35">
        <f>(L38+L39+L40)/3</f>
        <v>105.23333333333335</v>
      </c>
      <c r="N38" s="36">
        <v>0</v>
      </c>
      <c r="O38" s="35">
        <v>249.8</v>
      </c>
      <c r="P38" s="35">
        <f>(O38+O40+O39)/3</f>
        <v>98.7</v>
      </c>
    </row>
    <row r="39" spans="1:22" ht="15.75" thickBot="1" x14ac:dyDescent="0.3">
      <c r="A39" s="1">
        <v>36</v>
      </c>
      <c r="B39" s="9" t="s">
        <v>23</v>
      </c>
      <c r="C39" s="15">
        <v>9</v>
      </c>
      <c r="D39" s="1">
        <v>8.49</v>
      </c>
      <c r="E39" s="1"/>
      <c r="F39" s="1">
        <v>8112</v>
      </c>
      <c r="G39" s="1">
        <v>9210.1</v>
      </c>
      <c r="H39" s="7">
        <f>(G39-F39-179.22)/50</f>
        <v>18.377600000000008</v>
      </c>
      <c r="I39" s="12"/>
      <c r="J39" s="35">
        <v>321.47000000000003</v>
      </c>
      <c r="K39" s="35"/>
      <c r="L39" s="35">
        <v>141.4</v>
      </c>
      <c r="M39" s="35"/>
      <c r="N39" s="36">
        <v>0</v>
      </c>
      <c r="O39" s="35">
        <v>0</v>
      </c>
      <c r="P39" s="35"/>
    </row>
    <row r="40" spans="1:22" x14ac:dyDescent="0.25">
      <c r="A40" s="1">
        <v>37</v>
      </c>
      <c r="B40" s="9" t="s">
        <v>28</v>
      </c>
      <c r="C40" s="15">
        <v>9</v>
      </c>
      <c r="D40" s="1">
        <v>8.4600000000000009</v>
      </c>
      <c r="E40" s="1"/>
      <c r="F40" s="1">
        <v>9293.6</v>
      </c>
      <c r="G40" s="1">
        <v>10067.9</v>
      </c>
      <c r="H40" s="7">
        <f>(G40-F40-179.22)/50</f>
        <v>11.901599999999984</v>
      </c>
      <c r="I40" s="12"/>
      <c r="J40" s="35">
        <v>618.41</v>
      </c>
      <c r="K40" s="35"/>
      <c r="L40" s="35">
        <v>139.6</v>
      </c>
      <c r="M40" s="35"/>
      <c r="N40" s="36">
        <v>0</v>
      </c>
      <c r="O40" s="35">
        <v>46.3</v>
      </c>
      <c r="P40" s="35"/>
      <c r="R40" s="16" t="s">
        <v>12</v>
      </c>
      <c r="S40" s="17"/>
      <c r="T40" s="17"/>
      <c r="U40" s="17"/>
      <c r="V40" s="37"/>
    </row>
    <row r="41" spans="1:22" x14ac:dyDescent="0.25">
      <c r="A41" s="1">
        <v>38</v>
      </c>
      <c r="B41" s="10" t="s">
        <v>24</v>
      </c>
      <c r="C41" s="15">
        <v>9</v>
      </c>
      <c r="D41" s="1">
        <v>8.2899999999999991</v>
      </c>
      <c r="E41" s="1">
        <f>(D41+D42+D43)/3</f>
        <v>8.2733333333333317</v>
      </c>
      <c r="F41" s="1">
        <v>8120.8</v>
      </c>
      <c r="G41" s="1">
        <v>9657.6</v>
      </c>
      <c r="H41" s="7">
        <f>(G41-F41-232.941)/100</f>
        <v>13.038590000000001</v>
      </c>
      <c r="I41" s="12">
        <f>(H41+H43+H42)/3</f>
        <v>10.733923333333331</v>
      </c>
      <c r="J41" s="35">
        <v>1357.68</v>
      </c>
      <c r="K41" s="35">
        <f>(J41+J42+J43)/3</f>
        <v>1269</v>
      </c>
      <c r="L41" s="35">
        <v>221.6</v>
      </c>
      <c r="M41" s="35">
        <f>(L41+L42+L43)/3</f>
        <v>194.4</v>
      </c>
      <c r="N41" s="36">
        <v>0</v>
      </c>
      <c r="O41" s="35">
        <v>0</v>
      </c>
      <c r="P41" s="35">
        <f>(O41+O42+O43)/3</f>
        <v>34</v>
      </c>
      <c r="R41" s="24" t="s">
        <v>41</v>
      </c>
      <c r="S41" s="25" t="s">
        <v>42</v>
      </c>
      <c r="T41" s="22" t="s">
        <v>43</v>
      </c>
      <c r="U41" s="25" t="s">
        <v>44</v>
      </c>
      <c r="V41" s="26" t="s">
        <v>45</v>
      </c>
    </row>
    <row r="42" spans="1:22" x14ac:dyDescent="0.25">
      <c r="A42" s="1">
        <v>39</v>
      </c>
      <c r="B42" s="10" t="s">
        <v>25</v>
      </c>
      <c r="C42" s="15">
        <v>9</v>
      </c>
      <c r="D42" s="1">
        <v>8.26</v>
      </c>
      <c r="E42" s="1"/>
      <c r="F42" s="1">
        <v>9770.9</v>
      </c>
      <c r="G42" s="1">
        <v>10910.4</v>
      </c>
      <c r="H42" s="7">
        <f t="shared" ref="H42:H43" si="10">(G42-F42-232.941)/100</f>
        <v>9.0655900000000003</v>
      </c>
      <c r="I42" s="12"/>
      <c r="J42" s="35">
        <v>1356.81</v>
      </c>
      <c r="K42" s="35"/>
      <c r="L42" s="35">
        <v>130.80000000000001</v>
      </c>
      <c r="M42" s="35"/>
      <c r="N42" s="36">
        <v>0</v>
      </c>
      <c r="O42" s="35">
        <v>65</v>
      </c>
      <c r="P42" s="35"/>
      <c r="R42" s="24">
        <v>0</v>
      </c>
      <c r="S42" s="25">
        <v>0</v>
      </c>
      <c r="T42" s="25">
        <v>0</v>
      </c>
      <c r="U42" s="25">
        <v>0</v>
      </c>
      <c r="V42" s="26">
        <v>0</v>
      </c>
    </row>
    <row r="43" spans="1:22" x14ac:dyDescent="0.25">
      <c r="A43" s="1">
        <v>40</v>
      </c>
      <c r="B43" s="10" t="s">
        <v>30</v>
      </c>
      <c r="C43" s="15">
        <v>9</v>
      </c>
      <c r="D43" s="1">
        <v>8.27</v>
      </c>
      <c r="E43" s="1"/>
      <c r="F43" s="1">
        <v>8147.3</v>
      </c>
      <c r="G43" s="1">
        <v>9390</v>
      </c>
      <c r="H43" s="7">
        <f t="shared" si="10"/>
        <v>10.097589999999999</v>
      </c>
      <c r="I43" s="12"/>
      <c r="J43" s="35">
        <v>1092.51</v>
      </c>
      <c r="K43" s="35"/>
      <c r="L43" s="35">
        <v>230.8</v>
      </c>
      <c r="M43" s="35"/>
      <c r="N43" s="36">
        <v>0</v>
      </c>
      <c r="O43" s="35">
        <v>37</v>
      </c>
      <c r="P43" s="35"/>
      <c r="R43" s="24">
        <v>1.5</v>
      </c>
      <c r="S43" s="25">
        <v>0.01</v>
      </c>
      <c r="T43" s="25">
        <v>1.4999999999999999E-2</v>
      </c>
      <c r="U43" s="25">
        <v>0.01</v>
      </c>
      <c r="V43" s="26">
        <v>0.01</v>
      </c>
    </row>
    <row r="44" spans="1:22" x14ac:dyDescent="0.25">
      <c r="A44" s="1">
        <v>41</v>
      </c>
      <c r="B44" s="11" t="s">
        <v>26</v>
      </c>
      <c r="C44" s="15">
        <v>9</v>
      </c>
      <c r="D44" s="1">
        <v>2.9</v>
      </c>
      <c r="E44" s="1">
        <f>(D44+D45+D46)/3</f>
        <v>2.6333333333333333</v>
      </c>
      <c r="F44" s="1">
        <v>9257.5</v>
      </c>
      <c r="G44" s="1">
        <v>9764.2000000000007</v>
      </c>
      <c r="H44" s="7">
        <f>(G44-F44-179.22)/50</f>
        <v>6.5496000000000141</v>
      </c>
      <c r="I44" s="12">
        <f>(H45+H46+H44)/3</f>
        <v>7.3742666666666672</v>
      </c>
      <c r="J44" s="35">
        <v>0.13</v>
      </c>
      <c r="K44" s="35">
        <f>(J44+J45+J46)/3</f>
        <v>0.10066666666666668</v>
      </c>
      <c r="L44" s="35">
        <v>1.36</v>
      </c>
      <c r="M44" s="35">
        <f>(L44+L45+L46)/3</f>
        <v>1.26</v>
      </c>
      <c r="N44" s="36">
        <v>0</v>
      </c>
      <c r="O44" s="35">
        <v>0.01</v>
      </c>
      <c r="P44" s="35">
        <f>(O44+O45+O46)/3</f>
        <v>0.01</v>
      </c>
      <c r="R44" s="24">
        <v>3</v>
      </c>
      <c r="S44" s="25">
        <v>0.39</v>
      </c>
      <c r="T44" s="25">
        <v>0.33</v>
      </c>
      <c r="U44" s="25">
        <v>0.7</v>
      </c>
      <c r="V44" s="26">
        <v>0.56999999999999995</v>
      </c>
    </row>
    <row r="45" spans="1:22" x14ac:dyDescent="0.25">
      <c r="A45" s="1">
        <v>42</v>
      </c>
      <c r="B45" s="11" t="s">
        <v>27</v>
      </c>
      <c r="C45" s="15">
        <v>9</v>
      </c>
      <c r="D45" s="1">
        <v>2.64</v>
      </c>
      <c r="E45" s="1"/>
      <c r="F45" s="1">
        <v>8105.3</v>
      </c>
      <c r="G45" s="1">
        <v>8678</v>
      </c>
      <c r="H45" s="7">
        <f>(G45-F45-179.22)/50</f>
        <v>7.8695999999999957</v>
      </c>
      <c r="I45" s="12"/>
      <c r="J45" s="35">
        <v>0.17</v>
      </c>
      <c r="K45" s="35"/>
      <c r="L45" s="35">
        <v>1.27</v>
      </c>
      <c r="M45" s="35"/>
      <c r="N45" s="36">
        <v>0</v>
      </c>
      <c r="O45" s="35">
        <v>0.02</v>
      </c>
      <c r="P45" s="35"/>
      <c r="R45" s="24">
        <v>6</v>
      </c>
      <c r="S45" s="25">
        <v>11</v>
      </c>
      <c r="T45" s="25">
        <v>125.8</v>
      </c>
      <c r="U45" s="25">
        <v>61.6</v>
      </c>
      <c r="V45" s="26">
        <v>1.1000000000000001</v>
      </c>
    </row>
    <row r="46" spans="1:22" x14ac:dyDescent="0.25">
      <c r="A46" s="1">
        <v>43</v>
      </c>
      <c r="B46" s="11" t="s">
        <v>29</v>
      </c>
      <c r="C46" s="15">
        <v>9</v>
      </c>
      <c r="D46" s="1">
        <v>2.36</v>
      </c>
      <c r="E46" s="1"/>
      <c r="F46" s="1">
        <v>8090.9</v>
      </c>
      <c r="G46" s="1">
        <v>8655.2999999999993</v>
      </c>
      <c r="H46" s="7">
        <f>(G46-F46-179.22)/50</f>
        <v>7.7035999999999918</v>
      </c>
      <c r="I46" s="12"/>
      <c r="J46" s="35">
        <v>2E-3</v>
      </c>
      <c r="K46" s="35"/>
      <c r="L46" s="35">
        <v>1.1499999999999999</v>
      </c>
      <c r="M46" s="35"/>
      <c r="N46" s="36">
        <v>0</v>
      </c>
      <c r="O46" s="35">
        <v>0</v>
      </c>
      <c r="P46" s="35"/>
      <c r="R46" s="24">
        <v>9</v>
      </c>
      <c r="S46" s="25">
        <v>80.900000000000006</v>
      </c>
      <c r="T46" s="25">
        <v>105.2</v>
      </c>
      <c r="U46" s="25">
        <v>194.4</v>
      </c>
      <c r="V46" s="26">
        <v>1.26</v>
      </c>
    </row>
    <row r="47" spans="1:22" ht="15.75" thickBot="1" x14ac:dyDescent="0.3">
      <c r="A47" s="1">
        <v>44</v>
      </c>
      <c r="B47" s="8" t="s">
        <v>19</v>
      </c>
      <c r="C47" s="15">
        <v>12</v>
      </c>
      <c r="D47" s="1">
        <v>9.08</v>
      </c>
      <c r="E47" s="1">
        <f>(D47+D48+D49)/3</f>
        <v>9.0433333333333348</v>
      </c>
      <c r="F47" s="1">
        <v>9353.7999999999993</v>
      </c>
      <c r="G47" s="1">
        <v>9693.6</v>
      </c>
      <c r="H47" s="7">
        <f>(G47-F47-70.78)/25</f>
        <v>10.760800000000044</v>
      </c>
      <c r="I47" s="13">
        <f>(H47+H48)/2</f>
        <v>10.628800000000037</v>
      </c>
      <c r="J47" s="35">
        <v>417.08</v>
      </c>
      <c r="K47" s="35">
        <f>(J47+J48+J49)/3</f>
        <v>437.23</v>
      </c>
      <c r="L47" s="35">
        <v>94.2</v>
      </c>
      <c r="M47" s="35">
        <f>(L47+L48+L49)/3</f>
        <v>102.63333333333333</v>
      </c>
      <c r="N47" s="36">
        <v>0</v>
      </c>
      <c r="O47" s="35">
        <v>0</v>
      </c>
      <c r="P47" s="35">
        <v>0</v>
      </c>
      <c r="Q47" s="35"/>
      <c r="R47" s="27">
        <v>12</v>
      </c>
      <c r="S47" s="28">
        <v>102.6</v>
      </c>
      <c r="T47" s="28">
        <v>124.7</v>
      </c>
      <c r="U47" s="28">
        <v>148.4</v>
      </c>
      <c r="V47" s="39">
        <v>3.08</v>
      </c>
    </row>
    <row r="48" spans="1:22" x14ac:dyDescent="0.25">
      <c r="A48" s="1">
        <v>45</v>
      </c>
      <c r="B48" s="8" t="s">
        <v>20</v>
      </c>
      <c r="C48" s="15">
        <v>12</v>
      </c>
      <c r="D48" s="1">
        <v>9.02</v>
      </c>
      <c r="E48" s="1"/>
      <c r="F48" s="1">
        <v>9389.2999999999993</v>
      </c>
      <c r="G48" s="1">
        <v>9722.5</v>
      </c>
      <c r="H48" s="7">
        <f t="shared" ref="H48:H49" si="11">(G48-F48-70.78)/25</f>
        <v>10.496800000000031</v>
      </c>
      <c r="I48" s="13"/>
      <c r="J48" s="35">
        <v>314.89999999999998</v>
      </c>
      <c r="K48" s="35"/>
      <c r="L48" s="35">
        <v>128.69999999999999</v>
      </c>
      <c r="M48" s="35"/>
      <c r="N48" s="36">
        <v>0</v>
      </c>
      <c r="O48" s="35">
        <v>0</v>
      </c>
      <c r="P48" s="35"/>
      <c r="Q48" s="35"/>
    </row>
    <row r="49" spans="1:22" ht="15.75" thickBot="1" x14ac:dyDescent="0.3">
      <c r="A49" s="1">
        <v>46</v>
      </c>
      <c r="B49" s="8" t="s">
        <v>21</v>
      </c>
      <c r="C49" s="15">
        <v>12</v>
      </c>
      <c r="D49" s="1">
        <v>9.0299999999999994</v>
      </c>
      <c r="E49" s="1"/>
      <c r="F49" s="1">
        <v>9387.7000000000007</v>
      </c>
      <c r="G49" s="1">
        <v>9667.6</v>
      </c>
      <c r="H49" s="7">
        <f t="shared" si="11"/>
        <v>8.3647999999999847</v>
      </c>
      <c r="I49" s="13"/>
      <c r="J49" s="35">
        <v>579.71</v>
      </c>
      <c r="K49" s="35"/>
      <c r="L49" s="35">
        <v>85</v>
      </c>
      <c r="M49" s="35"/>
      <c r="N49" s="36">
        <v>0</v>
      </c>
      <c r="O49" s="35">
        <v>0</v>
      </c>
      <c r="P49" s="35"/>
      <c r="Q49" s="35"/>
    </row>
    <row r="50" spans="1:22" x14ac:dyDescent="0.25">
      <c r="A50" s="1">
        <v>47</v>
      </c>
      <c r="B50" s="9" t="s">
        <v>22</v>
      </c>
      <c r="C50" s="15">
        <v>12</v>
      </c>
      <c r="D50" s="1">
        <v>8.7799999999999994</v>
      </c>
      <c r="E50" s="1">
        <f>(D50+D51+D52+D53)/4</f>
        <v>8.7999999999999989</v>
      </c>
      <c r="F50" s="1">
        <v>8198</v>
      </c>
      <c r="G50" s="1">
        <v>8708.1</v>
      </c>
      <c r="H50" s="7">
        <f>(G50-F50-179.22)/50</f>
        <v>6.6176000000000066</v>
      </c>
      <c r="I50" s="12">
        <f>(H51+H52)/2</f>
        <v>7.0875999999999886</v>
      </c>
      <c r="J50" s="35">
        <v>311.89999999999998</v>
      </c>
      <c r="K50" s="35">
        <f>(J51+J52)/2</f>
        <v>648.20000000000005</v>
      </c>
      <c r="L50" s="35">
        <v>97.9</v>
      </c>
      <c r="M50" s="35">
        <f>(L50+L51+L52)/3</f>
        <v>124.66666666666669</v>
      </c>
      <c r="N50" s="36">
        <v>0</v>
      </c>
      <c r="O50" s="35">
        <v>0</v>
      </c>
      <c r="P50" s="35">
        <v>0</v>
      </c>
      <c r="Q50" s="35"/>
      <c r="R50" s="16" t="s">
        <v>13</v>
      </c>
      <c r="S50" s="17"/>
      <c r="T50" s="17"/>
      <c r="U50" s="17"/>
      <c r="V50" s="37"/>
    </row>
    <row r="51" spans="1:22" x14ac:dyDescent="0.25">
      <c r="A51" s="1">
        <v>48</v>
      </c>
      <c r="B51" s="9" t="s">
        <v>23</v>
      </c>
      <c r="C51" s="15">
        <v>12</v>
      </c>
      <c r="D51" s="1">
        <v>8.8699999999999992</v>
      </c>
      <c r="E51" s="1"/>
      <c r="F51" s="1">
        <v>8239.4</v>
      </c>
      <c r="G51" s="1">
        <v>8794.5</v>
      </c>
      <c r="H51" s="7">
        <f>(G51-F51-179.22)/50</f>
        <v>7.5176000000000069</v>
      </c>
      <c r="I51" s="12"/>
      <c r="J51" s="35">
        <v>403.61</v>
      </c>
      <c r="K51" s="35"/>
      <c r="L51" s="35">
        <v>166.3</v>
      </c>
      <c r="M51" s="35"/>
      <c r="N51" s="36">
        <v>0</v>
      </c>
      <c r="O51" s="35">
        <v>0</v>
      </c>
      <c r="P51" s="35"/>
      <c r="Q51" s="35"/>
      <c r="R51" s="24" t="s">
        <v>41</v>
      </c>
      <c r="S51" s="25" t="s">
        <v>42</v>
      </c>
      <c r="T51" s="22" t="s">
        <v>43</v>
      </c>
      <c r="U51" s="25" t="s">
        <v>44</v>
      </c>
      <c r="V51" s="26" t="s">
        <v>45</v>
      </c>
    </row>
    <row r="52" spans="1:22" x14ac:dyDescent="0.25">
      <c r="A52" s="1">
        <v>49</v>
      </c>
      <c r="B52" s="9" t="s">
        <v>28</v>
      </c>
      <c r="C52" s="15">
        <v>12</v>
      </c>
      <c r="D52" s="1">
        <v>8.6199999999999992</v>
      </c>
      <c r="E52" s="1"/>
      <c r="F52" s="1">
        <v>9310.7000000000007</v>
      </c>
      <c r="G52" s="1">
        <v>9822.7999999999993</v>
      </c>
      <c r="H52" s="7">
        <f>(G52-F52-179.22)/50</f>
        <v>6.6575999999999702</v>
      </c>
      <c r="I52" s="12"/>
      <c r="J52" s="35">
        <v>892.79</v>
      </c>
      <c r="K52" s="35"/>
      <c r="L52" s="35">
        <v>109.8</v>
      </c>
      <c r="M52" s="35"/>
      <c r="N52" s="36">
        <v>0</v>
      </c>
      <c r="O52" s="35">
        <v>263.89999999999998</v>
      </c>
      <c r="P52" s="35"/>
      <c r="Q52" s="35"/>
      <c r="R52" s="24">
        <v>0</v>
      </c>
      <c r="S52" s="25">
        <v>0</v>
      </c>
      <c r="T52" s="25">
        <v>0</v>
      </c>
      <c r="U52" s="25">
        <v>0</v>
      </c>
      <c r="V52" s="26">
        <v>0</v>
      </c>
    </row>
    <row r="53" spans="1:22" x14ac:dyDescent="0.25">
      <c r="A53" s="1">
        <v>50</v>
      </c>
      <c r="B53" s="9" t="s">
        <v>31</v>
      </c>
      <c r="C53" s="15">
        <v>12</v>
      </c>
      <c r="D53" s="1">
        <v>8.93</v>
      </c>
      <c r="F53" s="1">
        <v>8173.8</v>
      </c>
      <c r="G53" s="1">
        <v>8228.6</v>
      </c>
      <c r="H53" s="7">
        <f>(G53-F53-179.22)/50</f>
        <v>-2.4883999999999964</v>
      </c>
      <c r="I53" s="12"/>
      <c r="J53" s="35"/>
      <c r="K53" s="35"/>
      <c r="L53" s="35"/>
      <c r="M53" s="35"/>
      <c r="N53" s="36"/>
      <c r="O53" s="35"/>
      <c r="P53" s="35"/>
      <c r="Q53" s="35"/>
      <c r="R53" s="24">
        <v>1.5</v>
      </c>
      <c r="S53" s="25">
        <v>0.01</v>
      </c>
      <c r="T53" s="25">
        <v>0.01</v>
      </c>
      <c r="U53" s="25">
        <v>0.01</v>
      </c>
      <c r="V53" s="26">
        <v>0.01</v>
      </c>
    </row>
    <row r="54" spans="1:22" x14ac:dyDescent="0.25">
      <c r="A54" s="1">
        <v>51</v>
      </c>
      <c r="B54" s="10" t="s">
        <v>24</v>
      </c>
      <c r="C54" s="15">
        <v>12</v>
      </c>
      <c r="D54" s="1">
        <v>8.7200000000000006</v>
      </c>
      <c r="E54" s="1">
        <f>(D54+D55+D56+D57)/4</f>
        <v>8.74</v>
      </c>
      <c r="F54" s="1">
        <v>9647</v>
      </c>
      <c r="G54" s="1">
        <v>10725.5</v>
      </c>
      <c r="H54" s="7">
        <f>(G54-F54-232.94)/100</f>
        <v>8.4555999999999987</v>
      </c>
      <c r="I54" s="12">
        <f>(H54+H55+H56)/3</f>
        <v>8.3952666666666627</v>
      </c>
      <c r="J54" s="35">
        <v>880.41</v>
      </c>
      <c r="K54" s="35">
        <f>(J54+J55+J56)/3</f>
        <v>880.91</v>
      </c>
      <c r="L54" s="35">
        <v>152.5</v>
      </c>
      <c r="M54" s="35">
        <f>(L54+L55+L56)/3</f>
        <v>148.43333333333334</v>
      </c>
      <c r="N54" s="36">
        <v>0</v>
      </c>
      <c r="O54" s="35">
        <v>0</v>
      </c>
      <c r="P54" s="35">
        <v>0</v>
      </c>
      <c r="Q54" s="35"/>
      <c r="R54" s="24">
        <v>3</v>
      </c>
      <c r="S54" s="25">
        <v>0.85</v>
      </c>
      <c r="T54" s="25">
        <v>1.78</v>
      </c>
      <c r="U54" s="25">
        <v>1.78</v>
      </c>
      <c r="V54" s="26">
        <v>0.06</v>
      </c>
    </row>
    <row r="55" spans="1:22" x14ac:dyDescent="0.25">
      <c r="A55" s="1">
        <v>52</v>
      </c>
      <c r="B55" s="10" t="s">
        <v>25</v>
      </c>
      <c r="C55" s="15">
        <v>12</v>
      </c>
      <c r="D55" s="1">
        <v>8.68</v>
      </c>
      <c r="E55" s="1"/>
      <c r="F55" s="1">
        <v>8167.2</v>
      </c>
      <c r="G55" s="1">
        <v>9267.2999999999993</v>
      </c>
      <c r="H55" s="7">
        <f t="shared" ref="H55:H57" si="12">(G55-F55-232.94)/100</f>
        <v>8.6715999999999944</v>
      </c>
      <c r="I55" s="12"/>
      <c r="J55" s="35">
        <v>912.71</v>
      </c>
      <c r="K55" s="35"/>
      <c r="L55" s="35">
        <v>169.8</v>
      </c>
      <c r="M55" s="35"/>
      <c r="N55" s="36">
        <v>0</v>
      </c>
      <c r="O55" s="35">
        <v>0</v>
      </c>
      <c r="P55" s="35"/>
      <c r="Q55" s="35"/>
      <c r="R55" s="24">
        <v>6</v>
      </c>
      <c r="S55" s="25">
        <v>34.200000000000003</v>
      </c>
      <c r="T55" s="25">
        <v>88.4</v>
      </c>
      <c r="U55" s="25">
        <v>32.5</v>
      </c>
      <c r="V55" s="26">
        <v>0.01</v>
      </c>
    </row>
    <row r="56" spans="1:22" x14ac:dyDescent="0.25">
      <c r="A56" s="1">
        <v>53</v>
      </c>
      <c r="B56" s="10" t="s">
        <v>30</v>
      </c>
      <c r="C56" s="15">
        <v>12</v>
      </c>
      <c r="D56" s="1">
        <v>8.66</v>
      </c>
      <c r="F56" s="1">
        <v>9276.2000000000007</v>
      </c>
      <c r="G56" s="1">
        <v>10315</v>
      </c>
      <c r="H56" s="7">
        <f t="shared" si="12"/>
        <v>8.0585999999999913</v>
      </c>
      <c r="I56" s="12"/>
      <c r="J56" s="35">
        <v>849.61</v>
      </c>
      <c r="K56" s="35"/>
      <c r="L56" s="35">
        <v>123</v>
      </c>
      <c r="M56" s="35"/>
      <c r="N56" s="36">
        <v>0</v>
      </c>
      <c r="O56" s="35">
        <v>0</v>
      </c>
      <c r="P56" s="35"/>
      <c r="Q56" s="35"/>
      <c r="R56" s="24">
        <v>9</v>
      </c>
      <c r="S56" s="25">
        <v>19.600000000000001</v>
      </c>
      <c r="T56" s="25">
        <v>98.7</v>
      </c>
      <c r="U56" s="25">
        <v>34</v>
      </c>
      <c r="V56" s="26">
        <v>0.01</v>
      </c>
    </row>
    <row r="57" spans="1:22" ht="15.75" thickBot="1" x14ac:dyDescent="0.3">
      <c r="A57" s="1">
        <v>54</v>
      </c>
      <c r="B57" s="10" t="s">
        <v>32</v>
      </c>
      <c r="C57" s="15">
        <v>12</v>
      </c>
      <c r="D57" s="1">
        <v>8.9</v>
      </c>
      <c r="F57" s="1">
        <v>8230</v>
      </c>
      <c r="G57" s="1">
        <v>8985.7000000000007</v>
      </c>
      <c r="H57" s="7">
        <f t="shared" si="12"/>
        <v>5.2276000000000069</v>
      </c>
      <c r="I57" s="12"/>
      <c r="J57" s="35"/>
      <c r="K57" s="35"/>
      <c r="L57" s="35"/>
      <c r="M57" s="35"/>
      <c r="N57" s="36"/>
      <c r="O57" s="35"/>
      <c r="P57" s="35"/>
      <c r="Q57" s="35"/>
      <c r="R57" s="27">
        <v>12</v>
      </c>
      <c r="S57" s="28">
        <v>0</v>
      </c>
      <c r="T57" s="28">
        <v>0</v>
      </c>
      <c r="U57" s="28">
        <v>0</v>
      </c>
      <c r="V57" s="39">
        <v>1.4999999999999999E-2</v>
      </c>
    </row>
    <row r="58" spans="1:22" x14ac:dyDescent="0.25">
      <c r="A58" s="1">
        <v>55</v>
      </c>
      <c r="B58" s="11" t="s">
        <v>26</v>
      </c>
      <c r="C58" s="15">
        <v>12</v>
      </c>
      <c r="D58" s="1">
        <v>3.57</v>
      </c>
      <c r="E58" s="1">
        <f>(D58+D59+D60+D61)/4</f>
        <v>3.0474999999999999</v>
      </c>
      <c r="F58" s="1">
        <v>8295.4</v>
      </c>
      <c r="G58" s="1">
        <v>8940.5</v>
      </c>
      <c r="H58" s="7">
        <f>(G58-F58-179.22)/50</f>
        <v>9.3176000000000059</v>
      </c>
      <c r="I58" s="12">
        <f>(H58+H60+H61)/3</f>
        <v>7.318266666666676</v>
      </c>
      <c r="J58" s="35">
        <v>0.67</v>
      </c>
      <c r="K58" s="35">
        <f>(J58+J59)/2</f>
        <v>0.34550000000000003</v>
      </c>
      <c r="L58" s="35">
        <v>4.5199999999999996</v>
      </c>
      <c r="M58" s="35">
        <f>(L58+L59)/2</f>
        <v>3.0799999999999996</v>
      </c>
      <c r="N58" s="36">
        <v>0</v>
      </c>
      <c r="O58" s="35">
        <v>0.03</v>
      </c>
      <c r="P58" s="35">
        <f>(O58+O59)/2</f>
        <v>1.4999999999999999E-2</v>
      </c>
      <c r="Q58" s="35"/>
    </row>
    <row r="59" spans="1:22" x14ac:dyDescent="0.25">
      <c r="A59" s="1">
        <v>56</v>
      </c>
      <c r="B59" s="11" t="s">
        <v>27</v>
      </c>
      <c r="C59" s="15">
        <v>12</v>
      </c>
      <c r="D59" s="1">
        <v>2.79</v>
      </c>
      <c r="F59" s="1">
        <v>9814</v>
      </c>
      <c r="G59" s="1">
        <v>10221.9</v>
      </c>
      <c r="H59" s="7">
        <f>(G59-F59-179.22)/50</f>
        <v>4.5735999999999928</v>
      </c>
      <c r="I59" s="12"/>
      <c r="J59" s="35">
        <v>2.1000000000000001E-2</v>
      </c>
      <c r="K59" s="35"/>
      <c r="L59" s="35">
        <v>1.64</v>
      </c>
      <c r="M59" s="35"/>
      <c r="N59" s="36">
        <v>0</v>
      </c>
      <c r="O59" s="35">
        <v>0</v>
      </c>
      <c r="P59" s="35"/>
      <c r="Q59" s="35"/>
    </row>
    <row r="60" spans="1:22" x14ac:dyDescent="0.25">
      <c r="A60" s="1">
        <v>57</v>
      </c>
      <c r="B60" s="11" t="s">
        <v>29</v>
      </c>
      <c r="C60" s="15">
        <v>12</v>
      </c>
      <c r="D60" s="1">
        <v>2.74</v>
      </c>
      <c r="F60" s="1">
        <v>9330.4</v>
      </c>
      <c r="G60" s="1">
        <v>9796</v>
      </c>
      <c r="H60" s="7">
        <f>(G60-F60-179.22)/50</f>
        <v>5.7276000000000069</v>
      </c>
      <c r="I60" s="12"/>
      <c r="J60" s="1"/>
      <c r="L60" s="1"/>
      <c r="N60" s="6"/>
      <c r="O60" s="1"/>
    </row>
    <row r="61" spans="1:22" x14ac:dyDescent="0.25">
      <c r="A61" s="1">
        <v>58</v>
      </c>
      <c r="B61" s="11" t="s">
        <v>33</v>
      </c>
      <c r="C61" s="15">
        <v>12</v>
      </c>
      <c r="D61" s="1">
        <v>3.09</v>
      </c>
      <c r="F61" s="1">
        <v>9648.2999999999993</v>
      </c>
      <c r="G61" s="1">
        <v>10173</v>
      </c>
      <c r="H61" s="7">
        <f>(G61-F61-179.22)/50</f>
        <v>6.9096000000000144</v>
      </c>
      <c r="I61" s="12"/>
      <c r="J61" s="1"/>
      <c r="L61" s="1"/>
      <c r="N61" s="6"/>
      <c r="O61" s="1"/>
    </row>
    <row r="62" spans="1:22" x14ac:dyDescent="0.25">
      <c r="I62" s="1"/>
      <c r="J62" s="1"/>
      <c r="K62" s="1"/>
      <c r="L62" s="1"/>
      <c r="M62" s="1"/>
      <c r="N62" s="1"/>
    </row>
    <row r="63" spans="1:22" x14ac:dyDescent="0.25">
      <c r="I63" s="1"/>
      <c r="J63" s="1"/>
      <c r="K63" s="1"/>
      <c r="L63" s="1"/>
      <c r="M63" s="1"/>
      <c r="N63" s="1"/>
    </row>
    <row r="64" spans="1:22" x14ac:dyDescent="0.25">
      <c r="I64" s="1"/>
      <c r="J64" s="1"/>
      <c r="K64" s="1"/>
      <c r="L64" s="1"/>
      <c r="M64" s="1"/>
      <c r="N64" s="1"/>
    </row>
    <row r="65" spans="1:14" x14ac:dyDescent="0.25"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I66" s="1"/>
      <c r="J66" s="1"/>
      <c r="K66" s="1"/>
      <c r="L66" s="1"/>
      <c r="M66" s="1"/>
      <c r="N66" s="1"/>
    </row>
    <row r="67" spans="1:14" x14ac:dyDescent="0.25">
      <c r="N67" s="1"/>
    </row>
    <row r="68" spans="1:14" x14ac:dyDescent="0.25">
      <c r="N68" s="1"/>
    </row>
    <row r="69" spans="1:14" x14ac:dyDescent="0.25">
      <c r="N69" s="1"/>
    </row>
    <row r="70" spans="1:14" x14ac:dyDescent="0.25">
      <c r="N70" s="1"/>
    </row>
    <row r="71" spans="1:14" x14ac:dyDescent="0.25">
      <c r="N71" s="1"/>
    </row>
    <row r="72" spans="1:14" x14ac:dyDescent="0.25">
      <c r="N72" s="1"/>
    </row>
    <row r="73" spans="1:14" x14ac:dyDescent="0.25">
      <c r="N73" s="1"/>
    </row>
    <row r="74" spans="1:14" x14ac:dyDescent="0.25">
      <c r="N74" s="1"/>
    </row>
    <row r="75" spans="1:14" x14ac:dyDescent="0.25">
      <c r="N75" s="1"/>
    </row>
    <row r="76" spans="1:14" x14ac:dyDescent="0.25">
      <c r="N76" s="1"/>
    </row>
    <row r="77" spans="1:14" x14ac:dyDescent="0.25">
      <c r="N77" s="1"/>
    </row>
    <row r="78" spans="1:14" x14ac:dyDescent="0.25">
      <c r="N78" s="1"/>
    </row>
    <row r="79" spans="1:14" x14ac:dyDescent="0.25">
      <c r="N79" s="1"/>
    </row>
    <row r="80" spans="1:14" x14ac:dyDescent="0.25">
      <c r="N80" s="1"/>
    </row>
    <row r="81" spans="2:14" x14ac:dyDescent="0.25">
      <c r="N81" s="1"/>
    </row>
    <row r="82" spans="2:14" x14ac:dyDescent="0.25">
      <c r="N82" s="1"/>
    </row>
    <row r="83" spans="2:14" x14ac:dyDescent="0.25">
      <c r="N83" s="1"/>
    </row>
    <row r="84" spans="2:14" x14ac:dyDescent="0.25">
      <c r="N84" s="1"/>
    </row>
    <row r="85" spans="2:14" x14ac:dyDescent="0.25">
      <c r="N85" s="1"/>
    </row>
    <row r="86" spans="2:14" x14ac:dyDescent="0.25">
      <c r="N86" s="1"/>
    </row>
    <row r="87" spans="2:14" x14ac:dyDescent="0.25">
      <c r="N87" s="1"/>
    </row>
    <row r="88" spans="2:14" x14ac:dyDescent="0.25">
      <c r="G88" s="1"/>
      <c r="H88" s="7"/>
      <c r="N88" s="1"/>
    </row>
    <row r="93" spans="2:14" x14ac:dyDescent="0.25">
      <c r="B93" s="1"/>
      <c r="C93" s="1"/>
    </row>
    <row r="94" spans="2:14" x14ac:dyDescent="0.25">
      <c r="B94" s="1"/>
      <c r="C94" s="1"/>
    </row>
    <row r="95" spans="2:14" x14ac:dyDescent="0.25">
      <c r="B95" s="1"/>
      <c r="C95" s="1"/>
    </row>
    <row r="96" spans="2:14" x14ac:dyDescent="0.25">
      <c r="B96" s="1"/>
      <c r="C96" s="1"/>
    </row>
    <row r="97" spans="2:14" x14ac:dyDescent="0.25">
      <c r="B97" s="1"/>
      <c r="C97" s="1"/>
    </row>
    <row r="98" spans="2:14" x14ac:dyDescent="0.25">
      <c r="B98" s="1"/>
      <c r="C98" s="1"/>
    </row>
    <row r="100" spans="2:14" x14ac:dyDescent="0.25">
      <c r="B100" s="1"/>
      <c r="C100" s="1"/>
    </row>
    <row r="101" spans="2:14" x14ac:dyDescent="0.25">
      <c r="B101" s="1"/>
      <c r="C101" s="1"/>
    </row>
    <row r="102" spans="2:14" x14ac:dyDescent="0.25">
      <c r="B102" s="1"/>
      <c r="C102" s="1"/>
      <c r="D102" s="1"/>
      <c r="E102" s="1"/>
      <c r="F102" s="1"/>
      <c r="G102" s="1"/>
      <c r="H102" s="7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7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7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7"/>
      <c r="M105" s="1"/>
      <c r="N105" s="1"/>
    </row>
    <row r="106" spans="2:14" x14ac:dyDescent="0.25">
      <c r="G106" s="1"/>
      <c r="H106" s="7"/>
      <c r="M106" s="1"/>
      <c r="N106" s="1"/>
    </row>
    <row r="107" spans="2:14" x14ac:dyDescent="0.25">
      <c r="G107" s="1"/>
      <c r="H107" s="7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7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</row>
    <row r="115" spans="1:14" x14ac:dyDescent="0.25">
      <c r="A115" s="3"/>
      <c r="B115" s="3"/>
      <c r="C115" s="3"/>
      <c r="D115" s="1"/>
      <c r="E115" s="1"/>
      <c r="F115" s="1"/>
      <c r="G115" s="1"/>
      <c r="H115" s="7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7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7"/>
      <c r="J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7"/>
      <c r="J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7"/>
      <c r="J119" s="1"/>
      <c r="K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7"/>
      <c r="J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7"/>
      <c r="J121" s="1"/>
      <c r="K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7"/>
      <c r="J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7"/>
      <c r="J123" s="1"/>
      <c r="K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7"/>
      <c r="J124" s="1"/>
    </row>
    <row r="125" spans="1:14" x14ac:dyDescent="0.25">
      <c r="A125" s="1"/>
      <c r="B125" s="1"/>
      <c r="C125" s="1"/>
      <c r="D125" s="1"/>
      <c r="F125" s="1"/>
      <c r="G125" s="1"/>
      <c r="H125" s="7"/>
      <c r="I125" s="1"/>
      <c r="J125" s="1"/>
    </row>
    <row r="126" spans="1:14" x14ac:dyDescent="0.25">
      <c r="A126" s="1"/>
      <c r="B126" s="1"/>
      <c r="C126" s="1"/>
      <c r="D126" s="1"/>
      <c r="F126" s="1"/>
      <c r="G126" s="1"/>
      <c r="H126" s="7"/>
      <c r="J126" s="1"/>
    </row>
    <row r="127" spans="1:14" x14ac:dyDescent="0.25">
      <c r="A127" s="1"/>
      <c r="B127" s="1"/>
      <c r="C127" s="1"/>
      <c r="D127" s="1"/>
      <c r="F127" s="1"/>
      <c r="G127" s="1"/>
      <c r="H127" s="7"/>
      <c r="J127" s="1"/>
    </row>
    <row r="128" spans="1:14" x14ac:dyDescent="0.25">
      <c r="A128" s="1"/>
      <c r="B128" s="1"/>
      <c r="C128" s="1"/>
      <c r="D128" s="1"/>
      <c r="F128" s="1"/>
      <c r="G128" s="1"/>
      <c r="H128" s="7"/>
      <c r="I128" s="1"/>
      <c r="J128" s="1"/>
    </row>
    <row r="129" spans="1:10" x14ac:dyDescent="0.25">
      <c r="A129" s="1"/>
      <c r="B129" s="1"/>
      <c r="C129" s="1"/>
      <c r="D129" s="1"/>
      <c r="F129" s="1"/>
      <c r="G129" s="1"/>
      <c r="H129" s="7"/>
      <c r="J129" s="1"/>
    </row>
    <row r="130" spans="1:10" x14ac:dyDescent="0.25">
      <c r="A130" s="1"/>
      <c r="B130" s="1"/>
      <c r="C130" s="1"/>
      <c r="D130" s="1"/>
      <c r="F130" s="1"/>
      <c r="G130" s="1"/>
      <c r="H130" s="7"/>
      <c r="J130" s="1"/>
    </row>
    <row r="131" spans="1:10" x14ac:dyDescent="0.25">
      <c r="A131" s="1"/>
      <c r="B131" s="1"/>
      <c r="C131" s="1"/>
      <c r="D131" s="1"/>
      <c r="F131" s="1"/>
      <c r="G131" s="1"/>
      <c r="H131" s="7"/>
      <c r="I131" s="1"/>
      <c r="J131" s="1"/>
    </row>
    <row r="132" spans="1:10" x14ac:dyDescent="0.25">
      <c r="A132" s="1"/>
      <c r="B132" s="1"/>
      <c r="C132" s="1"/>
      <c r="D132" s="1"/>
      <c r="F132" s="1"/>
      <c r="G132" s="1"/>
      <c r="H132" s="7"/>
      <c r="J132" s="1"/>
    </row>
    <row r="133" spans="1:10" x14ac:dyDescent="0.25">
      <c r="A133" s="1"/>
      <c r="B133" s="1"/>
      <c r="C133" s="1"/>
      <c r="D133" s="1"/>
      <c r="F133" s="1"/>
      <c r="G133" s="1"/>
      <c r="H133" s="7"/>
      <c r="J133" s="1"/>
    </row>
    <row r="134" spans="1:10" x14ac:dyDescent="0.25">
      <c r="A134" s="1"/>
      <c r="B134" s="1"/>
      <c r="C134" s="1"/>
      <c r="D134" s="1"/>
      <c r="F134" s="1"/>
      <c r="G134" s="1"/>
      <c r="H134" s="7"/>
      <c r="J134" s="1"/>
    </row>
    <row r="135" spans="1:10" x14ac:dyDescent="0.25">
      <c r="A135" s="1"/>
      <c r="B135" s="1"/>
      <c r="C135" s="1"/>
      <c r="D135" s="1"/>
      <c r="F135" s="1"/>
      <c r="G135" s="1"/>
      <c r="H135" s="7"/>
      <c r="J135" s="1"/>
    </row>
    <row r="136" spans="1:10" x14ac:dyDescent="0.25">
      <c r="A136" s="1"/>
      <c r="B136" s="1"/>
      <c r="C136" s="1"/>
      <c r="D136" s="1"/>
      <c r="F136" s="1"/>
      <c r="G136" s="1"/>
      <c r="H136" s="7"/>
      <c r="J136" s="1"/>
    </row>
    <row r="137" spans="1:10" x14ac:dyDescent="0.25">
      <c r="A137" s="1"/>
      <c r="B137" s="1"/>
      <c r="C137" s="1"/>
      <c r="D137" s="1"/>
      <c r="F137" s="1"/>
      <c r="G137" s="1"/>
      <c r="H137" s="7"/>
      <c r="J137" s="1"/>
    </row>
    <row r="138" spans="1:10" x14ac:dyDescent="0.25">
      <c r="A138" s="1"/>
      <c r="B138" s="1"/>
      <c r="C138" s="1"/>
      <c r="D138" s="1"/>
      <c r="F138" s="1"/>
      <c r="G138" s="1"/>
      <c r="H138" s="7"/>
      <c r="J138" s="1"/>
    </row>
    <row r="139" spans="1:10" x14ac:dyDescent="0.25">
      <c r="A139" s="1"/>
      <c r="B139" s="1"/>
      <c r="C139" s="1"/>
      <c r="D139" s="1"/>
      <c r="F139" s="1"/>
      <c r="G139" s="1"/>
      <c r="H139" s="7"/>
      <c r="J139" s="1"/>
    </row>
    <row r="140" spans="1:10" x14ac:dyDescent="0.25">
      <c r="A140" s="1"/>
      <c r="B140" s="1"/>
      <c r="C140" s="1"/>
      <c r="D140" s="1"/>
      <c r="F140" s="1"/>
      <c r="G140" s="1"/>
      <c r="H140" s="7"/>
      <c r="J140" s="1"/>
    </row>
    <row r="141" spans="1:10" x14ac:dyDescent="0.25">
      <c r="A141" s="1"/>
      <c r="B141" s="1"/>
      <c r="C141" s="1"/>
      <c r="D141" s="1"/>
      <c r="F141" s="1"/>
      <c r="G141" s="1"/>
      <c r="H141" s="7"/>
      <c r="J141" s="1"/>
    </row>
    <row r="142" spans="1:10" x14ac:dyDescent="0.25">
      <c r="A142" s="1"/>
      <c r="B142" s="1"/>
      <c r="C142" s="1"/>
      <c r="D142" s="1"/>
      <c r="F142" s="1"/>
      <c r="G142" s="1"/>
      <c r="H142" s="7"/>
      <c r="J142" s="1"/>
    </row>
    <row r="143" spans="1:10" x14ac:dyDescent="0.25">
      <c r="A143" s="1"/>
      <c r="B143" s="1"/>
      <c r="C143" s="1"/>
      <c r="D143" s="1"/>
      <c r="F143" s="1"/>
      <c r="G143" s="1"/>
      <c r="H143" s="7"/>
      <c r="J143" s="1"/>
    </row>
    <row r="144" spans="1:10" x14ac:dyDescent="0.25">
      <c r="A144" s="1"/>
      <c r="B144" s="1"/>
      <c r="C144" s="1"/>
      <c r="D144" s="1"/>
      <c r="F144" s="1"/>
      <c r="G144" s="1"/>
      <c r="H144" s="7"/>
      <c r="J144" s="5"/>
    </row>
    <row r="145" spans="1:11" x14ac:dyDescent="0.25">
      <c r="A145" s="1"/>
      <c r="B145" s="1"/>
      <c r="C145" s="1"/>
      <c r="D145" s="1"/>
      <c r="F145" s="1"/>
      <c r="G145" s="1"/>
      <c r="H145" s="7"/>
      <c r="J145" s="1"/>
    </row>
    <row r="146" spans="1:11" x14ac:dyDescent="0.25">
      <c r="A146" s="1"/>
      <c r="B146" s="1"/>
      <c r="C146" s="1"/>
      <c r="D146" s="1"/>
      <c r="F146" s="1"/>
      <c r="G146" s="1"/>
      <c r="H146" s="7"/>
      <c r="J146" s="1"/>
    </row>
    <row r="147" spans="1:11" x14ac:dyDescent="0.25">
      <c r="A147" s="1"/>
      <c r="B147" s="1"/>
      <c r="C147" s="1"/>
      <c r="D147" s="1"/>
      <c r="F147" s="1"/>
      <c r="G147" s="1"/>
      <c r="H147" s="7"/>
      <c r="J147" s="1"/>
    </row>
    <row r="148" spans="1:11" x14ac:dyDescent="0.25">
      <c r="A148" s="1"/>
      <c r="B148" s="1"/>
      <c r="C148" s="1"/>
      <c r="D148" s="1"/>
      <c r="F148" s="1"/>
      <c r="G148" s="1"/>
      <c r="H148" s="7"/>
      <c r="J148" s="1"/>
    </row>
    <row r="149" spans="1:11" x14ac:dyDescent="0.25">
      <c r="A149" s="1"/>
      <c r="B149" s="1"/>
      <c r="C149" s="1"/>
      <c r="D149" s="1"/>
      <c r="F149" s="1"/>
      <c r="G149" s="1"/>
      <c r="H149" s="7"/>
      <c r="J149" s="1"/>
    </row>
    <row r="150" spans="1:11" x14ac:dyDescent="0.25">
      <c r="A150" s="1"/>
      <c r="B150" s="1"/>
      <c r="C150" s="1"/>
      <c r="D150" s="1"/>
      <c r="F150" s="1"/>
      <c r="G150" s="1"/>
      <c r="H150" s="7"/>
      <c r="J150" s="1"/>
    </row>
    <row r="151" spans="1:11" x14ac:dyDescent="0.25">
      <c r="A151" s="1"/>
      <c r="B151" s="1"/>
      <c r="C151" s="1"/>
      <c r="D151" s="1"/>
      <c r="F151" s="1"/>
      <c r="G151" s="1"/>
      <c r="H151" s="7"/>
      <c r="J151" s="1"/>
    </row>
    <row r="152" spans="1:11" x14ac:dyDescent="0.25">
      <c r="A152" s="1"/>
      <c r="B152" s="1"/>
      <c r="C152" s="1"/>
      <c r="D152" s="1"/>
      <c r="F152" s="1"/>
      <c r="G152" s="1"/>
      <c r="H152" s="7"/>
      <c r="J152" s="1"/>
    </row>
    <row r="153" spans="1:11" x14ac:dyDescent="0.25">
      <c r="A153" s="1"/>
      <c r="B153" s="1"/>
      <c r="C153" s="1"/>
      <c r="D153" s="1"/>
      <c r="F153" s="1"/>
      <c r="G153" s="1"/>
      <c r="H153" s="7"/>
      <c r="J153" s="1"/>
    </row>
    <row r="154" spans="1:11" x14ac:dyDescent="0.25">
      <c r="A154" s="1"/>
      <c r="B154" s="1"/>
      <c r="C154" s="1"/>
      <c r="D154" s="1"/>
      <c r="F154" s="1"/>
      <c r="G154" s="1"/>
      <c r="H154" s="7"/>
      <c r="J154" s="1"/>
    </row>
    <row r="155" spans="1:11" x14ac:dyDescent="0.25">
      <c r="A155" s="1"/>
      <c r="B155" s="1"/>
      <c r="C155" s="1"/>
      <c r="D155" s="1"/>
      <c r="F155" s="1"/>
      <c r="G155" s="1"/>
      <c r="H155" s="7"/>
      <c r="J155" s="1"/>
    </row>
    <row r="156" spans="1:11" x14ac:dyDescent="0.25">
      <c r="A156" s="1"/>
      <c r="B156" s="1"/>
      <c r="C156" s="1"/>
      <c r="D156" s="1"/>
      <c r="F156" s="1"/>
      <c r="G156" s="1"/>
      <c r="H156" s="7"/>
      <c r="J156" s="1"/>
    </row>
    <row r="157" spans="1:11" x14ac:dyDescent="0.25">
      <c r="A157" s="1"/>
      <c r="B157" s="1"/>
      <c r="C157" s="1"/>
      <c r="D157" s="1"/>
      <c r="F157" s="1"/>
      <c r="G157" s="1"/>
      <c r="H157" s="7"/>
      <c r="J157" s="1"/>
    </row>
    <row r="158" spans="1:11" x14ac:dyDescent="0.25">
      <c r="A158" s="1"/>
      <c r="B158" s="1"/>
      <c r="C158" s="1"/>
      <c r="D158" s="1"/>
      <c r="F158" s="1"/>
      <c r="G158" s="1"/>
      <c r="H158" s="7"/>
      <c r="J158" s="1"/>
    </row>
    <row r="159" spans="1:11" x14ac:dyDescent="0.25">
      <c r="A159" s="1"/>
      <c r="B159" s="1"/>
      <c r="C159" s="1"/>
      <c r="D159" s="1"/>
      <c r="F159" s="1"/>
      <c r="G159" s="1"/>
      <c r="H159" s="7"/>
      <c r="J159" s="1"/>
      <c r="K159" s="1"/>
    </row>
    <row r="160" spans="1:11" x14ac:dyDescent="0.25">
      <c r="A160" s="1"/>
      <c r="B160" s="1"/>
      <c r="C160" s="1"/>
      <c r="D160" s="1"/>
      <c r="F160" s="1"/>
      <c r="G160" s="1"/>
      <c r="H160" s="7"/>
      <c r="J160" s="1"/>
    </row>
    <row r="161" spans="1:11" x14ac:dyDescent="0.25">
      <c r="A161" s="1"/>
      <c r="B161" s="1"/>
      <c r="C161" s="1"/>
      <c r="D161" s="1"/>
      <c r="F161" s="1"/>
      <c r="G161" s="1"/>
      <c r="H161" s="7"/>
      <c r="J161" s="1"/>
    </row>
    <row r="162" spans="1:11" x14ac:dyDescent="0.25">
      <c r="A162" s="1"/>
      <c r="B162" s="1"/>
      <c r="C162" s="1"/>
      <c r="D162" s="1"/>
      <c r="F162" s="1"/>
      <c r="G162" s="1"/>
      <c r="H162" s="7"/>
      <c r="J162" s="1"/>
      <c r="K162" s="1"/>
    </row>
    <row r="163" spans="1:11" x14ac:dyDescent="0.25">
      <c r="A163" s="1"/>
      <c r="B163" s="1"/>
      <c r="C163" s="1"/>
      <c r="D163" s="1"/>
      <c r="F163" s="1"/>
      <c r="G163" s="1"/>
      <c r="H163" s="7"/>
      <c r="J163" s="1"/>
    </row>
    <row r="164" spans="1:11" x14ac:dyDescent="0.25">
      <c r="A164" s="1"/>
      <c r="B164" s="1"/>
      <c r="C164" s="1"/>
      <c r="D164" s="1"/>
      <c r="F164" s="1"/>
      <c r="G164" s="1"/>
      <c r="H164" s="7"/>
      <c r="J164" s="1"/>
    </row>
    <row r="165" spans="1:11" x14ac:dyDescent="0.25">
      <c r="A165" s="1"/>
      <c r="B165" s="1"/>
      <c r="C165" s="1"/>
      <c r="D165" s="1"/>
      <c r="F165" s="1"/>
      <c r="G165" s="1"/>
      <c r="H165" s="7"/>
      <c r="J165" s="1"/>
    </row>
    <row r="166" spans="1:11" x14ac:dyDescent="0.25">
      <c r="A166" s="1"/>
      <c r="B166" s="1"/>
      <c r="C166" s="1"/>
      <c r="D166" s="1"/>
      <c r="F166" s="1"/>
      <c r="G166" s="1"/>
      <c r="H166" s="7"/>
      <c r="J166" s="1"/>
      <c r="K166" s="1"/>
    </row>
    <row r="167" spans="1:11" x14ac:dyDescent="0.25">
      <c r="A167" s="1"/>
      <c r="B167" s="1"/>
      <c r="C167" s="1"/>
      <c r="D167" s="1"/>
      <c r="F167" s="1"/>
      <c r="G167" s="1"/>
      <c r="H167" s="7"/>
      <c r="J167" s="1"/>
    </row>
    <row r="168" spans="1:11" x14ac:dyDescent="0.25">
      <c r="A168" s="1"/>
      <c r="B168" s="1"/>
      <c r="C168" s="1"/>
      <c r="D168" s="1"/>
      <c r="F168" s="1"/>
      <c r="G168" s="1"/>
      <c r="H168" s="7"/>
      <c r="J168" s="1"/>
    </row>
    <row r="169" spans="1:11" x14ac:dyDescent="0.25">
      <c r="A169" s="1"/>
      <c r="B169" s="1"/>
      <c r="C169" s="1"/>
      <c r="D169" s="1"/>
      <c r="F169" s="1"/>
      <c r="G169" s="1"/>
      <c r="H169" s="7"/>
      <c r="J169" s="1"/>
    </row>
    <row r="170" spans="1:11" x14ac:dyDescent="0.25">
      <c r="A170" s="1"/>
      <c r="B170" s="1"/>
      <c r="C170" s="1"/>
      <c r="D170" s="1"/>
      <c r="F170" s="1"/>
      <c r="G170" s="1"/>
      <c r="H170" s="7"/>
      <c r="J170" s="1"/>
    </row>
    <row r="171" spans="1:11" x14ac:dyDescent="0.25">
      <c r="A171" s="1"/>
      <c r="B171" s="1"/>
      <c r="C171" s="1"/>
      <c r="D171" s="1"/>
      <c r="F171" s="1"/>
      <c r="G171" s="1"/>
      <c r="H171" s="7"/>
      <c r="J171" s="1"/>
    </row>
    <row r="172" spans="1:11" x14ac:dyDescent="0.25">
      <c r="A172" s="1"/>
      <c r="B172" s="1"/>
      <c r="C172" s="1"/>
      <c r="D172" s="1"/>
      <c r="F172" s="1"/>
      <c r="J172" s="1"/>
    </row>
    <row r="173" spans="1:11" x14ac:dyDescent="0.25">
      <c r="A173" s="1"/>
      <c r="B173" s="1"/>
      <c r="C173" s="1"/>
      <c r="D173" s="1"/>
      <c r="F173" s="1"/>
      <c r="J173" s="1"/>
    </row>
    <row r="175" spans="1:11" x14ac:dyDescent="0.25">
      <c r="A175" s="3"/>
      <c r="B175" s="3"/>
      <c r="C175" s="3"/>
    </row>
    <row r="176" spans="1:11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206" spans="1:3" x14ac:dyDescent="0.25">
      <c r="A206" s="1"/>
      <c r="B206" s="1"/>
      <c r="C206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P27" sqref="P27"/>
    </sheetView>
  </sheetViews>
  <sheetFormatPr baseColWidth="10" defaultColWidth="9.140625" defaultRowHeight="15" x14ac:dyDescent="0.25"/>
  <cols>
    <col min="2" max="2" width="19.85546875" bestFit="1" customWidth="1"/>
    <col min="4" max="4" width="16" bestFit="1" customWidth="1"/>
    <col min="5" max="5" width="15.140625" bestFit="1" customWidth="1"/>
    <col min="6" max="9" width="16" bestFit="1" customWidth="1"/>
  </cols>
  <sheetData>
    <row r="1" spans="1:16" ht="60" x14ac:dyDescent="0.25">
      <c r="A1" s="4" t="s">
        <v>0</v>
      </c>
      <c r="B1" s="4" t="s">
        <v>3</v>
      </c>
      <c r="C1" s="4" t="s">
        <v>18</v>
      </c>
      <c r="D1" s="4" t="s">
        <v>122</v>
      </c>
      <c r="E1" s="4" t="s">
        <v>125</v>
      </c>
      <c r="F1" s="4" t="s">
        <v>126</v>
      </c>
      <c r="G1" s="4" t="s">
        <v>123</v>
      </c>
      <c r="H1" s="4" t="s">
        <v>127</v>
      </c>
      <c r="I1" s="4" t="s">
        <v>128</v>
      </c>
      <c r="K1" s="4"/>
      <c r="L1" s="4"/>
      <c r="M1" s="4"/>
      <c r="N1" s="4"/>
      <c r="O1" s="4"/>
      <c r="P1" s="4"/>
    </row>
    <row r="2" spans="1:16" x14ac:dyDescent="0.25">
      <c r="A2" s="1">
        <v>32</v>
      </c>
      <c r="B2" s="8" t="s">
        <v>19</v>
      </c>
      <c r="C2" s="15">
        <v>9</v>
      </c>
      <c r="D2">
        <v>211.86337491050602</v>
      </c>
      <c r="E2" s="94">
        <f>AVERAGE(D2:D4)</f>
        <v>269.2540207430157</v>
      </c>
      <c r="F2">
        <f>STDEV(D2:D4)</f>
        <v>129.62413174078566</v>
      </c>
      <c r="G2">
        <v>0.74712688639759661</v>
      </c>
      <c r="H2" s="94">
        <f>AVERAGE(G2:G4)</f>
        <v>0.80706942788746172</v>
      </c>
      <c r="I2">
        <f>STDEV(G2:G4)</f>
        <v>7.0053515452219495E-2</v>
      </c>
      <c r="K2" s="35"/>
      <c r="L2" s="35"/>
      <c r="M2" s="35"/>
      <c r="N2" s="36"/>
      <c r="O2" s="35"/>
      <c r="P2" s="35"/>
    </row>
    <row r="3" spans="1:16" x14ac:dyDescent="0.25">
      <c r="A3" s="1">
        <v>33</v>
      </c>
      <c r="B3" s="8" t="s">
        <v>20</v>
      </c>
      <c r="C3" s="15">
        <v>9</v>
      </c>
      <c r="D3">
        <v>178.23238221375055</v>
      </c>
      <c r="E3" s="94"/>
      <c r="G3">
        <v>0.88407965926096477</v>
      </c>
      <c r="H3" s="94"/>
      <c r="K3" s="35"/>
      <c r="L3" s="35"/>
      <c r="M3" s="35"/>
      <c r="N3" s="36"/>
      <c r="O3" s="35"/>
      <c r="P3" s="35"/>
    </row>
    <row r="4" spans="1:16" x14ac:dyDescent="0.25">
      <c r="A4" s="1">
        <v>34</v>
      </c>
      <c r="B4" s="8" t="s">
        <v>21</v>
      </c>
      <c r="C4" s="15">
        <v>9</v>
      </c>
      <c r="D4">
        <v>417.66630510479064</v>
      </c>
      <c r="E4" s="94"/>
      <c r="G4">
        <v>0.79000173800382367</v>
      </c>
      <c r="H4" s="94"/>
      <c r="K4" s="35"/>
      <c r="L4" s="35"/>
      <c r="M4" s="35"/>
      <c r="N4" s="36"/>
      <c r="O4" s="35"/>
      <c r="P4" s="35"/>
    </row>
    <row r="5" spans="1:16" x14ac:dyDescent="0.25">
      <c r="A5" s="1">
        <v>35</v>
      </c>
      <c r="B5" s="9" t="s">
        <v>22</v>
      </c>
      <c r="C5" s="15">
        <v>9</v>
      </c>
      <c r="D5">
        <v>431.54194915339656</v>
      </c>
      <c r="E5" s="94">
        <f>AVERAGE(D5:D7)</f>
        <v>347.37943579520152</v>
      </c>
      <c r="F5">
        <f>STDEV(D5:D7)</f>
        <v>78.198841757817746</v>
      </c>
      <c r="G5">
        <v>0.80285679587074976</v>
      </c>
      <c r="H5" s="94">
        <f>AVERAGE(G5:G7)</f>
        <v>1.0769056326743336</v>
      </c>
      <c r="I5">
        <f>STDEV(G5:G7)</f>
        <v>0.29487829137266669</v>
      </c>
      <c r="K5" s="35"/>
      <c r="L5" s="35"/>
      <c r="M5" s="35"/>
      <c r="N5" s="36"/>
      <c r="O5" s="35"/>
      <c r="P5" s="35"/>
    </row>
    <row r="6" spans="1:16" x14ac:dyDescent="0.25">
      <c r="A6" s="1">
        <v>36</v>
      </c>
      <c r="B6" s="9" t="s">
        <v>23</v>
      </c>
      <c r="C6" s="15">
        <v>9</v>
      </c>
      <c r="D6">
        <v>276.96864750705845</v>
      </c>
      <c r="E6" s="94"/>
      <c r="G6">
        <v>1.0389268139408774</v>
      </c>
      <c r="H6" s="94"/>
      <c r="K6" s="35"/>
      <c r="L6" s="35"/>
      <c r="M6" s="35"/>
      <c r="N6" s="36"/>
      <c r="O6" s="35"/>
      <c r="P6" s="35"/>
    </row>
    <row r="7" spans="1:16" x14ac:dyDescent="0.25">
      <c r="A7" s="1">
        <v>37</v>
      </c>
      <c r="B7" s="9" t="s">
        <v>28</v>
      </c>
      <c r="C7" s="15">
        <v>9</v>
      </c>
      <c r="D7">
        <v>333.62771072514965</v>
      </c>
      <c r="E7" s="94"/>
      <c r="G7">
        <v>1.3889332882113736</v>
      </c>
      <c r="H7" s="94"/>
      <c r="K7" s="35"/>
      <c r="L7" s="35"/>
      <c r="M7" s="35"/>
      <c r="N7" s="36"/>
      <c r="O7" s="35"/>
      <c r="P7" s="35"/>
    </row>
    <row r="8" spans="1:16" x14ac:dyDescent="0.25">
      <c r="A8" s="1">
        <v>38</v>
      </c>
      <c r="B8" s="10" t="s">
        <v>24</v>
      </c>
      <c r="C8" s="15">
        <v>9</v>
      </c>
      <c r="D8">
        <v>2612.0152702431187</v>
      </c>
      <c r="E8" s="94">
        <f>AVERAGE(D8:D10)</f>
        <v>2825.319863804325</v>
      </c>
      <c r="F8">
        <f>STDEV(D8:D10)</f>
        <v>276.10988785799287</v>
      </c>
      <c r="G8">
        <v>2.4273534883258225</v>
      </c>
      <c r="H8" s="94">
        <f>AVERAGE(G8:G10)</f>
        <v>4.6711223787432052</v>
      </c>
      <c r="I8">
        <f>STDEV(G8:G10)</f>
        <v>5.0246283687594353</v>
      </c>
      <c r="K8" s="35"/>
      <c r="L8" s="35"/>
      <c r="M8" s="35"/>
      <c r="N8" s="36"/>
      <c r="O8" s="35"/>
      <c r="P8" s="35"/>
    </row>
    <row r="9" spans="1:16" x14ac:dyDescent="0.25">
      <c r="A9" s="1">
        <v>39</v>
      </c>
      <c r="B9" s="10" t="s">
        <v>25</v>
      </c>
      <c r="C9" s="15">
        <v>9</v>
      </c>
      <c r="D9">
        <v>2726.7587766470865</v>
      </c>
      <c r="E9" s="94"/>
      <c r="G9">
        <v>10.426689605383796</v>
      </c>
      <c r="H9" s="94"/>
      <c r="K9" s="35"/>
      <c r="L9" s="35"/>
      <c r="M9" s="35"/>
      <c r="N9" s="36"/>
      <c r="O9" s="35"/>
      <c r="P9" s="35"/>
    </row>
    <row r="10" spans="1:16" x14ac:dyDescent="0.25">
      <c r="A10" s="1">
        <v>40</v>
      </c>
      <c r="B10" s="10" t="s">
        <v>30</v>
      </c>
      <c r="C10" s="15">
        <v>9</v>
      </c>
      <c r="D10">
        <v>3137.1855445227693</v>
      </c>
      <c r="E10" s="94"/>
      <c r="G10">
        <v>1.1593240425199982</v>
      </c>
      <c r="H10" s="94"/>
      <c r="K10" s="35"/>
      <c r="L10" s="35"/>
      <c r="M10" s="35"/>
      <c r="N10" s="36"/>
      <c r="O10" s="35"/>
      <c r="P10" s="35"/>
    </row>
    <row r="11" spans="1:16" x14ac:dyDescent="0.25">
      <c r="A11" s="1">
        <v>41</v>
      </c>
      <c r="B11" s="11" t="s">
        <v>26</v>
      </c>
      <c r="C11" s="15">
        <v>9</v>
      </c>
      <c r="D11">
        <v>0.42327407496283853</v>
      </c>
      <c r="E11" s="94">
        <f>AVERAGE(D11:D13)</f>
        <v>0.18879843856956038</v>
      </c>
      <c r="F11">
        <f>STDEV(D11:D13)</f>
        <v>0.20589370110229302</v>
      </c>
      <c r="G11">
        <v>6.9132112443070267E-4</v>
      </c>
      <c r="H11" s="94">
        <f>AVERAGE(G11:G13)</f>
        <v>7.4637143151563053E-4</v>
      </c>
      <c r="I11">
        <f>STDEV(G11:G13)</f>
        <v>5.3812962934744602E-5</v>
      </c>
      <c r="K11" s="35"/>
      <c r="L11" s="35"/>
      <c r="M11" s="35"/>
      <c r="N11" s="36"/>
      <c r="O11" s="35"/>
      <c r="P11" s="35"/>
    </row>
    <row r="12" spans="1:16" x14ac:dyDescent="0.25">
      <c r="A12" s="1">
        <v>42</v>
      </c>
      <c r="B12" s="11" t="s">
        <v>27</v>
      </c>
      <c r="C12" s="15">
        <v>9</v>
      </c>
      <c r="D12">
        <v>0.10559146090141541</v>
      </c>
      <c r="G12">
        <v>7.9885520575731484E-4</v>
      </c>
      <c r="K12" s="35"/>
      <c r="L12" s="35"/>
      <c r="M12" s="35"/>
      <c r="N12" s="36"/>
      <c r="O12" s="35"/>
      <c r="P12" s="35"/>
    </row>
    <row r="13" spans="1:16" x14ac:dyDescent="0.25">
      <c r="A13" s="1">
        <v>43</v>
      </c>
      <c r="B13" s="11" t="s">
        <v>29</v>
      </c>
      <c r="C13" s="15">
        <v>9</v>
      </c>
      <c r="D13">
        <v>3.7529779844427215E-2</v>
      </c>
      <c r="G13">
        <v>7.4893796435887431E-4</v>
      </c>
      <c r="K13" s="35"/>
      <c r="L13" s="35"/>
      <c r="M13" s="35"/>
      <c r="N13" s="36"/>
      <c r="O13" s="35"/>
      <c r="P1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zoomScale="70" zoomScaleNormal="70" workbookViewId="0">
      <selection activeCell="M45" sqref="M45"/>
    </sheetView>
  </sheetViews>
  <sheetFormatPr baseColWidth="10" defaultColWidth="9.140625" defaultRowHeight="15" x14ac:dyDescent="0.25"/>
  <cols>
    <col min="2" max="2" width="30" bestFit="1" customWidth="1"/>
    <col min="3" max="3" width="10.140625" bestFit="1" customWidth="1"/>
    <col min="4" max="5" width="10.5703125" bestFit="1" customWidth="1"/>
    <col min="6" max="6" width="20.140625" bestFit="1" customWidth="1"/>
    <col min="7" max="7" width="8.140625" bestFit="1" customWidth="1"/>
    <col min="8" max="8" width="14.85546875" bestFit="1" customWidth="1"/>
    <col min="9" max="9" width="8.140625" bestFit="1" customWidth="1"/>
    <col min="10" max="10" width="14.85546875" bestFit="1" customWidth="1"/>
    <col min="11" max="11" width="8.140625" bestFit="1" customWidth="1"/>
    <col min="12" max="12" width="20.140625" bestFit="1" customWidth="1"/>
    <col min="14" max="14" width="16" bestFit="1" customWidth="1"/>
    <col min="15" max="16" width="14.85546875" bestFit="1" customWidth="1"/>
    <col min="17" max="17" width="10" bestFit="1" customWidth="1"/>
    <col min="18" max="18" width="17.7109375" bestFit="1" customWidth="1"/>
  </cols>
  <sheetData>
    <row r="1" spans="2:18" ht="15.75" thickBot="1" x14ac:dyDescent="0.3"/>
    <row r="2" spans="2:18" x14ac:dyDescent="0.25">
      <c r="B2" s="16"/>
      <c r="C2" s="17"/>
      <c r="D2" s="17"/>
      <c r="E2" s="18"/>
      <c r="F2" s="18"/>
      <c r="G2" s="18"/>
      <c r="H2" s="18"/>
      <c r="I2" s="18"/>
      <c r="J2" s="18"/>
      <c r="K2" s="18"/>
      <c r="L2" s="19"/>
      <c r="N2" s="16" t="s">
        <v>6</v>
      </c>
      <c r="O2" s="17"/>
      <c r="P2" s="17"/>
      <c r="Q2" s="17"/>
      <c r="R2" s="37"/>
    </row>
    <row r="3" spans="2:18" x14ac:dyDescent="0.25">
      <c r="B3" s="20" t="s">
        <v>34</v>
      </c>
      <c r="C3" s="21"/>
      <c r="D3" s="22"/>
      <c r="E3" s="22"/>
      <c r="F3" s="22"/>
      <c r="G3" s="22"/>
      <c r="H3" s="22" t="s">
        <v>35</v>
      </c>
      <c r="I3" s="22"/>
      <c r="J3" s="22" t="s">
        <v>36</v>
      </c>
      <c r="K3" s="22"/>
      <c r="L3" s="23" t="s">
        <v>120</v>
      </c>
      <c r="N3" s="24" t="s">
        <v>41</v>
      </c>
      <c r="O3" s="25" t="s">
        <v>42</v>
      </c>
      <c r="P3" s="22" t="s">
        <v>43</v>
      </c>
      <c r="Q3" s="25" t="s">
        <v>44</v>
      </c>
      <c r="R3" s="26" t="s">
        <v>45</v>
      </c>
    </row>
    <row r="4" spans="2:18" x14ac:dyDescent="0.25">
      <c r="B4" s="24" t="s">
        <v>4</v>
      </c>
      <c r="C4" s="22" t="s">
        <v>35</v>
      </c>
      <c r="D4" s="22" t="s">
        <v>37</v>
      </c>
      <c r="E4" s="22" t="s">
        <v>36</v>
      </c>
      <c r="F4" s="22" t="s">
        <v>120</v>
      </c>
      <c r="G4" s="25" t="s">
        <v>121</v>
      </c>
      <c r="H4" s="25" t="s">
        <v>5</v>
      </c>
      <c r="I4" s="25" t="s">
        <v>121</v>
      </c>
      <c r="J4" s="25" t="s">
        <v>5</v>
      </c>
      <c r="K4" s="25" t="s">
        <v>121</v>
      </c>
      <c r="L4" s="26" t="s">
        <v>5</v>
      </c>
      <c r="N4" s="24">
        <v>0</v>
      </c>
      <c r="O4" s="25">
        <v>0</v>
      </c>
      <c r="P4" s="25">
        <v>0</v>
      </c>
      <c r="Q4" s="25">
        <v>0</v>
      </c>
      <c r="R4" s="26">
        <v>0</v>
      </c>
    </row>
    <row r="5" spans="2:18" x14ac:dyDescent="0.25">
      <c r="B5" s="24">
        <v>0</v>
      </c>
      <c r="C5" s="25">
        <v>0.7</v>
      </c>
      <c r="D5" s="25">
        <v>0.74</v>
      </c>
      <c r="E5" s="25">
        <v>0.78</v>
      </c>
      <c r="F5" s="25">
        <v>0.74</v>
      </c>
      <c r="G5" s="25">
        <v>1.5</v>
      </c>
      <c r="H5" s="22">
        <f>LN(C6)</f>
        <v>1.0818051703517284</v>
      </c>
      <c r="I5" s="25">
        <v>1.5</v>
      </c>
      <c r="J5" s="22">
        <f>LN(E6)</f>
        <v>0.71294980785612505</v>
      </c>
      <c r="K5" s="25">
        <v>1.5</v>
      </c>
      <c r="L5" s="23">
        <f>LN(F6)</f>
        <v>-0.30110509278392161</v>
      </c>
      <c r="N5" s="24">
        <v>1.5</v>
      </c>
      <c r="O5" s="25">
        <v>0.11</v>
      </c>
      <c r="P5" s="25">
        <v>0.17</v>
      </c>
      <c r="Q5" s="25">
        <v>0.105</v>
      </c>
      <c r="R5" s="26">
        <v>0.17</v>
      </c>
    </row>
    <row r="6" spans="2:18" x14ac:dyDescent="0.25">
      <c r="B6" s="24">
        <v>1.5</v>
      </c>
      <c r="C6" s="25">
        <v>2.95</v>
      </c>
      <c r="D6" s="25">
        <v>2.06</v>
      </c>
      <c r="E6" s="25">
        <v>2.04</v>
      </c>
      <c r="F6" s="25">
        <v>0.74</v>
      </c>
      <c r="G6" s="25">
        <v>3</v>
      </c>
      <c r="H6" s="22">
        <f>LN(C7)</f>
        <v>1.8594181177018698</v>
      </c>
      <c r="I6" s="25">
        <v>3</v>
      </c>
      <c r="J6" s="22">
        <f>LN(E7)</f>
        <v>2.0333976031784289</v>
      </c>
      <c r="K6" s="25">
        <v>3</v>
      </c>
      <c r="L6" s="23">
        <f>LN(F7)</f>
        <v>1.3137236682850553</v>
      </c>
      <c r="N6" s="24">
        <v>3</v>
      </c>
      <c r="O6" s="25">
        <v>1.19</v>
      </c>
      <c r="P6" s="25">
        <v>2.39</v>
      </c>
      <c r="Q6" s="25">
        <v>3</v>
      </c>
      <c r="R6" s="26">
        <v>0.31</v>
      </c>
    </row>
    <row r="7" spans="2:18" x14ac:dyDescent="0.25">
      <c r="B7" s="24">
        <v>3</v>
      </c>
      <c r="C7" s="25">
        <v>6.42</v>
      </c>
      <c r="D7" s="25">
        <v>7.45</v>
      </c>
      <c r="E7" s="25">
        <v>7.64</v>
      </c>
      <c r="F7" s="25">
        <v>3.72</v>
      </c>
      <c r="G7" s="25">
        <v>6</v>
      </c>
      <c r="H7" s="22">
        <f>LN(C8)</f>
        <v>2.8255368965578769</v>
      </c>
      <c r="I7" s="25">
        <v>6</v>
      </c>
      <c r="J7" s="22">
        <f>LN(E8)</f>
        <v>2.9003220887493328</v>
      </c>
      <c r="K7" s="25">
        <v>6</v>
      </c>
      <c r="L7" s="23">
        <f>LN(F8)</f>
        <v>2.1138429683971682</v>
      </c>
      <c r="N7" s="24">
        <v>6</v>
      </c>
      <c r="O7" s="25">
        <v>419.78</v>
      </c>
      <c r="P7" s="25">
        <v>553.33000000000004</v>
      </c>
      <c r="Q7" s="25">
        <v>479.69</v>
      </c>
      <c r="R7" s="26">
        <v>0.12</v>
      </c>
    </row>
    <row r="8" spans="2:18" x14ac:dyDescent="0.25">
      <c r="B8" s="24">
        <v>6</v>
      </c>
      <c r="C8" s="25">
        <v>16.87</v>
      </c>
      <c r="D8" s="25">
        <v>16.04</v>
      </c>
      <c r="E8" s="25">
        <v>18.18</v>
      </c>
      <c r="F8" s="25">
        <v>8.2799999999999994</v>
      </c>
      <c r="G8" s="22" t="s">
        <v>9</v>
      </c>
      <c r="H8" s="25">
        <v>0.51</v>
      </c>
      <c r="I8" s="22" t="s">
        <v>10</v>
      </c>
      <c r="J8" s="22">
        <v>0.52</v>
      </c>
      <c r="K8" s="22" t="s">
        <v>9</v>
      </c>
      <c r="L8" s="23">
        <v>0.34</v>
      </c>
      <c r="N8" s="24">
        <v>9</v>
      </c>
      <c r="O8" s="25">
        <v>403.87</v>
      </c>
      <c r="P8" s="25">
        <v>559.37</v>
      </c>
      <c r="Q8" s="25">
        <v>1269</v>
      </c>
      <c r="R8" s="26">
        <v>0.1</v>
      </c>
    </row>
    <row r="9" spans="2:18" x14ac:dyDescent="0.25">
      <c r="B9" s="24">
        <v>9</v>
      </c>
      <c r="C9" s="25">
        <v>15.28</v>
      </c>
      <c r="D9" s="25">
        <v>11.9</v>
      </c>
      <c r="E9" s="25">
        <v>13.03</v>
      </c>
      <c r="F9" s="25">
        <v>7.37</v>
      </c>
      <c r="G9" s="22"/>
      <c r="H9" s="22" t="s">
        <v>37</v>
      </c>
      <c r="I9" s="22"/>
      <c r="J9" s="22"/>
      <c r="K9" s="22"/>
      <c r="L9" s="23"/>
      <c r="N9" s="24">
        <v>12</v>
      </c>
      <c r="O9" s="25">
        <v>427.23</v>
      </c>
      <c r="P9" s="25">
        <v>536.1</v>
      </c>
      <c r="Q9" s="25">
        <v>912.71</v>
      </c>
      <c r="R9" s="26">
        <v>0.35</v>
      </c>
    </row>
    <row r="10" spans="2:18" x14ac:dyDescent="0.25">
      <c r="B10" s="24">
        <v>12</v>
      </c>
      <c r="C10" s="25">
        <v>10.63</v>
      </c>
      <c r="D10" s="25">
        <v>7.37</v>
      </c>
      <c r="E10" s="25">
        <v>8.4</v>
      </c>
      <c r="F10" s="25">
        <v>7.32</v>
      </c>
      <c r="G10" s="25" t="s">
        <v>121</v>
      </c>
      <c r="H10" s="25" t="s">
        <v>5</v>
      </c>
      <c r="I10" s="22"/>
      <c r="J10" s="22"/>
      <c r="K10" s="22"/>
      <c r="L10" s="23"/>
      <c r="N10" s="32"/>
      <c r="O10" s="22"/>
      <c r="P10" s="22"/>
      <c r="Q10" s="22"/>
      <c r="R10" s="23"/>
    </row>
    <row r="11" spans="2:18" x14ac:dyDescent="0.25">
      <c r="B11" s="24"/>
      <c r="C11" s="25"/>
      <c r="D11" s="25"/>
      <c r="E11" s="25"/>
      <c r="F11" s="22"/>
      <c r="G11" s="25">
        <v>1.5</v>
      </c>
      <c r="H11" s="22">
        <f>LN(D6)</f>
        <v>0.72270598280148979</v>
      </c>
      <c r="I11" s="22"/>
      <c r="J11" s="22"/>
      <c r="K11" s="22"/>
      <c r="L11" s="23"/>
      <c r="N11" s="32" t="s">
        <v>8</v>
      </c>
      <c r="O11" s="22">
        <f>O9/(50*1000)</f>
        <v>8.5446000000000012E-3</v>
      </c>
      <c r="P11" s="22">
        <f>P8/(50*1000)</f>
        <v>1.11874E-2</v>
      </c>
      <c r="Q11" s="22">
        <f>Q8/(50*1000)</f>
        <v>2.538E-2</v>
      </c>
      <c r="R11" s="23">
        <f t="shared" ref="R11" si="0">R9/(50*1000)</f>
        <v>6.9999999999999999E-6</v>
      </c>
    </row>
    <row r="12" spans="2:18" ht="15.75" thickBot="1" x14ac:dyDescent="0.3">
      <c r="B12" s="24" t="s">
        <v>7</v>
      </c>
      <c r="C12" s="25">
        <f>(C8-C5)/50</f>
        <v>0.32340000000000002</v>
      </c>
      <c r="D12" s="25">
        <f>(D8-D5)/50</f>
        <v>0.30599999999999999</v>
      </c>
      <c r="E12" s="25">
        <f>(E8-E5)/50</f>
        <v>0.34799999999999998</v>
      </c>
      <c r="F12" s="25">
        <f>(F8-F5)/50</f>
        <v>0.15079999999999999</v>
      </c>
      <c r="G12" s="25">
        <v>3</v>
      </c>
      <c r="H12" s="22">
        <f>LN(D7)</f>
        <v>2.0082140323914683</v>
      </c>
      <c r="I12" s="22"/>
      <c r="J12" s="22"/>
      <c r="K12" s="22"/>
      <c r="L12" s="23"/>
      <c r="N12" s="38" t="s">
        <v>11</v>
      </c>
      <c r="O12" s="29">
        <f>O7/6</f>
        <v>69.963333333333324</v>
      </c>
      <c r="P12" s="29">
        <f>P7/6</f>
        <v>92.221666666666678</v>
      </c>
      <c r="Q12" s="29">
        <f>Q8/9</f>
        <v>141</v>
      </c>
      <c r="R12" s="30">
        <f>R9/12</f>
        <v>2.9166666666666664E-2</v>
      </c>
    </row>
    <row r="13" spans="2:18" x14ac:dyDescent="0.25">
      <c r="B13" s="24" t="s">
        <v>8</v>
      </c>
      <c r="C13" s="25"/>
      <c r="D13" s="25"/>
      <c r="E13" s="25"/>
      <c r="F13" s="22"/>
      <c r="G13" s="25">
        <v>6</v>
      </c>
      <c r="H13" s="22">
        <f>LN(D8)</f>
        <v>2.7750856024383683</v>
      </c>
      <c r="I13" s="22"/>
      <c r="J13" s="22"/>
      <c r="K13" s="22"/>
      <c r="L13" s="23"/>
    </row>
    <row r="14" spans="2:18" ht="15.75" thickBot="1" x14ac:dyDescent="0.3">
      <c r="B14" s="27"/>
      <c r="C14" s="28"/>
      <c r="D14" s="28"/>
      <c r="E14" s="29"/>
      <c r="F14" s="29"/>
      <c r="G14" s="29" t="s">
        <v>9</v>
      </c>
      <c r="H14" s="29">
        <v>0.5</v>
      </c>
      <c r="I14" s="29"/>
      <c r="J14" s="29"/>
      <c r="K14" s="29"/>
      <c r="L14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85"/>
  <sheetViews>
    <sheetView zoomScale="40" zoomScaleNormal="40" workbookViewId="0">
      <selection activeCell="A4" sqref="A4"/>
    </sheetView>
  </sheetViews>
  <sheetFormatPr baseColWidth="10" defaultColWidth="11.42578125" defaultRowHeight="15" x14ac:dyDescent="0.25"/>
  <cols>
    <col min="2" max="2" width="20" bestFit="1" customWidth="1"/>
    <col min="3" max="3" width="20" customWidth="1"/>
    <col min="39" max="39" width="12" bestFit="1" customWidth="1"/>
    <col min="65" max="65" width="12.42578125" bestFit="1" customWidth="1"/>
  </cols>
  <sheetData>
    <row r="1" spans="1:191" x14ac:dyDescent="0.25">
      <c r="A1" s="43">
        <v>1</v>
      </c>
      <c r="B1" s="43">
        <v>2</v>
      </c>
      <c r="C1" s="43"/>
      <c r="D1" s="43">
        <v>5</v>
      </c>
      <c r="E1" s="43">
        <v>6</v>
      </c>
      <c r="F1" s="43">
        <v>7</v>
      </c>
      <c r="G1" s="43">
        <v>8</v>
      </c>
      <c r="H1" s="43">
        <v>9</v>
      </c>
      <c r="I1" s="43">
        <v>10</v>
      </c>
      <c r="J1" s="43">
        <v>11</v>
      </c>
      <c r="K1" s="43">
        <v>12</v>
      </c>
      <c r="L1" s="43">
        <v>13</v>
      </c>
      <c r="M1" s="43">
        <v>14</v>
      </c>
      <c r="N1" s="43">
        <v>15</v>
      </c>
      <c r="O1" s="43">
        <v>16</v>
      </c>
      <c r="P1" s="43">
        <v>17</v>
      </c>
      <c r="Q1" s="43">
        <v>18</v>
      </c>
      <c r="R1" s="43">
        <v>19</v>
      </c>
      <c r="S1" s="43">
        <v>20</v>
      </c>
      <c r="T1" s="43">
        <v>21</v>
      </c>
      <c r="U1" s="43">
        <v>22</v>
      </c>
      <c r="V1" s="43">
        <v>23</v>
      </c>
      <c r="W1" s="43">
        <v>24</v>
      </c>
      <c r="X1" s="43">
        <v>25</v>
      </c>
      <c r="Y1" s="43">
        <v>26</v>
      </c>
      <c r="Z1" s="43">
        <v>27</v>
      </c>
      <c r="AA1" s="43">
        <v>28</v>
      </c>
      <c r="AB1" s="43">
        <v>29</v>
      </c>
      <c r="AC1" s="43">
        <v>30</v>
      </c>
      <c r="AD1" s="43">
        <v>31</v>
      </c>
      <c r="AE1" s="43">
        <v>32</v>
      </c>
      <c r="AF1" s="43">
        <v>33</v>
      </c>
      <c r="AG1" s="43">
        <v>34</v>
      </c>
      <c r="AH1" s="43">
        <v>35</v>
      </c>
      <c r="AI1" s="43">
        <v>36</v>
      </c>
      <c r="AJ1" s="43">
        <v>37</v>
      </c>
      <c r="AK1" s="43">
        <v>41</v>
      </c>
      <c r="AL1" s="43">
        <v>42</v>
      </c>
      <c r="AM1" s="43">
        <v>43</v>
      </c>
      <c r="AN1" s="43">
        <v>44</v>
      </c>
      <c r="AO1" s="43">
        <v>49</v>
      </c>
      <c r="AP1" s="43">
        <v>50</v>
      </c>
      <c r="AQ1" s="43">
        <v>51</v>
      </c>
      <c r="AR1" s="43">
        <v>58</v>
      </c>
      <c r="AS1" s="43">
        <v>59</v>
      </c>
      <c r="AT1" s="43">
        <v>60</v>
      </c>
      <c r="AU1" s="43">
        <v>61</v>
      </c>
      <c r="AV1" s="43">
        <v>62</v>
      </c>
      <c r="AW1" s="43">
        <v>63</v>
      </c>
      <c r="AX1" s="43">
        <v>64</v>
      </c>
      <c r="AY1" s="43">
        <v>65</v>
      </c>
      <c r="AZ1" s="43">
        <v>66</v>
      </c>
      <c r="BA1" s="43">
        <v>67</v>
      </c>
      <c r="BB1" s="43">
        <v>68</v>
      </c>
      <c r="BC1" s="43">
        <v>69</v>
      </c>
      <c r="BD1" s="43">
        <v>70</v>
      </c>
      <c r="BE1" s="43">
        <v>71</v>
      </c>
      <c r="BF1" s="43">
        <v>72</v>
      </c>
      <c r="BG1" s="43">
        <v>73</v>
      </c>
      <c r="BH1" s="43">
        <v>74</v>
      </c>
      <c r="BI1" s="43">
        <v>75</v>
      </c>
      <c r="BJ1" s="43">
        <v>82</v>
      </c>
      <c r="BK1" s="43">
        <v>83</v>
      </c>
      <c r="BL1" s="43">
        <v>84</v>
      </c>
      <c r="BM1" s="43">
        <v>85</v>
      </c>
      <c r="BN1" s="43">
        <v>86</v>
      </c>
      <c r="BO1" s="43">
        <v>87</v>
      </c>
      <c r="BP1" s="43">
        <v>88</v>
      </c>
      <c r="BQ1" s="43">
        <v>95</v>
      </c>
      <c r="BR1" s="43">
        <v>96</v>
      </c>
      <c r="BS1" s="43">
        <v>97</v>
      </c>
      <c r="BT1" s="43">
        <v>98</v>
      </c>
      <c r="BU1" s="43">
        <v>99</v>
      </c>
      <c r="BV1" s="43">
        <v>100</v>
      </c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</row>
    <row r="2" spans="1:191" x14ac:dyDescent="0.25">
      <c r="A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 t="s">
        <v>118</v>
      </c>
      <c r="AG2" s="44" t="s">
        <v>46</v>
      </c>
      <c r="AH2" s="44" t="s">
        <v>47</v>
      </c>
      <c r="AI2" s="44"/>
      <c r="AJ2" s="44"/>
      <c r="AK2" t="s">
        <v>48</v>
      </c>
      <c r="AL2" s="45" t="s">
        <v>49</v>
      </c>
      <c r="AM2" s="44"/>
      <c r="AN2" s="44"/>
      <c r="AO2" t="s">
        <v>50</v>
      </c>
      <c r="AR2" s="45" t="s">
        <v>51</v>
      </c>
      <c r="AS2" s="44"/>
      <c r="AT2" s="44"/>
      <c r="AU2" t="s">
        <v>52</v>
      </c>
      <c r="AV2" t="s">
        <v>53</v>
      </c>
      <c r="AW2" s="47"/>
      <c r="AY2" s="45" t="s">
        <v>54</v>
      </c>
      <c r="AZ2" s="48"/>
      <c r="BA2" s="44"/>
      <c r="BB2" s="46" t="s">
        <v>55</v>
      </c>
      <c r="BC2" s="45"/>
      <c r="BE2" t="s">
        <v>56</v>
      </c>
      <c r="BF2" t="s">
        <v>57</v>
      </c>
      <c r="BI2" t="s">
        <v>58</v>
      </c>
      <c r="BJ2" t="s">
        <v>59</v>
      </c>
      <c r="BM2" t="s">
        <v>60</v>
      </c>
      <c r="BO2" s="46" t="s">
        <v>61</v>
      </c>
      <c r="BQ2" s="45" t="s">
        <v>62</v>
      </c>
      <c r="BR2" s="48"/>
      <c r="BS2" s="44"/>
      <c r="BU2" s="46" t="s">
        <v>63</v>
      </c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</row>
    <row r="3" spans="1:191" x14ac:dyDescent="0.25">
      <c r="A3" s="63"/>
      <c r="B3" s="14"/>
      <c r="C3" s="14" t="s">
        <v>17</v>
      </c>
      <c r="D3" s="67" t="s">
        <v>116</v>
      </c>
      <c r="E3" s="1" t="s">
        <v>117</v>
      </c>
      <c r="F3" s="1"/>
      <c r="G3" s="1"/>
      <c r="J3" s="1"/>
      <c r="L3" s="1"/>
      <c r="N3" s="1"/>
      <c r="AI3" s="49" t="s">
        <v>64</v>
      </c>
      <c r="AJ3" s="50"/>
      <c r="AL3" s="1"/>
      <c r="AM3" s="49" t="s">
        <v>64</v>
      </c>
      <c r="AN3" s="50"/>
      <c r="AP3" s="49" t="s">
        <v>66</v>
      </c>
      <c r="AQ3" s="50"/>
      <c r="AS3" s="49" t="s">
        <v>64</v>
      </c>
      <c r="AT3" s="50"/>
      <c r="AW3" s="51" t="s">
        <v>66</v>
      </c>
      <c r="AX3" s="50"/>
      <c r="AY3" s="14"/>
      <c r="AZ3" s="51" t="s">
        <v>64</v>
      </c>
      <c r="BA3" s="50"/>
      <c r="BC3" s="49" t="s">
        <v>64</v>
      </c>
      <c r="BD3" s="50"/>
      <c r="BG3" s="49" t="s">
        <v>65</v>
      </c>
      <c r="BH3" s="50"/>
      <c r="BK3" s="49" t="s">
        <v>64</v>
      </c>
      <c r="BL3" s="50"/>
      <c r="BN3" s="14"/>
      <c r="BO3" s="49" t="s">
        <v>66</v>
      </c>
      <c r="BP3" s="50"/>
      <c r="BQ3" s="14"/>
      <c r="BR3" s="52" t="s">
        <v>113</v>
      </c>
      <c r="BS3" s="50"/>
      <c r="BT3" s="14"/>
      <c r="BU3" s="49" t="s">
        <v>64</v>
      </c>
      <c r="BV3" s="50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</row>
    <row r="4" spans="1:191" x14ac:dyDescent="0.25">
      <c r="A4" s="53"/>
      <c r="B4" s="54"/>
      <c r="C4" s="92" t="s">
        <v>115</v>
      </c>
      <c r="D4" s="93" t="s">
        <v>114</v>
      </c>
      <c r="E4" s="55" t="s">
        <v>67</v>
      </c>
      <c r="F4" s="55" t="s">
        <v>68</v>
      </c>
      <c r="G4" s="55" t="s">
        <v>69</v>
      </c>
      <c r="H4" s="55" t="s">
        <v>70</v>
      </c>
      <c r="I4" s="55" t="s">
        <v>71</v>
      </c>
      <c r="J4" s="55" t="s">
        <v>72</v>
      </c>
      <c r="K4" s="55" t="s">
        <v>73</v>
      </c>
      <c r="L4" s="55" t="s">
        <v>74</v>
      </c>
      <c r="M4" s="55" t="s">
        <v>6</v>
      </c>
      <c r="N4" s="55" t="s">
        <v>75</v>
      </c>
      <c r="O4" s="55" t="s">
        <v>13</v>
      </c>
      <c r="P4" s="55" t="s">
        <v>76</v>
      </c>
      <c r="Q4" s="55" t="s">
        <v>77</v>
      </c>
      <c r="R4" s="55" t="s">
        <v>78</v>
      </c>
      <c r="S4" s="55" t="s">
        <v>79</v>
      </c>
      <c r="T4" s="55" t="s">
        <v>80</v>
      </c>
      <c r="U4" s="55" t="s">
        <v>81</v>
      </c>
      <c r="V4" s="55" t="s">
        <v>82</v>
      </c>
      <c r="W4" s="55" t="s">
        <v>83</v>
      </c>
      <c r="X4" s="55" t="s">
        <v>84</v>
      </c>
      <c r="Y4" s="55" t="s">
        <v>85</v>
      </c>
      <c r="Z4" s="55" t="s">
        <v>86</v>
      </c>
      <c r="AA4" s="55" t="s">
        <v>87</v>
      </c>
      <c r="AB4" s="55" t="s">
        <v>88</v>
      </c>
      <c r="AC4" s="55" t="s">
        <v>89</v>
      </c>
      <c r="AD4" s="55" t="s">
        <v>90</v>
      </c>
      <c r="AE4" s="55" t="s">
        <v>91</v>
      </c>
      <c r="AF4" s="55" t="s">
        <v>92</v>
      </c>
      <c r="AG4" s="56" t="s">
        <v>93</v>
      </c>
      <c r="AH4" s="57" t="s">
        <v>67</v>
      </c>
      <c r="AI4" s="58" t="s">
        <v>67</v>
      </c>
      <c r="AJ4" s="59" t="s">
        <v>94</v>
      </c>
      <c r="AK4" s="56" t="s">
        <v>95</v>
      </c>
      <c r="AL4" s="57" t="s">
        <v>69</v>
      </c>
      <c r="AM4" s="60" t="s">
        <v>69</v>
      </c>
      <c r="AN4" s="60" t="s">
        <v>94</v>
      </c>
      <c r="AO4" s="61" t="s">
        <v>71</v>
      </c>
      <c r="AP4" s="58" t="s">
        <v>71</v>
      </c>
      <c r="AQ4" s="59" t="s">
        <v>94</v>
      </c>
      <c r="AR4" s="61" t="s">
        <v>96</v>
      </c>
      <c r="AS4" s="58" t="s">
        <v>96</v>
      </c>
      <c r="AT4" s="59" t="s">
        <v>94</v>
      </c>
      <c r="AU4" s="56" t="s">
        <v>97</v>
      </c>
      <c r="AV4" s="61" t="s">
        <v>6</v>
      </c>
      <c r="AW4" s="62" t="s">
        <v>6</v>
      </c>
      <c r="AX4" s="59" t="s">
        <v>94</v>
      </c>
      <c r="AY4" s="61" t="s">
        <v>98</v>
      </c>
      <c r="AZ4" s="62" t="s">
        <v>99</v>
      </c>
      <c r="BA4" s="59" t="s">
        <v>94</v>
      </c>
      <c r="BB4" s="61" t="s">
        <v>13</v>
      </c>
      <c r="BC4" s="58" t="s">
        <v>13</v>
      </c>
      <c r="BD4" s="59" t="s">
        <v>94</v>
      </c>
      <c r="BE4" s="56" t="s">
        <v>100</v>
      </c>
      <c r="BF4" s="61" t="s">
        <v>76</v>
      </c>
      <c r="BG4" s="58" t="s">
        <v>76</v>
      </c>
      <c r="BH4" s="59" t="s">
        <v>94</v>
      </c>
      <c r="BI4" s="56" t="s">
        <v>101</v>
      </c>
      <c r="BJ4" s="61" t="s">
        <v>102</v>
      </c>
      <c r="BK4" s="58" t="s">
        <v>102</v>
      </c>
      <c r="BL4" s="59" t="s">
        <v>94</v>
      </c>
      <c r="BM4" s="56" t="s">
        <v>103</v>
      </c>
      <c r="BN4" s="61" t="s">
        <v>80</v>
      </c>
      <c r="BO4" s="58" t="s">
        <v>80</v>
      </c>
      <c r="BP4" s="59" t="s">
        <v>94</v>
      </c>
      <c r="BQ4" s="61" t="s">
        <v>104</v>
      </c>
      <c r="BR4" s="62" t="s">
        <v>83</v>
      </c>
      <c r="BS4" s="59" t="s">
        <v>94</v>
      </c>
      <c r="BT4" s="61" t="s">
        <v>84</v>
      </c>
      <c r="BU4" s="58" t="s">
        <v>84</v>
      </c>
      <c r="BV4" s="71" t="s">
        <v>94</v>
      </c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</row>
    <row r="5" spans="1:191" s="44" customFormat="1" x14ac:dyDescent="0.25">
      <c r="A5" s="72"/>
      <c r="B5" s="72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5"/>
      <c r="AH5" s="74"/>
      <c r="AI5" s="76"/>
      <c r="AJ5" s="75"/>
      <c r="AK5" s="75"/>
      <c r="AL5" s="74"/>
      <c r="AM5" s="76"/>
      <c r="AN5" s="76"/>
      <c r="AO5" s="74"/>
      <c r="AP5" s="76"/>
      <c r="AQ5" s="75"/>
      <c r="AR5" s="74"/>
      <c r="AS5" s="76"/>
      <c r="AT5" s="75"/>
      <c r="AU5" s="75"/>
      <c r="AV5" s="74"/>
      <c r="AW5" s="77"/>
      <c r="AX5" s="75"/>
      <c r="AY5" s="74"/>
      <c r="AZ5" s="77"/>
      <c r="BA5" s="75"/>
      <c r="BB5" s="74"/>
      <c r="BC5" s="76"/>
      <c r="BD5" s="75"/>
      <c r="BE5" s="75"/>
      <c r="BF5" s="74"/>
      <c r="BG5" s="76"/>
      <c r="BH5" s="75"/>
      <c r="BI5" s="75"/>
      <c r="BJ5" s="74"/>
      <c r="BK5" s="76"/>
      <c r="BL5" s="75"/>
      <c r="BM5" s="75"/>
      <c r="BN5" s="74"/>
      <c r="BO5" s="76"/>
      <c r="BP5" s="75"/>
      <c r="BQ5" s="74"/>
      <c r="BR5" s="77"/>
      <c r="BS5" s="75"/>
      <c r="BT5" s="74"/>
      <c r="BU5" s="76"/>
      <c r="BV5" s="78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</row>
    <row r="6" spans="1:191" s="41" customFormat="1" x14ac:dyDescent="0.25">
      <c r="A6" s="79">
        <v>1</v>
      </c>
      <c r="B6" s="80" t="s">
        <v>19</v>
      </c>
      <c r="C6" s="91">
        <v>1.5</v>
      </c>
      <c r="D6" s="42">
        <v>1</v>
      </c>
      <c r="E6" s="81">
        <v>0.1241</v>
      </c>
      <c r="F6" s="81">
        <v>4.0000000000000001E-3</v>
      </c>
      <c r="G6" s="81">
        <v>7.1099999999999997E-2</v>
      </c>
      <c r="H6" s="81">
        <v>2.2000000000000001E-3</v>
      </c>
      <c r="I6" s="81">
        <v>1.0999999999999999E-2</v>
      </c>
      <c r="J6" s="81">
        <v>3.6600000000000001E-2</v>
      </c>
      <c r="K6" s="81">
        <v>4.3E-3</v>
      </c>
      <c r="L6" s="81">
        <v>7.0000000000000001E-3</v>
      </c>
      <c r="M6" s="81">
        <v>0.1042</v>
      </c>
      <c r="N6" s="81">
        <v>3.85E-2</v>
      </c>
      <c r="O6" s="81">
        <v>5.0000000000000001E-3</v>
      </c>
      <c r="P6" s="81">
        <v>0.1668</v>
      </c>
      <c r="Q6" s="81">
        <v>1.04E-2</v>
      </c>
      <c r="R6" s="81">
        <v>2.3E-3</v>
      </c>
      <c r="S6" s="81">
        <v>1.78E-2</v>
      </c>
      <c r="T6" s="81">
        <v>5.0799999999999998E-2</v>
      </c>
      <c r="U6" s="81">
        <v>3.3999999999999998E-3</v>
      </c>
      <c r="V6" s="81">
        <v>8.8999999999999999E-3</v>
      </c>
      <c r="W6" s="81">
        <v>1E-3</v>
      </c>
      <c r="X6" s="81">
        <v>0.35089999999999999</v>
      </c>
      <c r="Y6" s="81">
        <v>0.26779999999999998</v>
      </c>
      <c r="Z6" s="81">
        <v>1E-3</v>
      </c>
      <c r="AA6" s="81">
        <v>1E-3</v>
      </c>
      <c r="AB6" s="81">
        <v>0.24379999999999999</v>
      </c>
      <c r="AC6" s="81">
        <v>1E-3</v>
      </c>
      <c r="AD6" s="81">
        <v>1.72E-2</v>
      </c>
      <c r="AE6" s="81">
        <v>5.4000000000000003E-3</v>
      </c>
      <c r="AF6" s="81">
        <v>8.0000000000000004E-4</v>
      </c>
      <c r="AG6" s="40">
        <v>603000</v>
      </c>
      <c r="AH6" s="40">
        <v>20600</v>
      </c>
      <c r="AI6" s="82">
        <f>((AH6/AG6/E6/138/$D6)*5*138)/1000</f>
        <v>1.3764109883031791E-3</v>
      </c>
      <c r="AJ6" s="40"/>
      <c r="AK6" s="40">
        <v>26900</v>
      </c>
      <c r="AL6" s="41">
        <v>3450000</v>
      </c>
      <c r="AM6" s="83">
        <f>((AL6/$AK6/G6/161/$D6)*5*210)/1000</f>
        <v>11.764152275187049</v>
      </c>
      <c r="AO6" s="40">
        <v>10.6</v>
      </c>
      <c r="AP6" s="84">
        <f>((AO6/AK6/I6/175/$D6)*5*175)/1000</f>
        <v>1.7911456573166612E-4</v>
      </c>
      <c r="AQ6" s="40"/>
      <c r="AR6" s="40">
        <v>2760</v>
      </c>
      <c r="AS6" s="85">
        <f>((AR6/AG6/L6/226/$D6)*5*226)/1000</f>
        <v>3.2693674484719258E-3</v>
      </c>
      <c r="AT6" s="40"/>
      <c r="AU6" s="40">
        <v>156000</v>
      </c>
      <c r="AV6" s="40">
        <v>442000</v>
      </c>
      <c r="AW6" s="86">
        <f>((AV6/AU6/M6/210/$D6)*5*210)/1000</f>
        <v>0.135956493921945</v>
      </c>
      <c r="AX6" s="40"/>
      <c r="AY6" s="41">
        <v>14200</v>
      </c>
      <c r="AZ6" s="86">
        <f>((AY6/$AU6/$N6/226/$D6)*5*226)/1000</f>
        <v>1.182151182151182E-2</v>
      </c>
      <c r="BB6" s="41">
        <v>1470</v>
      </c>
      <c r="BC6" s="86">
        <f>((BB6/AU6/$O6/238/$D6)*5*238)/1000</f>
        <v>9.4230769230769229E-3</v>
      </c>
      <c r="BE6" s="40">
        <v>112000</v>
      </c>
      <c r="BF6" s="40">
        <v>0</v>
      </c>
      <c r="BG6" s="84">
        <f>BF6/BE6/P6/264/$D6</f>
        <v>0</v>
      </c>
      <c r="BH6" s="40"/>
      <c r="BI6" s="40">
        <v>101000</v>
      </c>
      <c r="BJ6" s="40">
        <v>1310</v>
      </c>
      <c r="BK6" s="83">
        <f>((BJ6/$BI6/$S6/292/$D6)*5*292)/1000</f>
        <v>3.6433418622761147E-3</v>
      </c>
      <c r="BL6" s="40"/>
      <c r="BM6" s="40">
        <v>797000</v>
      </c>
      <c r="BN6" s="40">
        <v>3720</v>
      </c>
      <c r="BO6" s="87">
        <f>((BN6/$BM6/T6/293/$D6)*5*293)/1000</f>
        <v>4.5939991503571461E-4</v>
      </c>
      <c r="BP6" s="40"/>
      <c r="BQ6" s="41">
        <v>9520</v>
      </c>
      <c r="BR6" s="84">
        <f>((BQ6/$AU6/$W6/306/$D6/35.549055)*5*306)/1000</f>
        <v>8.5833000378830061E-3</v>
      </c>
      <c r="BT6" s="40">
        <v>1640</v>
      </c>
      <c r="BU6" s="87">
        <f>((BT6/$BM6/X6/309/$D6)*5*309)/1000</f>
        <v>2.9320553386112712E-5</v>
      </c>
      <c r="BV6" s="40"/>
      <c r="BW6" s="22"/>
      <c r="BX6" s="22"/>
      <c r="BY6" s="22"/>
      <c r="BZ6" s="65"/>
      <c r="CA6" s="65"/>
      <c r="CB6" s="65"/>
      <c r="CC6" s="65"/>
      <c r="CD6" s="65"/>
      <c r="CE6" s="65"/>
      <c r="CF6" s="22"/>
      <c r="CG6" s="22"/>
      <c r="CH6" s="22"/>
      <c r="CI6" s="65"/>
      <c r="CJ6" s="65"/>
      <c r="CK6" s="65"/>
      <c r="CL6" s="65"/>
      <c r="CM6" s="65"/>
      <c r="CN6" s="65"/>
      <c r="CO6" s="22"/>
      <c r="CP6" s="22"/>
      <c r="CQ6" s="22"/>
      <c r="CR6" s="22"/>
      <c r="CS6" s="22"/>
      <c r="CT6" s="22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</row>
    <row r="7" spans="1:191" s="41" customFormat="1" x14ac:dyDescent="0.25">
      <c r="A7" s="79">
        <v>2</v>
      </c>
      <c r="B7" s="80" t="s">
        <v>20</v>
      </c>
      <c r="C7" s="91">
        <v>1.5</v>
      </c>
      <c r="D7" s="42">
        <v>1</v>
      </c>
      <c r="E7" s="81">
        <v>0.1241</v>
      </c>
      <c r="F7" s="81">
        <v>4.0000000000000001E-3</v>
      </c>
      <c r="G7" s="81">
        <v>7.1099999999999997E-2</v>
      </c>
      <c r="H7" s="81">
        <v>2.2000000000000001E-3</v>
      </c>
      <c r="I7" s="81">
        <v>1.0999999999999999E-2</v>
      </c>
      <c r="J7" s="81">
        <v>3.6600000000000001E-2</v>
      </c>
      <c r="K7" s="81">
        <v>4.3E-3</v>
      </c>
      <c r="L7" s="81">
        <v>7.0000000000000001E-3</v>
      </c>
      <c r="M7" s="81">
        <v>0.1042</v>
      </c>
      <c r="N7" s="81">
        <v>3.85E-2</v>
      </c>
      <c r="O7" s="81">
        <v>5.0000000000000001E-3</v>
      </c>
      <c r="P7" s="81">
        <v>0.1668</v>
      </c>
      <c r="Q7" s="81">
        <v>1.04E-2</v>
      </c>
      <c r="R7" s="81">
        <v>2.3E-3</v>
      </c>
      <c r="S7" s="81">
        <v>1.78E-2</v>
      </c>
      <c r="T7" s="81">
        <v>5.0799999999999998E-2</v>
      </c>
      <c r="U7" s="81">
        <v>3.3999999999999998E-3</v>
      </c>
      <c r="V7" s="81">
        <v>8.8999999999999999E-3</v>
      </c>
      <c r="W7" s="81">
        <v>1E-3</v>
      </c>
      <c r="X7" s="81">
        <v>0.35089999999999999</v>
      </c>
      <c r="Y7" s="81">
        <v>0.26779999999999998</v>
      </c>
      <c r="Z7" s="81">
        <v>1E-3</v>
      </c>
      <c r="AA7" s="81">
        <v>1E-3</v>
      </c>
      <c r="AB7" s="81">
        <v>0.24379999999999999</v>
      </c>
      <c r="AC7" s="81">
        <v>1E-3</v>
      </c>
      <c r="AD7" s="81">
        <v>1.72E-2</v>
      </c>
      <c r="AE7" s="81">
        <v>5.4000000000000003E-3</v>
      </c>
      <c r="AF7" s="81">
        <v>8.0000000000000004E-4</v>
      </c>
      <c r="AG7" s="40">
        <v>562000</v>
      </c>
      <c r="AH7" s="40">
        <v>18100</v>
      </c>
      <c r="AI7" s="82">
        <f>((AH7/AG7/E7/138/$D7)*5*138)/1000</f>
        <v>1.297598940126921E-3</v>
      </c>
      <c r="AJ7" s="40"/>
      <c r="AK7" s="40">
        <v>25400</v>
      </c>
      <c r="AL7" s="41">
        <v>2980000</v>
      </c>
      <c r="AM7" s="83">
        <f t="shared" ref="AM7:AM61" si="0">((AL7/$AK7/G7/161/$D7)*5*210)/1000</f>
        <v>10.761588208188341</v>
      </c>
      <c r="AO7" s="40">
        <v>0</v>
      </c>
      <c r="AP7" s="84">
        <f>((AO7/AK7/I7/175/$D7)*5*175)/1000</f>
        <v>0</v>
      </c>
      <c r="AQ7" s="40"/>
      <c r="AR7" s="40">
        <v>3440</v>
      </c>
      <c r="AS7" s="85">
        <f>((AR7/AG7/L7/226/$D7)*5*226)/1000</f>
        <v>4.3721403152008134E-3</v>
      </c>
      <c r="AT7" s="40"/>
      <c r="AU7" s="40">
        <v>145000</v>
      </c>
      <c r="AV7" s="40">
        <v>278000</v>
      </c>
      <c r="AW7" s="86">
        <f>((AV7/AU7/M7/210/$D7)*5*210)/1000</f>
        <v>9.1998146799920577E-2</v>
      </c>
      <c r="AX7" s="40"/>
      <c r="AY7" s="41">
        <v>12600</v>
      </c>
      <c r="AZ7" s="86">
        <f>((AY7/$AU7/$N7/226/$D7)*5*226)/1000</f>
        <v>1.1285266457680252E-2</v>
      </c>
      <c r="BB7" s="41">
        <v>822</v>
      </c>
      <c r="BC7" s="86">
        <f>((BB7/AU7/$O7/238/$D7)*5*238)/1000</f>
        <v>5.6689655172413806E-3</v>
      </c>
      <c r="BE7" s="40">
        <v>104000</v>
      </c>
      <c r="BF7" s="40">
        <v>0</v>
      </c>
      <c r="BG7" s="84">
        <f>BF7/BE7/P7/264/$D7</f>
        <v>0</v>
      </c>
      <c r="BH7" s="40"/>
      <c r="BI7" s="40">
        <v>87200</v>
      </c>
      <c r="BJ7" s="40">
        <v>1180</v>
      </c>
      <c r="BK7" s="83">
        <f>((BJ7/$BI7/$S7/292/$D7)*5*292)/1000</f>
        <v>3.8011545201525622E-3</v>
      </c>
      <c r="BL7" s="40"/>
      <c r="BM7" s="40">
        <v>619000</v>
      </c>
      <c r="BN7" s="40">
        <v>2990</v>
      </c>
      <c r="BO7" s="87">
        <f>((BN7/$BM7/T7/293/$D7)*5*293)/1000</f>
        <v>4.754302723468129E-4</v>
      </c>
      <c r="BP7" s="40"/>
      <c r="BQ7" s="41">
        <v>6550</v>
      </c>
      <c r="BR7" s="84">
        <f>((BQ7/$AU7/$W7/306/$D7/35.549055)*5*306)/1000</f>
        <v>6.3535322940516201E-3</v>
      </c>
      <c r="BT7" s="40">
        <v>1360</v>
      </c>
      <c r="BU7" s="87">
        <f>((BT7/$BM7/X7/309/$D7)*5*309)/1000</f>
        <v>3.1306527272819354E-5</v>
      </c>
      <c r="BV7" s="40"/>
      <c r="BW7" s="22"/>
      <c r="BX7" s="22"/>
      <c r="BY7" s="22"/>
      <c r="BZ7" s="65"/>
      <c r="CA7" s="65"/>
      <c r="CB7" s="65"/>
      <c r="CC7" s="65"/>
      <c r="CD7" s="65"/>
      <c r="CE7" s="65"/>
      <c r="CF7" s="22"/>
      <c r="CG7" s="22"/>
      <c r="CH7" s="22"/>
      <c r="CI7" s="65"/>
      <c r="CJ7" s="65"/>
      <c r="CK7" s="65"/>
      <c r="CL7" s="65"/>
      <c r="CM7" s="65"/>
      <c r="CN7" s="65"/>
      <c r="CO7" s="22"/>
      <c r="CP7" s="22"/>
      <c r="CQ7" s="22"/>
      <c r="CR7" s="22"/>
      <c r="CS7" s="22"/>
      <c r="CT7" s="22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</row>
    <row r="8" spans="1:191" s="41" customFormat="1" x14ac:dyDescent="0.25">
      <c r="A8" s="79">
        <v>3</v>
      </c>
      <c r="B8" s="80" t="s">
        <v>21</v>
      </c>
      <c r="C8" s="91">
        <v>1.5</v>
      </c>
      <c r="D8" s="42">
        <v>1</v>
      </c>
      <c r="E8" s="81">
        <v>0.1241</v>
      </c>
      <c r="F8" s="81">
        <v>4.0000000000000001E-3</v>
      </c>
      <c r="G8" s="81">
        <v>7.1099999999999997E-2</v>
      </c>
      <c r="H8" s="81">
        <v>2.2000000000000001E-3</v>
      </c>
      <c r="I8" s="81">
        <v>1.0999999999999999E-2</v>
      </c>
      <c r="J8" s="81">
        <v>3.6600000000000001E-2</v>
      </c>
      <c r="K8" s="81">
        <v>4.3E-3</v>
      </c>
      <c r="L8" s="81">
        <v>7.0000000000000001E-3</v>
      </c>
      <c r="M8" s="81">
        <v>0.1042</v>
      </c>
      <c r="N8" s="81">
        <v>3.85E-2</v>
      </c>
      <c r="O8" s="81">
        <v>5.0000000000000001E-3</v>
      </c>
      <c r="P8" s="81">
        <v>0.1668</v>
      </c>
      <c r="Q8" s="81">
        <v>1.04E-2</v>
      </c>
      <c r="R8" s="81">
        <v>2.3E-3</v>
      </c>
      <c r="S8" s="81">
        <v>1.78E-2</v>
      </c>
      <c r="T8" s="81">
        <v>5.0799999999999998E-2</v>
      </c>
      <c r="U8" s="81">
        <v>3.3999999999999998E-3</v>
      </c>
      <c r="V8" s="81">
        <v>8.8999999999999999E-3</v>
      </c>
      <c r="W8" s="81">
        <v>1E-3</v>
      </c>
      <c r="X8" s="81">
        <v>0.35089999999999999</v>
      </c>
      <c r="Y8" s="81">
        <v>0.26779999999999998</v>
      </c>
      <c r="Z8" s="81">
        <v>1E-3</v>
      </c>
      <c r="AA8" s="81">
        <v>1E-3</v>
      </c>
      <c r="AB8" s="81">
        <v>0.24379999999999999</v>
      </c>
      <c r="AC8" s="81">
        <v>1E-3</v>
      </c>
      <c r="AD8" s="81">
        <v>1.72E-2</v>
      </c>
      <c r="AE8" s="81">
        <v>5.4000000000000003E-3</v>
      </c>
      <c r="AF8" s="81">
        <v>8.0000000000000004E-4</v>
      </c>
      <c r="AG8" s="40">
        <v>665000</v>
      </c>
      <c r="AH8" s="40">
        <v>30500</v>
      </c>
      <c r="AI8" s="82">
        <f>((AH8/AG8/E8/138/$D8)*5*138)/1000</f>
        <v>1.8478912834059365E-3</v>
      </c>
      <c r="AJ8" s="40"/>
      <c r="AK8" s="40">
        <v>61700</v>
      </c>
      <c r="AL8" s="41">
        <v>4550000</v>
      </c>
      <c r="AM8" s="83">
        <f t="shared" si="0"/>
        <v>6.7642563019825666</v>
      </c>
      <c r="AO8" s="40">
        <v>2610</v>
      </c>
      <c r="AP8" s="84">
        <f>((AO8/AK8/I8/175/$D8)*5*175)/1000</f>
        <v>1.9227935759540293E-2</v>
      </c>
      <c r="AQ8" s="40"/>
      <c r="AR8" s="40">
        <v>0</v>
      </c>
      <c r="AS8" s="85">
        <f>((AR8/AG8/L8/226/$D8)*5*226)/1000</f>
        <v>0</v>
      </c>
      <c r="AT8" s="40"/>
      <c r="AU8" s="40">
        <v>158000</v>
      </c>
      <c r="AV8" s="40">
        <v>367000</v>
      </c>
      <c r="AW8" s="86">
        <f>((AV8/AU8/M8/210/$D8)*5*210)/1000</f>
        <v>0.11145800432469205</v>
      </c>
      <c r="AX8" s="40"/>
      <c r="AY8" s="41">
        <v>17800</v>
      </c>
      <c r="AZ8" s="86">
        <f>((AY8/$AU8/$N8/226/$D8)*5*226)/1000</f>
        <v>1.4630938681571594E-2</v>
      </c>
      <c r="BB8" s="41">
        <v>0</v>
      </c>
      <c r="BC8" s="86">
        <f>((BB8/AU8/$O8/238/$D8)*5*238)/1000</f>
        <v>0</v>
      </c>
      <c r="BE8" s="40">
        <v>122000</v>
      </c>
      <c r="BF8" s="40">
        <v>0</v>
      </c>
      <c r="BG8" s="84">
        <f>BF8/BE8/P8/264/$D8</f>
        <v>0</v>
      </c>
      <c r="BH8" s="40"/>
      <c r="BI8" s="40">
        <v>94100</v>
      </c>
      <c r="BJ8" s="40">
        <v>1080</v>
      </c>
      <c r="BK8" s="83">
        <f>((BJ8/$BI8/$S8/292/$D8)*5*292)/1000</f>
        <v>3.2239190915712428E-3</v>
      </c>
      <c r="BL8" s="40"/>
      <c r="BM8" s="40">
        <v>699000</v>
      </c>
      <c r="BN8" s="40">
        <v>3610</v>
      </c>
      <c r="BO8" s="87">
        <f>((BN8/$BM8/T8/293/$D8)*5*293)/1000</f>
        <v>5.0831897085825653E-4</v>
      </c>
      <c r="BP8" s="40"/>
      <c r="BQ8" s="41">
        <v>8310</v>
      </c>
      <c r="BR8" s="84">
        <f>((BQ8/$AU8/$W8/306/$D8/35.549055)*5*306)/1000</f>
        <v>7.397515448562663E-3</v>
      </c>
      <c r="BT8" s="40">
        <v>1300</v>
      </c>
      <c r="BU8" s="87">
        <f>((BT8/$BM8/X8/309/$D8)*5*309)/1000</f>
        <v>2.6500423395226096E-5</v>
      </c>
      <c r="BV8" s="40"/>
      <c r="BW8" s="22"/>
      <c r="BX8" s="22"/>
      <c r="BY8" s="22"/>
      <c r="BZ8" s="65"/>
      <c r="CA8" s="65"/>
      <c r="CB8" s="65"/>
      <c r="CC8" s="65"/>
      <c r="CD8" s="65"/>
      <c r="CE8" s="65"/>
      <c r="CF8" s="22"/>
      <c r="CG8" s="22"/>
      <c r="CH8" s="22"/>
      <c r="CI8" s="65"/>
      <c r="CJ8" s="65"/>
      <c r="CK8" s="65"/>
      <c r="CL8" s="65"/>
      <c r="CM8" s="65"/>
      <c r="CN8" s="65"/>
      <c r="CO8" s="22"/>
      <c r="CP8" s="22"/>
      <c r="CQ8" s="22"/>
      <c r="CR8" s="22"/>
      <c r="CS8" s="22"/>
      <c r="CT8" s="22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</row>
    <row r="9" spans="1:191" s="41" customFormat="1" x14ac:dyDescent="0.25">
      <c r="A9" s="79">
        <v>4</v>
      </c>
      <c r="B9" s="88" t="s">
        <v>22</v>
      </c>
      <c r="C9" s="91">
        <v>1.5</v>
      </c>
      <c r="D9" s="42">
        <v>1</v>
      </c>
      <c r="E9" s="81">
        <v>0.1241</v>
      </c>
      <c r="F9" s="81">
        <v>4.0000000000000001E-3</v>
      </c>
      <c r="G9" s="81">
        <v>7.1099999999999997E-2</v>
      </c>
      <c r="H9" s="81">
        <v>2.2000000000000001E-3</v>
      </c>
      <c r="I9" s="81">
        <v>1.0999999999999999E-2</v>
      </c>
      <c r="J9" s="81">
        <v>3.6600000000000001E-2</v>
      </c>
      <c r="K9" s="81">
        <v>4.3E-3</v>
      </c>
      <c r="L9" s="81">
        <v>7.0000000000000001E-3</v>
      </c>
      <c r="M9" s="81">
        <v>0.1042</v>
      </c>
      <c r="N9" s="81">
        <v>3.85E-2</v>
      </c>
      <c r="O9" s="81">
        <v>5.0000000000000001E-3</v>
      </c>
      <c r="P9" s="81">
        <v>0.1668</v>
      </c>
      <c r="Q9" s="81">
        <v>1.04E-2</v>
      </c>
      <c r="R9" s="81">
        <v>2.3E-3</v>
      </c>
      <c r="S9" s="81">
        <v>1.78E-2</v>
      </c>
      <c r="T9" s="81">
        <v>5.0799999999999998E-2</v>
      </c>
      <c r="U9" s="81">
        <v>3.3999999999999998E-3</v>
      </c>
      <c r="V9" s="81">
        <v>8.8999999999999999E-3</v>
      </c>
      <c r="W9" s="81">
        <v>1E-3</v>
      </c>
      <c r="X9" s="81">
        <v>0.35089999999999999</v>
      </c>
      <c r="Y9" s="81">
        <v>0.26779999999999998</v>
      </c>
      <c r="Z9" s="81">
        <v>1E-3</v>
      </c>
      <c r="AA9" s="81">
        <v>1E-3</v>
      </c>
      <c r="AB9" s="81">
        <v>0.24379999999999999</v>
      </c>
      <c r="AC9" s="81">
        <v>1E-3</v>
      </c>
      <c r="AD9" s="81">
        <v>1.72E-2</v>
      </c>
      <c r="AE9" s="81">
        <v>5.4000000000000003E-3</v>
      </c>
      <c r="AF9" s="81">
        <v>8.0000000000000004E-4</v>
      </c>
      <c r="AG9" s="40">
        <v>615000</v>
      </c>
      <c r="AH9" s="40">
        <v>280000</v>
      </c>
      <c r="AI9" s="82">
        <f>((AH9/AG9/E9/138/$D9)*5*138)/1000</f>
        <v>1.8343454989747317E-2</v>
      </c>
      <c r="AJ9" s="40"/>
      <c r="AK9" s="40">
        <v>62300</v>
      </c>
      <c r="AL9" s="41">
        <v>5860000</v>
      </c>
      <c r="AM9" s="83">
        <f t="shared" si="0"/>
        <v>8.6278660048239484</v>
      </c>
      <c r="AO9" s="40">
        <v>2910</v>
      </c>
      <c r="AP9" s="84">
        <f>((AO9/AK9/I9/175/$D9)*5*175)/1000</f>
        <v>2.1231577411352693E-2</v>
      </c>
      <c r="AQ9" s="40"/>
      <c r="AR9" s="40">
        <v>4090</v>
      </c>
      <c r="AS9" s="85">
        <f>((AR9/AG9/L9/226/$D9)*5*226)/1000</f>
        <v>4.750290360046457E-3</v>
      </c>
      <c r="AT9" s="40"/>
      <c r="AU9" s="40">
        <v>156000</v>
      </c>
      <c r="AV9" s="40">
        <v>650000</v>
      </c>
      <c r="AW9" s="86">
        <f t="shared" ref="AW9:AW14" si="1">((AV9/AU9/M9/210/$D9)*5*210)/1000</f>
        <v>0.19993602047344855</v>
      </c>
      <c r="AX9" s="40"/>
      <c r="AY9" s="41">
        <v>26400</v>
      </c>
      <c r="AZ9" s="86">
        <f>((AY9/$AU9/$N9/226/$D9)*5*226)/1000</f>
        <v>2.1978021978021983E-2</v>
      </c>
      <c r="BB9" s="41">
        <v>1960</v>
      </c>
      <c r="BC9" s="86">
        <f>((BB9/AU9/$O9/238/$D9)*5*238)/1000</f>
        <v>1.2564102564102566E-2</v>
      </c>
      <c r="BE9" s="40">
        <v>118000</v>
      </c>
      <c r="BF9" s="40">
        <v>0</v>
      </c>
      <c r="BG9" s="84">
        <f>BF9/BE9/P9/264/$D9</f>
        <v>0</v>
      </c>
      <c r="BH9" s="40"/>
      <c r="BI9" s="40">
        <v>111000</v>
      </c>
      <c r="BJ9" s="40">
        <v>1090</v>
      </c>
      <c r="BK9" s="83">
        <f>((BJ9/$BI9/$S9/292/$D9)*5*292)/1000</f>
        <v>2.7583763538819722E-3</v>
      </c>
      <c r="BL9" s="40"/>
      <c r="BM9" s="40">
        <v>796000</v>
      </c>
      <c r="BN9" s="40">
        <v>2950</v>
      </c>
      <c r="BO9" s="87">
        <f>((BN9/$BM9/T9/293/$D9)*5*293)/1000</f>
        <v>3.6476674712143388E-4</v>
      </c>
      <c r="BP9" s="40"/>
      <c r="BQ9" s="41">
        <v>4420</v>
      </c>
      <c r="BR9" s="84">
        <f>((BQ9/$AU9/$W9/306/$D9/35.549055)*5*306)/1000</f>
        <v>3.9851035890171096E-3</v>
      </c>
      <c r="BT9" s="40">
        <v>1090</v>
      </c>
      <c r="BU9" s="87">
        <f>((BT9/$BM9/X9/309/$D9)*5*309)/1000</f>
        <v>1.9511922679799687E-5</v>
      </c>
      <c r="BV9" s="40"/>
      <c r="BW9" s="22"/>
      <c r="BX9" s="22"/>
      <c r="BY9" s="22"/>
      <c r="BZ9" s="65"/>
      <c r="CA9" s="65"/>
      <c r="CB9" s="65"/>
      <c r="CC9" s="65"/>
      <c r="CD9" s="65"/>
      <c r="CE9" s="65"/>
      <c r="CF9" s="22"/>
      <c r="CG9" s="22"/>
      <c r="CH9" s="22"/>
      <c r="CI9" s="65"/>
      <c r="CJ9" s="65"/>
      <c r="CK9" s="65"/>
      <c r="CL9" s="65"/>
      <c r="CM9" s="65"/>
      <c r="CN9" s="65"/>
      <c r="CO9" s="22"/>
      <c r="CP9" s="22"/>
      <c r="CQ9" s="22"/>
      <c r="CR9" s="22"/>
      <c r="CS9" s="22"/>
      <c r="CT9" s="22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</row>
    <row r="10" spans="1:191" s="41" customFormat="1" x14ac:dyDescent="0.25">
      <c r="A10" s="79">
        <v>5</v>
      </c>
      <c r="B10" s="88" t="s">
        <v>23</v>
      </c>
      <c r="C10" s="91">
        <v>1.5</v>
      </c>
      <c r="D10" s="42">
        <v>1</v>
      </c>
      <c r="E10" s="81">
        <v>0.1241</v>
      </c>
      <c r="F10" s="81">
        <v>4.0000000000000001E-3</v>
      </c>
      <c r="G10" s="81">
        <v>7.1099999999999997E-2</v>
      </c>
      <c r="H10" s="81">
        <v>2.2000000000000001E-3</v>
      </c>
      <c r="I10" s="81">
        <v>1.0999999999999999E-2</v>
      </c>
      <c r="J10" s="81">
        <v>3.6600000000000001E-2</v>
      </c>
      <c r="K10" s="81">
        <v>4.3E-3</v>
      </c>
      <c r="L10" s="81">
        <v>7.0000000000000001E-3</v>
      </c>
      <c r="M10" s="81">
        <v>0.1042</v>
      </c>
      <c r="N10" s="81">
        <v>3.85E-2</v>
      </c>
      <c r="O10" s="81">
        <v>5.0000000000000001E-3</v>
      </c>
      <c r="P10" s="81">
        <v>0.1668</v>
      </c>
      <c r="Q10" s="81">
        <v>1.04E-2</v>
      </c>
      <c r="R10" s="81">
        <v>2.3E-3</v>
      </c>
      <c r="S10" s="81">
        <v>1.78E-2</v>
      </c>
      <c r="T10" s="81">
        <v>5.0799999999999998E-2</v>
      </c>
      <c r="U10" s="81">
        <v>3.3999999999999998E-3</v>
      </c>
      <c r="V10" s="81">
        <v>8.8999999999999999E-3</v>
      </c>
      <c r="W10" s="81">
        <v>1E-3</v>
      </c>
      <c r="X10" s="81">
        <v>0.35089999999999999</v>
      </c>
      <c r="Y10" s="81">
        <v>0.26779999999999998</v>
      </c>
      <c r="Z10" s="81">
        <v>1E-3</v>
      </c>
      <c r="AA10" s="81">
        <v>1E-3</v>
      </c>
      <c r="AB10" s="81">
        <v>0.24379999999999999</v>
      </c>
      <c r="AC10" s="81">
        <v>1E-3</v>
      </c>
      <c r="AD10" s="81">
        <v>1.72E-2</v>
      </c>
      <c r="AE10" s="81">
        <v>5.4000000000000003E-3</v>
      </c>
      <c r="AF10" s="81">
        <v>8.0000000000000004E-4</v>
      </c>
      <c r="AG10" s="40">
        <v>814000</v>
      </c>
      <c r="AH10" s="40">
        <v>19600</v>
      </c>
      <c r="AI10" s="82">
        <f>((AH10/AG10/E10/138/$D10)*5*138)/1000</f>
        <v>9.7012989841354063E-4</v>
      </c>
      <c r="AJ10" s="40"/>
      <c r="AK10" s="40">
        <v>40000</v>
      </c>
      <c r="AL10" s="41">
        <v>7420000</v>
      </c>
      <c r="AM10" s="83">
        <f t="shared" si="0"/>
        <v>17.015226563933226</v>
      </c>
      <c r="AO10" s="40">
        <v>3580</v>
      </c>
      <c r="AP10" s="84">
        <f>((AO10/AK10/I10/175/$D10)*5*175)/1000</f>
        <v>4.0681818181818187E-2</v>
      </c>
      <c r="AQ10" s="40"/>
      <c r="AR10" s="40">
        <v>5030</v>
      </c>
      <c r="AS10" s="85">
        <f>((AR10/AG10/L10/226/$D10)*5*226)/1000</f>
        <v>4.4138294138294145E-3</v>
      </c>
      <c r="AT10" s="40"/>
      <c r="AU10" s="40">
        <v>175000</v>
      </c>
      <c r="AV10" s="40">
        <v>524000</v>
      </c>
      <c r="AW10" s="86">
        <f t="shared" si="1"/>
        <v>0.14367973676994791</v>
      </c>
      <c r="AX10" s="40"/>
      <c r="AY10" s="41">
        <v>14400</v>
      </c>
      <c r="AZ10" s="86">
        <f>((AY10/$AU10/$N10/226/$D10)*5*226)/1000</f>
        <v>1.0686456400742117E-2</v>
      </c>
      <c r="BB10" s="41">
        <v>1290</v>
      </c>
      <c r="BC10" s="86">
        <f>((BB10/AU10/$O10/238/$D10)*5*238)/1000</f>
        <v>7.3714285714285713E-3</v>
      </c>
      <c r="BE10" s="40">
        <v>131000</v>
      </c>
      <c r="BF10" s="40">
        <v>0</v>
      </c>
      <c r="BG10" s="84">
        <f>BF10/BE10/P10/264/$D10</f>
        <v>0</v>
      </c>
      <c r="BH10" s="40"/>
      <c r="BI10" s="40">
        <v>111000</v>
      </c>
      <c r="BJ10" s="40">
        <v>1270</v>
      </c>
      <c r="BK10" s="83">
        <f>((BJ10/$BI10/$S10/292/$D10)*5*292)/1000</f>
        <v>3.2138880453487198E-3</v>
      </c>
      <c r="BL10" s="40"/>
      <c r="BM10" s="40">
        <v>947000</v>
      </c>
      <c r="BN10" s="40">
        <v>1450</v>
      </c>
      <c r="BO10" s="87">
        <f>((BN10/$BM10/T10/293/$D10)*5*293)/1000</f>
        <v>1.5070383889447819E-4</v>
      </c>
      <c r="BP10" s="40"/>
      <c r="BQ10" s="41">
        <v>11900</v>
      </c>
      <c r="BR10" s="84">
        <f>((BQ10/$AU10/$W10/306/$D10/35.549055)*5*306)/1000</f>
        <v>9.5642486136410642E-3</v>
      </c>
      <c r="BT10" s="40">
        <v>1810</v>
      </c>
      <c r="BU10" s="87">
        <f>((BT10/$BM10/X10/309/$D10)*5*309)/1000</f>
        <v>2.7234238222245231E-5</v>
      </c>
      <c r="BV10" s="40"/>
      <c r="BW10" s="22"/>
      <c r="BX10" s="22"/>
      <c r="BY10" s="22"/>
      <c r="BZ10" s="65"/>
      <c r="CA10" s="65"/>
      <c r="CB10" s="65"/>
      <c r="CC10" s="65"/>
      <c r="CD10" s="65"/>
      <c r="CE10" s="65"/>
      <c r="CF10" s="22"/>
      <c r="CG10" s="22"/>
      <c r="CH10" s="22"/>
      <c r="CI10" s="65"/>
      <c r="CJ10" s="65"/>
      <c r="CK10" s="65"/>
      <c r="CL10" s="65"/>
      <c r="CM10" s="65"/>
      <c r="CN10" s="65"/>
      <c r="CO10" s="22"/>
      <c r="CP10" s="22"/>
      <c r="CQ10" s="22"/>
      <c r="CR10" s="22"/>
      <c r="CS10" s="22"/>
      <c r="CT10" s="22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</row>
    <row r="11" spans="1:191" x14ac:dyDescent="0.25">
      <c r="A11" s="79">
        <v>6</v>
      </c>
      <c r="B11" s="89" t="s">
        <v>24</v>
      </c>
      <c r="C11" s="91">
        <v>1.5</v>
      </c>
      <c r="D11" s="42">
        <v>1</v>
      </c>
      <c r="E11" s="81">
        <v>0.1241</v>
      </c>
      <c r="F11" s="81">
        <v>4.0000000000000001E-3</v>
      </c>
      <c r="G11" s="81">
        <v>7.1099999999999997E-2</v>
      </c>
      <c r="H11" s="81">
        <v>2.2000000000000001E-3</v>
      </c>
      <c r="I11" s="81">
        <v>1.0999999999999999E-2</v>
      </c>
      <c r="J11" s="81">
        <v>3.6600000000000001E-2</v>
      </c>
      <c r="K11" s="81">
        <v>4.3E-3</v>
      </c>
      <c r="L11" s="81">
        <v>7.0000000000000001E-3</v>
      </c>
      <c r="M11" s="81">
        <v>0.1042</v>
      </c>
      <c r="N11" s="81">
        <v>3.85E-2</v>
      </c>
      <c r="O11" s="81">
        <v>5.0000000000000001E-3</v>
      </c>
      <c r="P11" s="81">
        <v>0.1668</v>
      </c>
      <c r="Q11" s="81">
        <v>1.04E-2</v>
      </c>
      <c r="R11" s="81">
        <v>2.3E-3</v>
      </c>
      <c r="S11" s="81">
        <v>1.78E-2</v>
      </c>
      <c r="T11" s="81">
        <v>5.0799999999999998E-2</v>
      </c>
      <c r="U11" s="81">
        <v>3.3999999999999998E-3</v>
      </c>
      <c r="V11" s="81">
        <v>8.8999999999999999E-3</v>
      </c>
      <c r="W11" s="81">
        <v>1E-3</v>
      </c>
      <c r="X11" s="81">
        <v>0.35089999999999999</v>
      </c>
      <c r="Y11" s="81">
        <v>0.26779999999999998</v>
      </c>
      <c r="Z11" s="81">
        <v>1E-3</v>
      </c>
      <c r="AA11" s="81">
        <v>1E-3</v>
      </c>
      <c r="AB11" s="81">
        <v>0.24379999999999999</v>
      </c>
      <c r="AC11" s="81">
        <v>1E-3</v>
      </c>
      <c r="AD11" s="81">
        <v>1.72E-2</v>
      </c>
      <c r="AE11" s="81">
        <v>5.4000000000000003E-3</v>
      </c>
      <c r="AF11" s="81">
        <v>8.0000000000000004E-4</v>
      </c>
      <c r="AG11" s="40">
        <v>531000</v>
      </c>
      <c r="AH11" s="40">
        <v>225000</v>
      </c>
      <c r="AI11" s="82">
        <f t="shared" ref="AI11:AI14" si="2">((AH11/AG11/E11/138/$A11)*5*138)/1000</f>
        <v>2.8453452428103812E-3</v>
      </c>
      <c r="AJ11" s="41"/>
      <c r="AK11" s="40">
        <v>49400</v>
      </c>
      <c r="AL11" s="41">
        <v>6050000</v>
      </c>
      <c r="AM11" s="83">
        <f t="shared" si="0"/>
        <v>11.233685161211737</v>
      </c>
      <c r="AN11" s="41"/>
      <c r="AO11" s="40">
        <v>5410</v>
      </c>
      <c r="AP11" s="84">
        <f>((AO11/AK11/I11/175/$A11)*5*175)/1000</f>
        <v>8.2965280333701409E-3</v>
      </c>
      <c r="AQ11" s="40"/>
      <c r="AR11" s="40">
        <v>4270</v>
      </c>
      <c r="AS11" s="85">
        <f>((AR11/AG11/L11/226/$A11)*5*226)/1000</f>
        <v>9.5731324544883866E-4</v>
      </c>
      <c r="AT11" s="40"/>
      <c r="AU11" s="40">
        <v>106000</v>
      </c>
      <c r="AV11" s="40">
        <v>216000</v>
      </c>
      <c r="AW11" s="86">
        <f t="shared" si="1"/>
        <v>9.7780031144750659E-2</v>
      </c>
      <c r="AX11" s="40"/>
      <c r="AY11" s="41">
        <v>7410</v>
      </c>
      <c r="AZ11" s="86">
        <f>((AY11/$AR11/$K11/226/$A11)*5*226)/1000</f>
        <v>0.33631065846086816</v>
      </c>
      <c r="BA11" s="41"/>
      <c r="BB11" s="41">
        <v>636</v>
      </c>
      <c r="BC11" s="86">
        <f t="shared" ref="BC11:BC14" si="3">((BB11/AU11/$L11/238/$A11)*5*238)/1000</f>
        <v>7.1428571428571418E-4</v>
      </c>
      <c r="BD11" s="41"/>
      <c r="BE11" s="40">
        <v>130000</v>
      </c>
      <c r="BF11" s="40">
        <v>0</v>
      </c>
      <c r="BG11" s="84">
        <f>BF11/BE11/P11/264/$A11</f>
        <v>0</v>
      </c>
      <c r="BH11" s="40"/>
      <c r="BI11" s="40">
        <v>68300</v>
      </c>
      <c r="BJ11" s="40">
        <v>829</v>
      </c>
      <c r="BK11" s="83" t="e">
        <f>((BJ11/$BF11/$P11/292/$A11)*5*292)/1000</f>
        <v>#DIV/0!</v>
      </c>
      <c r="BL11" s="40"/>
      <c r="BM11" s="40">
        <v>84300</v>
      </c>
      <c r="BN11" s="40">
        <v>0</v>
      </c>
      <c r="BO11" s="87">
        <f>((BN11/$BJ11/T11/293/$A11)*5*293)/1000</f>
        <v>0</v>
      </c>
      <c r="BP11" s="40"/>
      <c r="BQ11" s="41">
        <v>1570</v>
      </c>
      <c r="BR11" s="84">
        <f>((BQ11/$AR11/$T11/306/$A11/35.549055)*5*306)/1000</f>
        <v>1.6966753828147256E-4</v>
      </c>
      <c r="BS11" s="41"/>
      <c r="BT11" s="40">
        <v>862</v>
      </c>
      <c r="BU11" s="87">
        <f>BT11/$BJ11/X11/309/$A11</f>
        <v>1.598304923387299E-3</v>
      </c>
      <c r="BV11" s="40"/>
      <c r="BW11" s="22"/>
      <c r="BX11" s="22"/>
      <c r="BY11" s="22"/>
      <c r="BZ11" s="65"/>
      <c r="CA11" s="65"/>
      <c r="CB11" s="65"/>
      <c r="CC11" s="65"/>
      <c r="CD11" s="65"/>
      <c r="CE11" s="65"/>
      <c r="CF11" s="22"/>
      <c r="CG11" s="22"/>
      <c r="CH11" s="22"/>
      <c r="CI11" s="65"/>
      <c r="CJ11" s="65"/>
      <c r="CK11" s="65"/>
      <c r="CL11" s="65"/>
      <c r="CM11" s="65"/>
      <c r="CN11" s="65"/>
      <c r="CO11" s="22"/>
      <c r="CP11" s="22"/>
      <c r="CQ11" s="22"/>
      <c r="CR11" s="22"/>
      <c r="CS11" s="22"/>
      <c r="CT11" s="22"/>
      <c r="CU11" s="65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</row>
    <row r="12" spans="1:191" x14ac:dyDescent="0.25">
      <c r="A12" s="79">
        <v>7</v>
      </c>
      <c r="B12" s="89" t="s">
        <v>25</v>
      </c>
      <c r="C12" s="91">
        <v>1.5</v>
      </c>
      <c r="D12" s="42">
        <v>1</v>
      </c>
      <c r="E12" s="81">
        <v>0.1241</v>
      </c>
      <c r="F12" s="81">
        <v>4.0000000000000001E-3</v>
      </c>
      <c r="G12" s="81">
        <v>7.1099999999999997E-2</v>
      </c>
      <c r="H12" s="81">
        <v>2.2000000000000001E-3</v>
      </c>
      <c r="I12" s="81">
        <v>1.0999999999999999E-2</v>
      </c>
      <c r="J12" s="81">
        <v>3.6600000000000001E-2</v>
      </c>
      <c r="K12" s="81">
        <v>4.3E-3</v>
      </c>
      <c r="L12" s="81">
        <v>7.0000000000000001E-3</v>
      </c>
      <c r="M12" s="81">
        <v>0.1042</v>
      </c>
      <c r="N12" s="81">
        <v>3.85E-2</v>
      </c>
      <c r="O12" s="81">
        <v>5.0000000000000001E-3</v>
      </c>
      <c r="P12" s="81">
        <v>0.1668</v>
      </c>
      <c r="Q12" s="81">
        <v>1.04E-2</v>
      </c>
      <c r="R12" s="81">
        <v>2.3E-3</v>
      </c>
      <c r="S12" s="81">
        <v>1.78E-2</v>
      </c>
      <c r="T12" s="81">
        <v>5.0799999999999998E-2</v>
      </c>
      <c r="U12" s="81">
        <v>3.3999999999999998E-3</v>
      </c>
      <c r="V12" s="81">
        <v>8.8999999999999999E-3</v>
      </c>
      <c r="W12" s="81">
        <v>1E-3</v>
      </c>
      <c r="X12" s="81">
        <v>0.35089999999999999</v>
      </c>
      <c r="Y12" s="81">
        <v>0.26779999999999998</v>
      </c>
      <c r="Z12" s="81">
        <v>1E-3</v>
      </c>
      <c r="AA12" s="81">
        <v>1E-3</v>
      </c>
      <c r="AB12" s="81">
        <v>0.24379999999999999</v>
      </c>
      <c r="AC12" s="81">
        <v>1E-3</v>
      </c>
      <c r="AD12" s="81">
        <v>1.72E-2</v>
      </c>
      <c r="AE12" s="81">
        <v>5.4000000000000003E-3</v>
      </c>
      <c r="AF12" s="81">
        <v>8.0000000000000004E-4</v>
      </c>
      <c r="AG12" s="40">
        <v>627000</v>
      </c>
      <c r="AH12" s="40">
        <v>10700</v>
      </c>
      <c r="AI12" s="82">
        <f t="shared" si="2"/>
        <v>9.8223729420981188E-5</v>
      </c>
      <c r="AJ12" s="41"/>
      <c r="AK12" s="40">
        <v>170000</v>
      </c>
      <c r="AL12" s="41">
        <v>3500000</v>
      </c>
      <c r="AM12" s="83">
        <f t="shared" si="0"/>
        <v>1.8884824155308795</v>
      </c>
      <c r="AN12" s="41"/>
      <c r="AO12" s="40">
        <v>8770</v>
      </c>
      <c r="AP12" s="84">
        <f>((AO12/AK12/I12/175/$A12)*5*175)/1000</f>
        <v>3.3498854087089381E-3</v>
      </c>
      <c r="AQ12" s="40"/>
      <c r="AR12" s="40">
        <v>4370</v>
      </c>
      <c r="AS12" s="85">
        <f>((AR12/AG12/L12/226/$A12)*5*226)/1000</f>
        <v>7.111935683364256E-4</v>
      </c>
      <c r="AT12" s="40"/>
      <c r="AU12" s="40">
        <v>144000</v>
      </c>
      <c r="AV12" s="40">
        <v>322000</v>
      </c>
      <c r="AW12" s="86">
        <f t="shared" si="1"/>
        <v>0.10729899765408402</v>
      </c>
      <c r="AX12" s="40"/>
      <c r="AY12" s="41">
        <v>14400</v>
      </c>
      <c r="AZ12" s="86">
        <f>((AY12/$AR12/$K12/226/$A12)*5*226)/1000</f>
        <v>0.54737450299155377</v>
      </c>
      <c r="BA12" s="41"/>
      <c r="BB12" s="41">
        <v>1150</v>
      </c>
      <c r="BC12" s="86">
        <f t="shared" si="3"/>
        <v>8.149092970521542E-4</v>
      </c>
      <c r="BD12" s="41"/>
      <c r="BE12" s="40">
        <v>142000</v>
      </c>
      <c r="BF12" s="40">
        <v>0</v>
      </c>
      <c r="BG12" s="84">
        <f>BF12/BE12/P12/264/$A12</f>
        <v>0</v>
      </c>
      <c r="BH12" s="40"/>
      <c r="BI12" s="40">
        <v>102000</v>
      </c>
      <c r="BJ12" s="40">
        <v>1470</v>
      </c>
      <c r="BK12" s="83" t="e">
        <f>((BJ12/$BF12/$P12/292/$A12)*5*292)/1000</f>
        <v>#DIV/0!</v>
      </c>
      <c r="BL12" s="40"/>
      <c r="BM12" s="40">
        <v>88100</v>
      </c>
      <c r="BN12" s="40">
        <v>0</v>
      </c>
      <c r="BO12" s="87">
        <f>((BN12/$BJ12/T12/293/$A12)*5*293)/1000</f>
        <v>0</v>
      </c>
      <c r="BP12" s="40"/>
      <c r="BQ12" s="41">
        <v>2200</v>
      </c>
      <c r="BR12" s="84">
        <f>((BQ12/$AR12/$T12/306/$A12/35.549055)*5*306)/1000</f>
        <v>1.9912300401440301E-4</v>
      </c>
      <c r="BS12" s="41"/>
      <c r="BT12" s="40">
        <v>1060</v>
      </c>
      <c r="BU12" s="87">
        <f>BT12/$BJ12/X12/309/$A12</f>
        <v>9.5005477016454714E-4</v>
      </c>
      <c r="BV12" s="40"/>
      <c r="BW12" s="22"/>
      <c r="BX12" s="22"/>
      <c r="BY12" s="22"/>
      <c r="BZ12" s="65"/>
      <c r="CA12" s="65"/>
      <c r="CB12" s="65"/>
      <c r="CC12" s="65"/>
      <c r="CD12" s="65"/>
      <c r="CE12" s="65"/>
      <c r="CF12" s="22"/>
      <c r="CG12" s="22"/>
      <c r="CH12" s="22"/>
      <c r="CI12" s="65"/>
      <c r="CJ12" s="65"/>
      <c r="CK12" s="65"/>
      <c r="CL12" s="65"/>
      <c r="CM12" s="65"/>
      <c r="CN12" s="65"/>
      <c r="CO12" s="22"/>
      <c r="CP12" s="22"/>
      <c r="CQ12" s="22"/>
      <c r="CR12" s="22"/>
      <c r="CS12" s="22"/>
      <c r="CT12" s="22"/>
      <c r="CU12" s="65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</row>
    <row r="13" spans="1:191" x14ac:dyDescent="0.25">
      <c r="A13" s="79">
        <v>8</v>
      </c>
      <c r="B13" s="90" t="s">
        <v>26</v>
      </c>
      <c r="C13" s="91">
        <v>1.5</v>
      </c>
      <c r="D13" s="42">
        <v>1</v>
      </c>
      <c r="E13" s="81">
        <v>0.1241</v>
      </c>
      <c r="F13" s="81">
        <v>4.0000000000000001E-3</v>
      </c>
      <c r="G13" s="81">
        <v>7.1099999999999997E-2</v>
      </c>
      <c r="H13" s="81">
        <v>2.2000000000000001E-3</v>
      </c>
      <c r="I13" s="81">
        <v>1.0999999999999999E-2</v>
      </c>
      <c r="J13" s="81">
        <v>3.6600000000000001E-2</v>
      </c>
      <c r="K13" s="81">
        <v>4.3E-3</v>
      </c>
      <c r="L13" s="81">
        <v>7.0000000000000001E-3</v>
      </c>
      <c r="M13" s="81">
        <v>0.1042</v>
      </c>
      <c r="N13" s="81">
        <v>3.85E-2</v>
      </c>
      <c r="O13" s="81">
        <v>5.0000000000000001E-3</v>
      </c>
      <c r="P13" s="81">
        <v>0.1668</v>
      </c>
      <c r="Q13" s="81">
        <v>1.04E-2</v>
      </c>
      <c r="R13" s="81">
        <v>2.3E-3</v>
      </c>
      <c r="S13" s="81">
        <v>1.78E-2</v>
      </c>
      <c r="T13" s="81">
        <v>5.0799999999999998E-2</v>
      </c>
      <c r="U13" s="81">
        <v>3.3999999999999998E-3</v>
      </c>
      <c r="V13" s="81">
        <v>8.8999999999999999E-3</v>
      </c>
      <c r="W13" s="81">
        <v>1E-3</v>
      </c>
      <c r="X13" s="81">
        <v>0.35089999999999999</v>
      </c>
      <c r="Y13" s="81">
        <v>0.26779999999999998</v>
      </c>
      <c r="Z13" s="81">
        <v>1E-3</v>
      </c>
      <c r="AA13" s="81">
        <v>1E-3</v>
      </c>
      <c r="AB13" s="81">
        <v>0.24379999999999999</v>
      </c>
      <c r="AC13" s="81">
        <v>1E-3</v>
      </c>
      <c r="AD13" s="81">
        <v>1.72E-2</v>
      </c>
      <c r="AE13" s="81">
        <v>5.4000000000000003E-3</v>
      </c>
      <c r="AF13" s="81">
        <v>8.0000000000000004E-4</v>
      </c>
      <c r="AG13" s="40">
        <v>523000</v>
      </c>
      <c r="AH13" s="40">
        <v>130000</v>
      </c>
      <c r="AI13" s="82">
        <f t="shared" si="2"/>
        <v>1.251843098223076E-3</v>
      </c>
      <c r="AJ13" s="41"/>
      <c r="AK13" s="40">
        <v>96500</v>
      </c>
      <c r="AL13" s="41">
        <v>5280000</v>
      </c>
      <c r="AM13" s="83">
        <f t="shared" si="0"/>
        <v>5.0188062655233683</v>
      </c>
      <c r="AN13" s="41"/>
      <c r="AO13" s="40">
        <v>3670</v>
      </c>
      <c r="AP13" s="84">
        <f>((AO13/AK13/I13/175/$A13)*5*175)/1000</f>
        <v>2.1608572774375885E-3</v>
      </c>
      <c r="AQ13" s="40"/>
      <c r="AR13" s="40">
        <v>10500</v>
      </c>
      <c r="AS13" s="85">
        <f>((AR13/AG13/L13/226/$A13)*5*226)/1000</f>
        <v>1.7925430210325049E-3</v>
      </c>
      <c r="AT13" s="40"/>
      <c r="AU13" s="40">
        <v>135000</v>
      </c>
      <c r="AV13" s="40">
        <v>269000</v>
      </c>
      <c r="AW13" s="86">
        <f t="shared" si="1"/>
        <v>9.561384801308026E-2</v>
      </c>
      <c r="AX13" s="40"/>
      <c r="AY13" s="41">
        <v>14300</v>
      </c>
      <c r="AZ13" s="86">
        <f>((AY13/$AR13/$K13/226/$A13)*5*226)/1000</f>
        <v>0.19795127353266889</v>
      </c>
      <c r="BA13" s="41"/>
      <c r="BB13" s="41">
        <v>736</v>
      </c>
      <c r="BC13" s="86">
        <f t="shared" si="3"/>
        <v>4.8677248677248675E-4</v>
      </c>
      <c r="BD13" s="41"/>
      <c r="BE13" s="40">
        <v>165000</v>
      </c>
      <c r="BF13" s="40">
        <v>0</v>
      </c>
      <c r="BG13" s="84">
        <f>BF13/BE13/P13/264/$A13</f>
        <v>0</v>
      </c>
      <c r="BH13" s="40"/>
      <c r="BI13" s="40">
        <v>108000</v>
      </c>
      <c r="BJ13" s="40">
        <v>1440</v>
      </c>
      <c r="BK13" s="83" t="e">
        <f>((BJ13/$BF13/$P13/292/$A13)*5*292)/1000</f>
        <v>#DIV/0!</v>
      </c>
      <c r="BL13" s="40"/>
      <c r="BM13" s="40">
        <v>95700</v>
      </c>
      <c r="BN13" s="40">
        <v>0</v>
      </c>
      <c r="BO13" s="87">
        <f>((BN13/$BJ13/T13/293/$A13)*5*293)/1000</f>
        <v>0</v>
      </c>
      <c r="BP13" s="40"/>
      <c r="BQ13" s="41">
        <v>2000</v>
      </c>
      <c r="BR13" s="84">
        <f>((BQ13/$AR13/$T13/306/$A13/35.549055)*5*306)/1000</f>
        <v>6.5921782389616725E-5</v>
      </c>
      <c r="BS13" s="41"/>
      <c r="BT13" s="40">
        <v>1010</v>
      </c>
      <c r="BU13" s="87">
        <f>BT13/$BJ13/X13/309/$A13</f>
        <v>8.0858754429074294E-4</v>
      </c>
      <c r="BV13" s="40"/>
      <c r="BW13" s="22"/>
      <c r="BX13" s="22"/>
      <c r="BY13" s="22"/>
      <c r="BZ13" s="65"/>
      <c r="CA13" s="65"/>
      <c r="CB13" s="65"/>
      <c r="CC13" s="65"/>
      <c r="CD13" s="65"/>
      <c r="CE13" s="65"/>
      <c r="CF13" s="22"/>
      <c r="CG13" s="22"/>
      <c r="CH13" s="22"/>
      <c r="CI13" s="65"/>
      <c r="CJ13" s="65"/>
      <c r="CK13" s="65"/>
      <c r="CL13" s="65"/>
      <c r="CM13" s="65"/>
      <c r="CN13" s="65"/>
      <c r="CO13" s="22"/>
      <c r="CP13" s="22"/>
      <c r="CQ13" s="22"/>
      <c r="CR13" s="22"/>
      <c r="CS13" s="22"/>
      <c r="CT13" s="22"/>
      <c r="CU13" s="65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</row>
    <row r="14" spans="1:191" x14ac:dyDescent="0.25">
      <c r="A14" s="79">
        <v>9</v>
      </c>
      <c r="B14" s="90" t="s">
        <v>27</v>
      </c>
      <c r="C14" s="91">
        <v>1.5</v>
      </c>
      <c r="D14" s="42">
        <v>1</v>
      </c>
      <c r="E14" s="81">
        <v>0.1241</v>
      </c>
      <c r="F14" s="81">
        <v>4.0000000000000001E-3</v>
      </c>
      <c r="G14" s="81">
        <v>7.1099999999999997E-2</v>
      </c>
      <c r="H14" s="81">
        <v>2.2000000000000001E-3</v>
      </c>
      <c r="I14" s="81">
        <v>1.0999999999999999E-2</v>
      </c>
      <c r="J14" s="81">
        <v>3.6600000000000001E-2</v>
      </c>
      <c r="K14" s="81">
        <v>4.3E-3</v>
      </c>
      <c r="L14" s="81">
        <v>7.0000000000000001E-3</v>
      </c>
      <c r="M14" s="81">
        <v>0.1042</v>
      </c>
      <c r="N14" s="81">
        <v>3.85E-2</v>
      </c>
      <c r="O14" s="81">
        <v>5.0000000000000001E-3</v>
      </c>
      <c r="P14" s="81">
        <v>0.1668</v>
      </c>
      <c r="Q14" s="81">
        <v>1.04E-2</v>
      </c>
      <c r="R14" s="81">
        <v>2.3E-3</v>
      </c>
      <c r="S14" s="81">
        <v>1.78E-2</v>
      </c>
      <c r="T14" s="81">
        <v>5.0799999999999998E-2</v>
      </c>
      <c r="U14" s="81">
        <v>3.3999999999999998E-3</v>
      </c>
      <c r="V14" s="81">
        <v>8.8999999999999999E-3</v>
      </c>
      <c r="W14" s="81">
        <v>1E-3</v>
      </c>
      <c r="X14" s="81">
        <v>0.35089999999999999</v>
      </c>
      <c r="Y14" s="81">
        <v>0.26779999999999998</v>
      </c>
      <c r="Z14" s="81">
        <v>1E-3</v>
      </c>
      <c r="AA14" s="81">
        <v>1E-3</v>
      </c>
      <c r="AB14" s="81">
        <v>0.24379999999999999</v>
      </c>
      <c r="AC14" s="81">
        <v>1E-3</v>
      </c>
      <c r="AD14" s="81">
        <v>1.72E-2</v>
      </c>
      <c r="AE14" s="81">
        <v>5.4000000000000003E-3</v>
      </c>
      <c r="AF14" s="81">
        <v>8.0000000000000004E-4</v>
      </c>
      <c r="AG14" s="40">
        <v>564000</v>
      </c>
      <c r="AH14" s="40">
        <v>12300</v>
      </c>
      <c r="AI14" s="82">
        <f t="shared" si="2"/>
        <v>9.7629647409337765E-5</v>
      </c>
      <c r="AJ14" s="41"/>
      <c r="AK14" s="40">
        <v>65700</v>
      </c>
      <c r="AL14" s="41">
        <v>4640000</v>
      </c>
      <c r="AM14" s="83">
        <f t="shared" si="0"/>
        <v>6.478081884630388</v>
      </c>
      <c r="AN14" s="41"/>
      <c r="AO14" s="40">
        <v>2200</v>
      </c>
      <c r="AP14" s="84">
        <f>((AO14/AK14/I14/175/$A14)*5*175)/1000</f>
        <v>1.6911889058007779E-3</v>
      </c>
      <c r="AQ14" s="40"/>
      <c r="AR14" s="40">
        <v>7260</v>
      </c>
      <c r="AS14" s="85">
        <f>((AR14/AG14/L14/226/$A14)*5*226)/1000</f>
        <v>1.0216143194866601E-3</v>
      </c>
      <c r="AT14" s="40"/>
      <c r="AU14" s="40">
        <v>120000</v>
      </c>
      <c r="AV14" s="40">
        <v>598000</v>
      </c>
      <c r="AW14" s="86">
        <f t="shared" si="1"/>
        <v>0.23912348048624441</v>
      </c>
      <c r="AX14" s="40"/>
      <c r="AY14" s="41">
        <v>9250</v>
      </c>
      <c r="AZ14" s="86">
        <f>((AY14/$AR14/$K14/226/$A14)*5*226)/1000</f>
        <v>0.1646130081648052</v>
      </c>
      <c r="BA14" s="41"/>
      <c r="BB14" s="41">
        <v>1790</v>
      </c>
      <c r="BC14" s="86">
        <f t="shared" si="3"/>
        <v>1.183862433862434E-3</v>
      </c>
      <c r="BD14" s="41"/>
      <c r="BE14" s="40">
        <v>140000</v>
      </c>
      <c r="BF14" s="40">
        <v>0</v>
      </c>
      <c r="BG14" s="84">
        <f>BF14/BE14/P14/264/$A14</f>
        <v>0</v>
      </c>
      <c r="BH14" s="40"/>
      <c r="BI14" s="40">
        <v>81900</v>
      </c>
      <c r="BJ14" s="40">
        <v>1100</v>
      </c>
      <c r="BK14" s="83" t="e">
        <f>((BJ14/$BF14/$P14/292/$A14)*5*292)/1000</f>
        <v>#DIV/0!</v>
      </c>
      <c r="BL14" s="40"/>
      <c r="BM14" s="40">
        <v>95000</v>
      </c>
      <c r="BN14" s="40">
        <v>0</v>
      </c>
      <c r="BO14" s="87">
        <f>((BN14/$BJ14/T14/293/$A14)*5*293)/1000</f>
        <v>0</v>
      </c>
      <c r="BP14" s="40"/>
      <c r="BQ14" s="41">
        <v>1100</v>
      </c>
      <c r="BR14" s="84">
        <f>((BQ14/$AR14/$T14/306/$A14/35.549055)*5*306)/1000</f>
        <v>4.6611361285587593E-5</v>
      </c>
      <c r="BS14" s="41"/>
      <c r="BT14" s="40">
        <v>951</v>
      </c>
      <c r="BU14" s="87">
        <f>BT14/$BJ14/X14/309/$A14</f>
        <v>8.8593829515232723E-4</v>
      </c>
      <c r="BV14" s="40"/>
      <c r="BW14" s="22"/>
      <c r="BX14" s="22"/>
      <c r="BY14" s="22"/>
      <c r="BZ14" s="65"/>
      <c r="CA14" s="65"/>
      <c r="CB14" s="65"/>
      <c r="CC14" s="65"/>
      <c r="CD14" s="65"/>
      <c r="CE14" s="65"/>
      <c r="CF14" s="22"/>
      <c r="CG14" s="22"/>
      <c r="CH14" s="22"/>
      <c r="CI14" s="65"/>
      <c r="CJ14" s="65"/>
      <c r="CK14" s="65"/>
      <c r="CL14" s="65"/>
      <c r="CM14" s="65"/>
      <c r="CN14" s="65"/>
      <c r="CO14" s="22"/>
      <c r="CP14" s="22"/>
      <c r="CQ14" s="22"/>
      <c r="CR14" s="22"/>
      <c r="CS14" s="22"/>
      <c r="CT14" s="22"/>
      <c r="CU14" s="65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91" s="41" customFormat="1" x14ac:dyDescent="0.25">
      <c r="A15" s="79">
        <v>10</v>
      </c>
      <c r="B15" s="80" t="s">
        <v>19</v>
      </c>
      <c r="C15" s="91">
        <v>3</v>
      </c>
      <c r="D15" s="42">
        <v>0.5</v>
      </c>
      <c r="E15" s="81">
        <v>0.1241</v>
      </c>
      <c r="F15" s="81">
        <v>4.0000000000000001E-3</v>
      </c>
      <c r="G15" s="81">
        <v>7.1099999999999997E-2</v>
      </c>
      <c r="H15" s="81">
        <v>2.2000000000000001E-3</v>
      </c>
      <c r="I15" s="81">
        <v>1.0999999999999999E-2</v>
      </c>
      <c r="J15" s="81">
        <v>3.6600000000000001E-2</v>
      </c>
      <c r="K15" s="81">
        <v>4.3E-3</v>
      </c>
      <c r="L15" s="81">
        <v>7.0000000000000001E-3</v>
      </c>
      <c r="M15" s="81">
        <v>0.1042</v>
      </c>
      <c r="N15" s="81">
        <v>3.85E-2</v>
      </c>
      <c r="O15" s="81">
        <v>5.0000000000000001E-3</v>
      </c>
      <c r="P15" s="81">
        <v>0.1668</v>
      </c>
      <c r="Q15" s="81">
        <v>1.04E-2</v>
      </c>
      <c r="R15" s="81">
        <v>2.3E-3</v>
      </c>
      <c r="S15" s="81">
        <v>1.78E-2</v>
      </c>
      <c r="T15" s="81">
        <v>5.0799999999999998E-2</v>
      </c>
      <c r="U15" s="81">
        <v>3.3999999999999998E-3</v>
      </c>
      <c r="V15" s="81">
        <v>8.8999999999999999E-3</v>
      </c>
      <c r="W15" s="81">
        <v>1E-3</v>
      </c>
      <c r="X15" s="81">
        <v>0.35089999999999999</v>
      </c>
      <c r="Y15" s="81">
        <v>0.26779999999999998</v>
      </c>
      <c r="Z15" s="81">
        <v>1E-3</v>
      </c>
      <c r="AA15" s="81">
        <v>1E-3</v>
      </c>
      <c r="AB15" s="81">
        <v>0.24379999999999999</v>
      </c>
      <c r="AC15" s="81">
        <v>1E-3</v>
      </c>
      <c r="AD15" s="81">
        <v>1.72E-2</v>
      </c>
      <c r="AE15" s="81">
        <v>5.4000000000000003E-3</v>
      </c>
      <c r="AF15" s="81">
        <v>8.0000000000000004E-4</v>
      </c>
      <c r="AG15" s="40">
        <v>748000</v>
      </c>
      <c r="AH15" s="40">
        <v>255000</v>
      </c>
      <c r="AI15" s="82">
        <f t="shared" ref="AI15:AI20" si="4">((AH15/AG15/E15/138/$D15)*5*138)/1000</f>
        <v>2.7470514980587502E-2</v>
      </c>
      <c r="AJ15" s="40"/>
      <c r="AK15" s="40">
        <v>37500</v>
      </c>
      <c r="AL15" s="41">
        <v>5010000</v>
      </c>
      <c r="AM15" s="83">
        <f t="shared" si="0"/>
        <v>24.509264355164188</v>
      </c>
      <c r="AO15" s="40">
        <v>1420</v>
      </c>
      <c r="AP15" s="84">
        <f t="shared" ref="AP15:AP20" si="5">((AO15/AK15/I15/175/$D15)*5*175)/1000</f>
        <v>3.4424242424242427E-2</v>
      </c>
      <c r="AQ15" s="40"/>
      <c r="AR15" s="40">
        <v>2150</v>
      </c>
      <c r="AS15" s="85">
        <f t="shared" ref="AS15:AS20" si="6">((AR15/AG15/L15/226/$D15)*5*226)/1000</f>
        <v>4.1061879297173412E-3</v>
      </c>
      <c r="AT15" s="40"/>
      <c r="AU15" s="40">
        <v>143000</v>
      </c>
      <c r="AV15" s="40">
        <v>1790000</v>
      </c>
      <c r="AW15" s="86">
        <f t="shared" ref="AW15:AW21" si="7">((AV15/AU15/M15/210/$D15)*5*210)/1000</f>
        <v>1.2012939076278806</v>
      </c>
      <c r="AX15" s="40"/>
      <c r="AY15" s="41">
        <v>177000</v>
      </c>
      <c r="AZ15" s="86">
        <f t="shared" ref="AZ15:AZ20" si="8">((AY15/$AU15/$N15/226/$D15)*5*226)/1000</f>
        <v>0.32149668513304874</v>
      </c>
      <c r="BB15" s="41">
        <v>58400</v>
      </c>
      <c r="BC15" s="86">
        <f t="shared" ref="BC15:BC20" si="9">((BB15/AU15/$O15/238/$D15)*5*238)/1000</f>
        <v>0.81678321678321675</v>
      </c>
      <c r="BE15" s="40">
        <v>105000</v>
      </c>
      <c r="BF15" s="40">
        <v>0</v>
      </c>
      <c r="BG15" s="84">
        <f t="shared" ref="BG15:BG20" si="10">BF15/BE15/P15/264/$D15</f>
        <v>0</v>
      </c>
      <c r="BH15" s="40"/>
      <c r="BI15" s="40">
        <v>92300</v>
      </c>
      <c r="BJ15" s="40">
        <v>1260</v>
      </c>
      <c r="BK15" s="83">
        <f t="shared" ref="BK15:BK20" si="11">((BJ15/$BI15/$S15/292/$D15)*5*292)/1000</f>
        <v>7.6691784240447E-3</v>
      </c>
      <c r="BL15" s="40"/>
      <c r="BM15" s="40">
        <v>739000</v>
      </c>
      <c r="BN15" s="40">
        <v>1060</v>
      </c>
      <c r="BO15" s="87">
        <f t="shared" ref="BO15:BO20" si="12">((BN15/$BM15/T15/293/$D15)*5*293)/1000</f>
        <v>2.8235645104578437E-4</v>
      </c>
      <c r="BP15" s="40"/>
      <c r="BQ15" s="41">
        <v>6150</v>
      </c>
      <c r="BR15" s="84">
        <f t="shared" ref="BR15:BR20" si="13">((BQ15/$AU15/$W15/306/$D15/35.549055)*5*306)/1000</f>
        <v>1.2097928624823638E-2</v>
      </c>
      <c r="BT15" s="40">
        <v>1010</v>
      </c>
      <c r="BU15" s="87">
        <f t="shared" ref="BU15:BU20" si="14">((BT15/$BM15/X15/309/$D15)*5*309)/1000</f>
        <v>3.8948753851973901E-5</v>
      </c>
      <c r="BV15" s="40"/>
      <c r="BW15" s="22"/>
      <c r="BX15" s="22"/>
      <c r="BY15" s="22"/>
      <c r="BZ15" s="65"/>
      <c r="CA15" s="65"/>
      <c r="CB15" s="65"/>
      <c r="CC15" s="65"/>
      <c r="CD15" s="65"/>
      <c r="CE15" s="65"/>
      <c r="CF15" s="22"/>
      <c r="CG15" s="22"/>
      <c r="CH15" s="22"/>
      <c r="CI15" s="65"/>
      <c r="CJ15" s="65"/>
      <c r="CK15" s="65"/>
      <c r="CL15" s="65"/>
      <c r="CM15" s="65"/>
      <c r="CN15" s="65"/>
      <c r="CO15" s="22"/>
      <c r="CP15" s="22"/>
      <c r="CQ15" s="22"/>
      <c r="CR15" s="22"/>
      <c r="CS15" s="22"/>
      <c r="CT15" s="22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</row>
    <row r="16" spans="1:191" s="41" customFormat="1" x14ac:dyDescent="0.25">
      <c r="A16" s="79">
        <v>11</v>
      </c>
      <c r="B16" s="80" t="s">
        <v>20</v>
      </c>
      <c r="C16" s="91">
        <v>3</v>
      </c>
      <c r="D16" s="42">
        <v>0.5</v>
      </c>
      <c r="E16" s="81">
        <v>0.1241</v>
      </c>
      <c r="F16" s="81">
        <v>4.0000000000000001E-3</v>
      </c>
      <c r="G16" s="81">
        <v>7.1099999999999997E-2</v>
      </c>
      <c r="H16" s="81">
        <v>2.2000000000000001E-3</v>
      </c>
      <c r="I16" s="81">
        <v>1.0999999999999999E-2</v>
      </c>
      <c r="J16" s="81">
        <v>3.6600000000000001E-2</v>
      </c>
      <c r="K16" s="81">
        <v>4.3E-3</v>
      </c>
      <c r="L16" s="81">
        <v>7.0000000000000001E-3</v>
      </c>
      <c r="M16" s="81">
        <v>0.1042</v>
      </c>
      <c r="N16" s="81">
        <v>3.85E-2</v>
      </c>
      <c r="O16" s="81">
        <v>5.0000000000000001E-3</v>
      </c>
      <c r="P16" s="81">
        <v>0.1668</v>
      </c>
      <c r="Q16" s="81">
        <v>1.04E-2</v>
      </c>
      <c r="R16" s="81">
        <v>2.3E-3</v>
      </c>
      <c r="S16" s="81">
        <v>1.78E-2</v>
      </c>
      <c r="T16" s="81">
        <v>5.0799999999999998E-2</v>
      </c>
      <c r="U16" s="81">
        <v>3.3999999999999998E-3</v>
      </c>
      <c r="V16" s="81">
        <v>8.8999999999999999E-3</v>
      </c>
      <c r="W16" s="81">
        <v>1E-3</v>
      </c>
      <c r="X16" s="81">
        <v>0.35089999999999999</v>
      </c>
      <c r="Y16" s="81">
        <v>0.26779999999999998</v>
      </c>
      <c r="Z16" s="81">
        <v>1E-3</v>
      </c>
      <c r="AA16" s="81">
        <v>1E-3</v>
      </c>
      <c r="AB16" s="81">
        <v>0.24379999999999999</v>
      </c>
      <c r="AC16" s="81">
        <v>1E-3</v>
      </c>
      <c r="AD16" s="81">
        <v>1.72E-2</v>
      </c>
      <c r="AE16" s="81">
        <v>5.4000000000000003E-3</v>
      </c>
      <c r="AF16" s="81">
        <v>8.0000000000000004E-4</v>
      </c>
      <c r="AG16" s="40">
        <v>767000</v>
      </c>
      <c r="AH16" s="40">
        <v>105000</v>
      </c>
      <c r="AI16" s="82">
        <f t="shared" si="4"/>
        <v>1.1031184633664865E-2</v>
      </c>
      <c r="AJ16" s="40"/>
      <c r="AK16" s="40">
        <v>94000</v>
      </c>
      <c r="AL16" s="41">
        <v>3640000</v>
      </c>
      <c r="AM16" s="83">
        <f t="shared" si="0"/>
        <v>7.1039083205502012</v>
      </c>
      <c r="AO16" s="40">
        <v>3410</v>
      </c>
      <c r="AP16" s="84">
        <f t="shared" si="5"/>
        <v>3.2978723404255325E-2</v>
      </c>
      <c r="AQ16" s="40"/>
      <c r="AR16" s="40">
        <v>10300</v>
      </c>
      <c r="AS16" s="85">
        <f t="shared" si="6"/>
        <v>1.9184205624883589E-2</v>
      </c>
      <c r="AT16" s="40"/>
      <c r="AU16" s="40">
        <v>171000</v>
      </c>
      <c r="AV16" s="40">
        <v>1700000</v>
      </c>
      <c r="AW16" s="86">
        <f t="shared" si="7"/>
        <v>0.9540806591013683</v>
      </c>
      <c r="AX16" s="40"/>
      <c r="AY16" s="41">
        <v>237000</v>
      </c>
      <c r="AZ16" s="86">
        <f t="shared" si="8"/>
        <v>0.35999088630667581</v>
      </c>
      <c r="BB16" s="41">
        <v>60500</v>
      </c>
      <c r="BC16" s="86">
        <f t="shared" si="9"/>
        <v>0.70760233918128657</v>
      </c>
      <c r="BE16" s="40">
        <v>111000</v>
      </c>
      <c r="BF16" s="40">
        <v>937</v>
      </c>
      <c r="BG16" s="84">
        <f t="shared" si="10"/>
        <v>3.8339516756782943E-4</v>
      </c>
      <c r="BH16" s="40"/>
      <c r="BI16" s="40">
        <v>95800</v>
      </c>
      <c r="BJ16" s="40">
        <v>1290</v>
      </c>
      <c r="BK16" s="83">
        <f t="shared" si="11"/>
        <v>7.5649175482630018E-3</v>
      </c>
      <c r="BL16" s="40"/>
      <c r="BM16" s="40">
        <v>755000</v>
      </c>
      <c r="BN16" s="40">
        <v>652</v>
      </c>
      <c r="BO16" s="87">
        <f t="shared" si="12"/>
        <v>1.69995306878031E-4</v>
      </c>
      <c r="BP16" s="40"/>
      <c r="BQ16" s="41">
        <v>10200</v>
      </c>
      <c r="BR16" s="84">
        <f t="shared" si="13"/>
        <v>1.6779383532703623E-2</v>
      </c>
      <c r="BT16" s="40">
        <v>1320</v>
      </c>
      <c r="BU16" s="87">
        <f t="shared" si="14"/>
        <v>4.9824575972098238E-5</v>
      </c>
      <c r="BV16" s="40"/>
      <c r="BW16" s="22"/>
      <c r="BX16" s="22"/>
      <c r="BY16" s="22"/>
      <c r="BZ16" s="65"/>
      <c r="CA16" s="65"/>
      <c r="CB16" s="65"/>
      <c r="CC16" s="65"/>
      <c r="CD16" s="65"/>
      <c r="CE16" s="65"/>
      <c r="CF16" s="22"/>
      <c r="CG16" s="22"/>
      <c r="CH16" s="22"/>
      <c r="CI16" s="65"/>
      <c r="CJ16" s="65"/>
      <c r="CK16" s="65"/>
      <c r="CL16" s="65"/>
      <c r="CM16" s="65"/>
      <c r="CN16" s="65"/>
      <c r="CO16" s="22"/>
      <c r="CP16" s="22"/>
      <c r="CQ16" s="22"/>
      <c r="CR16" s="22"/>
      <c r="CS16" s="22"/>
      <c r="CT16" s="22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</row>
    <row r="17" spans="1:191" s="41" customFormat="1" x14ac:dyDescent="0.25">
      <c r="A17" s="79">
        <v>12</v>
      </c>
      <c r="B17" s="80" t="s">
        <v>21</v>
      </c>
      <c r="C17" s="91">
        <v>3</v>
      </c>
      <c r="D17" s="42">
        <v>0.5</v>
      </c>
      <c r="E17" s="81">
        <v>0.1241</v>
      </c>
      <c r="F17" s="81">
        <v>4.0000000000000001E-3</v>
      </c>
      <c r="G17" s="81">
        <v>7.1099999999999997E-2</v>
      </c>
      <c r="H17" s="81">
        <v>2.2000000000000001E-3</v>
      </c>
      <c r="I17" s="81">
        <v>1.0999999999999999E-2</v>
      </c>
      <c r="J17" s="81">
        <v>3.6600000000000001E-2</v>
      </c>
      <c r="K17" s="81">
        <v>4.3E-3</v>
      </c>
      <c r="L17" s="81">
        <v>7.0000000000000001E-3</v>
      </c>
      <c r="M17" s="81">
        <v>0.1042</v>
      </c>
      <c r="N17" s="81">
        <v>3.85E-2</v>
      </c>
      <c r="O17" s="81">
        <v>5.0000000000000001E-3</v>
      </c>
      <c r="P17" s="81">
        <v>0.1668</v>
      </c>
      <c r="Q17" s="81">
        <v>1.04E-2</v>
      </c>
      <c r="R17" s="81">
        <v>2.3E-3</v>
      </c>
      <c r="S17" s="81">
        <v>1.78E-2</v>
      </c>
      <c r="T17" s="81">
        <v>5.0799999999999998E-2</v>
      </c>
      <c r="U17" s="81">
        <v>3.3999999999999998E-3</v>
      </c>
      <c r="V17" s="81">
        <v>8.8999999999999999E-3</v>
      </c>
      <c r="W17" s="81">
        <v>1E-3</v>
      </c>
      <c r="X17" s="81">
        <v>0.35089999999999999</v>
      </c>
      <c r="Y17" s="81">
        <v>0.26779999999999998</v>
      </c>
      <c r="Z17" s="81">
        <v>1E-3</v>
      </c>
      <c r="AA17" s="81">
        <v>1E-3</v>
      </c>
      <c r="AB17" s="81">
        <v>0.24379999999999999</v>
      </c>
      <c r="AC17" s="81">
        <v>1E-3</v>
      </c>
      <c r="AD17" s="81">
        <v>1.72E-2</v>
      </c>
      <c r="AE17" s="81">
        <v>5.4000000000000003E-3</v>
      </c>
      <c r="AF17" s="81">
        <v>8.0000000000000004E-4</v>
      </c>
      <c r="AG17" s="40">
        <v>739000</v>
      </c>
      <c r="AH17" s="40">
        <v>393000</v>
      </c>
      <c r="AI17" s="82">
        <f t="shared" si="4"/>
        <v>4.2852516467687785E-2</v>
      </c>
      <c r="AJ17" s="40"/>
      <c r="AK17" s="40">
        <v>98600</v>
      </c>
      <c r="AL17" s="41">
        <v>3350000</v>
      </c>
      <c r="AM17" s="83">
        <f t="shared" si="0"/>
        <v>6.2329222581561048</v>
      </c>
      <c r="AO17" s="40">
        <v>3390</v>
      </c>
      <c r="AP17" s="84">
        <f t="shared" si="5"/>
        <v>3.1255762493085017E-2</v>
      </c>
      <c r="AQ17" s="40"/>
      <c r="AR17" s="40">
        <v>5270</v>
      </c>
      <c r="AS17" s="85">
        <f t="shared" si="6"/>
        <v>1.0187512081964046E-2</v>
      </c>
      <c r="AT17" s="40"/>
      <c r="AU17" s="40">
        <v>148000</v>
      </c>
      <c r="AV17" s="40">
        <v>2200000</v>
      </c>
      <c r="AW17" s="86">
        <f t="shared" si="7"/>
        <v>1.4265705244592</v>
      </c>
      <c r="AX17" s="40"/>
      <c r="AY17" s="41">
        <v>271000</v>
      </c>
      <c r="AZ17" s="86">
        <f t="shared" si="8"/>
        <v>0.47560547560547561</v>
      </c>
      <c r="BB17" s="41">
        <v>74600</v>
      </c>
      <c r="BC17" s="86">
        <f t="shared" si="9"/>
        <v>1.008108108108108</v>
      </c>
      <c r="BE17" s="40">
        <v>148000</v>
      </c>
      <c r="BF17" s="40">
        <v>852</v>
      </c>
      <c r="BG17" s="84">
        <f t="shared" si="10"/>
        <v>2.6146159239684419E-4</v>
      </c>
      <c r="BH17" s="40"/>
      <c r="BI17" s="40">
        <v>133000</v>
      </c>
      <c r="BJ17" s="40">
        <v>1560</v>
      </c>
      <c r="BK17" s="83">
        <f t="shared" si="11"/>
        <v>6.5895074765565595E-3</v>
      </c>
      <c r="BL17" s="40"/>
      <c r="BM17" s="40">
        <v>775000</v>
      </c>
      <c r="BN17" s="40">
        <v>771</v>
      </c>
      <c r="BO17" s="87">
        <f t="shared" si="12"/>
        <v>1.9583439166878333E-4</v>
      </c>
      <c r="BP17" s="40"/>
      <c r="BQ17" s="41">
        <v>4810</v>
      </c>
      <c r="BR17" s="84">
        <f t="shared" si="13"/>
        <v>9.1422964689216058E-3</v>
      </c>
      <c r="BT17" s="40">
        <v>1150</v>
      </c>
      <c r="BU17" s="87">
        <f t="shared" si="14"/>
        <v>4.2287573888342416E-5</v>
      </c>
      <c r="BV17" s="40"/>
      <c r="BW17" s="22"/>
      <c r="BX17" s="22"/>
      <c r="BY17" s="22"/>
      <c r="BZ17" s="65"/>
      <c r="CA17" s="65"/>
      <c r="CB17" s="65"/>
      <c r="CC17" s="65"/>
      <c r="CD17" s="65"/>
      <c r="CE17" s="65"/>
      <c r="CF17" s="22"/>
      <c r="CG17" s="22"/>
      <c r="CH17" s="22"/>
      <c r="CI17" s="65"/>
      <c r="CJ17" s="65"/>
      <c r="CK17" s="65"/>
      <c r="CL17" s="65"/>
      <c r="CM17" s="65"/>
      <c r="CN17" s="65"/>
      <c r="CO17" s="22"/>
      <c r="CP17" s="22"/>
      <c r="CQ17" s="22"/>
      <c r="CR17" s="22"/>
      <c r="CS17" s="22"/>
      <c r="CT17" s="22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</row>
    <row r="18" spans="1:191" s="41" customFormat="1" x14ac:dyDescent="0.25">
      <c r="A18" s="79">
        <v>13</v>
      </c>
      <c r="B18" s="88" t="s">
        <v>22</v>
      </c>
      <c r="C18" s="91">
        <v>3</v>
      </c>
      <c r="D18" s="42">
        <v>0.5</v>
      </c>
      <c r="E18" s="81">
        <v>0.1241</v>
      </c>
      <c r="F18" s="81">
        <v>4.0000000000000001E-3</v>
      </c>
      <c r="G18" s="81">
        <v>7.1099999999999997E-2</v>
      </c>
      <c r="H18" s="81">
        <v>2.2000000000000001E-3</v>
      </c>
      <c r="I18" s="81">
        <v>1.0999999999999999E-2</v>
      </c>
      <c r="J18" s="81">
        <v>3.6600000000000001E-2</v>
      </c>
      <c r="K18" s="81">
        <v>4.3E-3</v>
      </c>
      <c r="L18" s="81">
        <v>7.0000000000000001E-3</v>
      </c>
      <c r="M18" s="81">
        <v>0.1042</v>
      </c>
      <c r="N18" s="81">
        <v>3.85E-2</v>
      </c>
      <c r="O18" s="81">
        <v>5.0000000000000001E-3</v>
      </c>
      <c r="P18" s="81">
        <v>0.1668</v>
      </c>
      <c r="Q18" s="81">
        <v>1.04E-2</v>
      </c>
      <c r="R18" s="81">
        <v>2.3E-3</v>
      </c>
      <c r="S18" s="81">
        <v>1.78E-2</v>
      </c>
      <c r="T18" s="81">
        <v>5.0799999999999998E-2</v>
      </c>
      <c r="U18" s="81">
        <v>3.3999999999999998E-3</v>
      </c>
      <c r="V18" s="81">
        <v>8.8999999999999999E-3</v>
      </c>
      <c r="W18" s="81">
        <v>1E-3</v>
      </c>
      <c r="X18" s="81">
        <v>0.35089999999999999</v>
      </c>
      <c r="Y18" s="81">
        <v>0.26779999999999998</v>
      </c>
      <c r="Z18" s="81">
        <v>1E-3</v>
      </c>
      <c r="AA18" s="81">
        <v>1E-3</v>
      </c>
      <c r="AB18" s="81">
        <v>0.24379999999999999</v>
      </c>
      <c r="AC18" s="81">
        <v>1E-3</v>
      </c>
      <c r="AD18" s="81">
        <v>1.72E-2</v>
      </c>
      <c r="AE18" s="81">
        <v>5.4000000000000003E-3</v>
      </c>
      <c r="AF18" s="81">
        <v>8.0000000000000004E-4</v>
      </c>
      <c r="AG18" s="40">
        <v>818000</v>
      </c>
      <c r="AH18" s="40">
        <v>19400</v>
      </c>
      <c r="AI18" s="82">
        <f t="shared" si="4"/>
        <v>1.9110702190244084E-3</v>
      </c>
      <c r="AJ18" s="40"/>
      <c r="AK18" s="40">
        <v>49400</v>
      </c>
      <c r="AL18" s="41">
        <v>24500000</v>
      </c>
      <c r="AM18" s="83">
        <f t="shared" si="0"/>
        <v>90.983565768491772</v>
      </c>
      <c r="AO18" s="40">
        <v>2620</v>
      </c>
      <c r="AP18" s="84">
        <f t="shared" si="5"/>
        <v>4.8214942951785064E-2</v>
      </c>
      <c r="AQ18" s="40"/>
      <c r="AR18" s="40">
        <v>5120</v>
      </c>
      <c r="AS18" s="85">
        <f t="shared" si="6"/>
        <v>8.9416695773663988E-3</v>
      </c>
      <c r="AT18" s="40"/>
      <c r="AU18" s="40">
        <v>99300</v>
      </c>
      <c r="AV18" s="40">
        <v>4100000</v>
      </c>
      <c r="AW18" s="86">
        <f t="shared" si="7"/>
        <v>3.9624782305311848</v>
      </c>
      <c r="AX18" s="40"/>
      <c r="AY18" s="41">
        <v>301000</v>
      </c>
      <c r="AZ18" s="86">
        <f t="shared" si="8"/>
        <v>0.7873294882358326</v>
      </c>
      <c r="BB18" s="41">
        <v>198000</v>
      </c>
      <c r="BC18" s="86">
        <f t="shared" si="9"/>
        <v>3.987915407854985</v>
      </c>
      <c r="BE18" s="40">
        <v>101000</v>
      </c>
      <c r="BF18" s="40">
        <v>740</v>
      </c>
      <c r="BG18" s="84">
        <f t="shared" si="10"/>
        <v>3.3276708965860609E-4</v>
      </c>
      <c r="BH18" s="40"/>
      <c r="BI18" s="40">
        <v>94600</v>
      </c>
      <c r="BJ18" s="40">
        <v>1660</v>
      </c>
      <c r="BK18" s="83">
        <f t="shared" si="11"/>
        <v>9.8581846687412419E-3</v>
      </c>
      <c r="BL18" s="40"/>
      <c r="BM18" s="40">
        <v>759000</v>
      </c>
      <c r="BN18" s="40">
        <v>1330</v>
      </c>
      <c r="BO18" s="87">
        <f t="shared" si="12"/>
        <v>3.4494206010809915E-4</v>
      </c>
      <c r="BP18" s="40"/>
      <c r="BQ18" s="41">
        <v>4800</v>
      </c>
      <c r="BR18" s="84">
        <f t="shared" si="13"/>
        <v>1.3597652196397461E-2</v>
      </c>
      <c r="BT18" s="40">
        <v>1030</v>
      </c>
      <c r="BU18" s="87">
        <f t="shared" si="14"/>
        <v>3.8673375558651927E-5</v>
      </c>
      <c r="BV18" s="40"/>
      <c r="BW18" s="22"/>
      <c r="BX18" s="22"/>
      <c r="BY18" s="22"/>
      <c r="BZ18" s="65"/>
      <c r="CA18" s="65"/>
      <c r="CB18" s="65"/>
      <c r="CC18" s="65"/>
      <c r="CD18" s="65"/>
      <c r="CE18" s="65"/>
      <c r="CF18" s="22"/>
      <c r="CG18" s="22"/>
      <c r="CH18" s="22"/>
      <c r="CI18" s="65"/>
      <c r="CJ18" s="65"/>
      <c r="CK18" s="65"/>
      <c r="CL18" s="65"/>
      <c r="CM18" s="65"/>
      <c r="CN18" s="65"/>
      <c r="CO18" s="22"/>
      <c r="CP18" s="22"/>
      <c r="CQ18" s="22"/>
      <c r="CR18" s="22"/>
      <c r="CS18" s="22"/>
      <c r="CT18" s="22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</row>
    <row r="19" spans="1:191" s="41" customFormat="1" x14ac:dyDescent="0.25">
      <c r="A19" s="79">
        <v>14</v>
      </c>
      <c r="B19" s="88" t="s">
        <v>23</v>
      </c>
      <c r="C19" s="91">
        <v>3</v>
      </c>
      <c r="D19" s="42">
        <v>0.5</v>
      </c>
      <c r="E19" s="81">
        <v>0.1241</v>
      </c>
      <c r="F19" s="81">
        <v>4.0000000000000001E-3</v>
      </c>
      <c r="G19" s="81">
        <v>7.1099999999999997E-2</v>
      </c>
      <c r="H19" s="81">
        <v>2.2000000000000001E-3</v>
      </c>
      <c r="I19" s="81">
        <v>1.0999999999999999E-2</v>
      </c>
      <c r="J19" s="81">
        <v>3.6600000000000001E-2</v>
      </c>
      <c r="K19" s="81">
        <v>4.3E-3</v>
      </c>
      <c r="L19" s="81">
        <v>7.0000000000000001E-3</v>
      </c>
      <c r="M19" s="81">
        <v>0.1042</v>
      </c>
      <c r="N19" s="81">
        <v>3.85E-2</v>
      </c>
      <c r="O19" s="81">
        <v>5.0000000000000001E-3</v>
      </c>
      <c r="P19" s="81">
        <v>0.1668</v>
      </c>
      <c r="Q19" s="81">
        <v>1.04E-2</v>
      </c>
      <c r="R19" s="81">
        <v>2.3E-3</v>
      </c>
      <c r="S19" s="81">
        <v>1.78E-2</v>
      </c>
      <c r="T19" s="81">
        <v>5.0799999999999998E-2</v>
      </c>
      <c r="U19" s="81">
        <v>3.3999999999999998E-3</v>
      </c>
      <c r="V19" s="81">
        <v>8.8999999999999999E-3</v>
      </c>
      <c r="W19" s="81">
        <v>1E-3</v>
      </c>
      <c r="X19" s="81">
        <v>0.35089999999999999</v>
      </c>
      <c r="Y19" s="81">
        <v>0.26779999999999998</v>
      </c>
      <c r="Z19" s="81">
        <v>1E-3</v>
      </c>
      <c r="AA19" s="81">
        <v>1E-3</v>
      </c>
      <c r="AB19" s="81">
        <v>0.24379999999999999</v>
      </c>
      <c r="AC19" s="81">
        <v>1E-3</v>
      </c>
      <c r="AD19" s="81">
        <v>1.72E-2</v>
      </c>
      <c r="AE19" s="81">
        <v>5.4000000000000003E-3</v>
      </c>
      <c r="AF19" s="81">
        <v>8.0000000000000004E-4</v>
      </c>
      <c r="AG19" s="40">
        <v>836000</v>
      </c>
      <c r="AH19" s="40">
        <v>16300</v>
      </c>
      <c r="AI19" s="82">
        <f t="shared" si="4"/>
        <v>1.5711206813458817E-3</v>
      </c>
      <c r="AJ19" s="40"/>
      <c r="AK19" s="40">
        <v>30100</v>
      </c>
      <c r="AL19" s="41">
        <v>4950000</v>
      </c>
      <c r="AM19" s="83">
        <f t="shared" si="0"/>
        <v>30.169111583658946</v>
      </c>
      <c r="AO19" s="40">
        <v>1740</v>
      </c>
      <c r="AP19" s="84">
        <f t="shared" si="5"/>
        <v>5.255209906372698E-2</v>
      </c>
      <c r="AQ19" s="40"/>
      <c r="AR19" s="40">
        <v>2950</v>
      </c>
      <c r="AS19" s="85">
        <f t="shared" si="6"/>
        <v>5.0410116199589884E-3</v>
      </c>
      <c r="AT19" s="40"/>
      <c r="AU19" s="40">
        <v>143000</v>
      </c>
      <c r="AV19" s="40">
        <v>2420000</v>
      </c>
      <c r="AW19" s="86">
        <f t="shared" si="7"/>
        <v>1.6240956739997048</v>
      </c>
      <c r="AX19" s="40"/>
      <c r="AY19" s="41">
        <v>82900</v>
      </c>
      <c r="AZ19" s="86">
        <f t="shared" si="8"/>
        <v>0.15057669603124152</v>
      </c>
      <c r="BB19" s="41">
        <v>51000</v>
      </c>
      <c r="BC19" s="86">
        <f t="shared" si="9"/>
        <v>0.71328671328671345</v>
      </c>
      <c r="BE19" s="40">
        <v>117000</v>
      </c>
      <c r="BF19" s="40">
        <v>935</v>
      </c>
      <c r="BG19" s="84">
        <f t="shared" si="10"/>
        <v>3.6295749725006324E-4</v>
      </c>
      <c r="BH19" s="40"/>
      <c r="BI19" s="40">
        <v>102000</v>
      </c>
      <c r="BJ19" s="40">
        <v>1160</v>
      </c>
      <c r="BK19" s="83">
        <f t="shared" si="11"/>
        <v>6.3890724829257541E-3</v>
      </c>
      <c r="BL19" s="40"/>
      <c r="BM19" s="40">
        <v>792000</v>
      </c>
      <c r="BN19" s="40">
        <v>746</v>
      </c>
      <c r="BO19" s="87">
        <f t="shared" si="12"/>
        <v>1.8541716376362045E-4</v>
      </c>
      <c r="BP19" s="40"/>
      <c r="BQ19" s="41">
        <v>3670</v>
      </c>
      <c r="BR19" s="84">
        <f t="shared" si="13"/>
        <v>7.2194143175776868E-3</v>
      </c>
      <c r="BT19" s="40">
        <v>1470</v>
      </c>
      <c r="BU19" s="87">
        <f t="shared" si="14"/>
        <v>5.2894289143932917E-5</v>
      </c>
      <c r="BV19" s="40"/>
      <c r="BW19" s="22"/>
      <c r="BX19" s="22"/>
      <c r="BY19" s="22"/>
      <c r="BZ19" s="65"/>
      <c r="CA19" s="65"/>
      <c r="CB19" s="65"/>
      <c r="CC19" s="65"/>
      <c r="CD19" s="65"/>
      <c r="CE19" s="65"/>
      <c r="CF19" s="22"/>
      <c r="CG19" s="22"/>
      <c r="CH19" s="22"/>
      <c r="CI19" s="65"/>
      <c r="CJ19" s="65"/>
      <c r="CK19" s="65"/>
      <c r="CL19" s="65"/>
      <c r="CM19" s="65"/>
      <c r="CN19" s="65"/>
      <c r="CO19" s="22"/>
      <c r="CP19" s="22"/>
      <c r="CQ19" s="22"/>
      <c r="CR19" s="22"/>
      <c r="CS19" s="22"/>
      <c r="CT19" s="22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</row>
    <row r="20" spans="1:191" s="41" customFormat="1" x14ac:dyDescent="0.25">
      <c r="A20" s="79">
        <v>15</v>
      </c>
      <c r="B20" s="88" t="s">
        <v>28</v>
      </c>
      <c r="C20" s="91">
        <v>3</v>
      </c>
      <c r="D20" s="42">
        <v>0.5</v>
      </c>
      <c r="E20" s="81">
        <v>0.1241</v>
      </c>
      <c r="F20" s="81">
        <v>4.0000000000000001E-3</v>
      </c>
      <c r="G20" s="81">
        <v>7.1099999999999997E-2</v>
      </c>
      <c r="H20" s="81">
        <v>2.2000000000000001E-3</v>
      </c>
      <c r="I20" s="81">
        <v>1.0999999999999999E-2</v>
      </c>
      <c r="J20" s="81">
        <v>3.6600000000000001E-2</v>
      </c>
      <c r="K20" s="81">
        <v>4.3E-3</v>
      </c>
      <c r="L20" s="81">
        <v>7.0000000000000001E-3</v>
      </c>
      <c r="M20" s="81">
        <v>0.1042</v>
      </c>
      <c r="N20" s="81">
        <v>3.85E-2</v>
      </c>
      <c r="O20" s="81">
        <v>5.0000000000000001E-3</v>
      </c>
      <c r="P20" s="81">
        <v>0.1668</v>
      </c>
      <c r="Q20" s="81">
        <v>1.04E-2</v>
      </c>
      <c r="R20" s="81">
        <v>2.3E-3</v>
      </c>
      <c r="S20" s="81">
        <v>1.78E-2</v>
      </c>
      <c r="T20" s="81">
        <v>5.0799999999999998E-2</v>
      </c>
      <c r="U20" s="81">
        <v>3.3999999999999998E-3</v>
      </c>
      <c r="V20" s="81">
        <v>8.8999999999999999E-3</v>
      </c>
      <c r="W20" s="81">
        <v>1E-3</v>
      </c>
      <c r="X20" s="81">
        <v>0.35089999999999999</v>
      </c>
      <c r="Y20" s="81">
        <v>0.26779999999999998</v>
      </c>
      <c r="Z20" s="81">
        <v>1E-3</v>
      </c>
      <c r="AA20" s="81">
        <v>1E-3</v>
      </c>
      <c r="AB20" s="81">
        <v>0.24379999999999999</v>
      </c>
      <c r="AC20" s="81">
        <v>1E-3</v>
      </c>
      <c r="AD20" s="81">
        <v>1.72E-2</v>
      </c>
      <c r="AE20" s="81">
        <v>5.4000000000000003E-3</v>
      </c>
      <c r="AF20" s="81">
        <v>8.0000000000000004E-4</v>
      </c>
      <c r="AG20" s="40">
        <v>779000</v>
      </c>
      <c r="AH20" s="40">
        <v>19900</v>
      </c>
      <c r="AI20" s="82">
        <f t="shared" si="4"/>
        <v>2.0584666595637497E-3</v>
      </c>
      <c r="AJ20" s="40"/>
      <c r="AK20" s="40">
        <v>27800</v>
      </c>
      <c r="AL20" s="41">
        <v>17500000</v>
      </c>
      <c r="AM20" s="83">
        <f>((AL20/$AK20/G20/161/$D20)*5*210)/1000</f>
        <v>115.48273764037752</v>
      </c>
      <c r="AO20" s="40">
        <v>3450</v>
      </c>
      <c r="AP20" s="84">
        <f t="shared" si="5"/>
        <v>0.11281883584041859</v>
      </c>
      <c r="AQ20" s="40"/>
      <c r="AR20" s="40">
        <v>5250</v>
      </c>
      <c r="AS20" s="85">
        <f t="shared" si="6"/>
        <v>9.6277278562259296E-3</v>
      </c>
      <c r="AT20" s="40"/>
      <c r="AU20" s="40">
        <v>146000</v>
      </c>
      <c r="AV20" s="40">
        <v>2430000</v>
      </c>
      <c r="AW20" s="86">
        <f t="shared" si="7"/>
        <v>1.5972970841111667</v>
      </c>
      <c r="AX20" s="40"/>
      <c r="AY20" s="41">
        <v>30500</v>
      </c>
      <c r="AZ20" s="86">
        <f t="shared" si="8"/>
        <v>5.426080768546522E-2</v>
      </c>
      <c r="BB20" s="41">
        <v>47100</v>
      </c>
      <c r="BC20" s="86">
        <f t="shared" si="9"/>
        <v>0.64520547945205486</v>
      </c>
      <c r="BE20" s="40">
        <v>115000</v>
      </c>
      <c r="BF20" s="40">
        <v>731</v>
      </c>
      <c r="BG20" s="84">
        <f t="shared" si="10"/>
        <v>2.887018448482321E-4</v>
      </c>
      <c r="BH20" s="40"/>
      <c r="BI20" s="40">
        <v>114000</v>
      </c>
      <c r="BJ20" s="40">
        <v>1440</v>
      </c>
      <c r="BK20" s="83">
        <f t="shared" si="11"/>
        <v>7.09639266706091E-3</v>
      </c>
      <c r="BL20" s="40"/>
      <c r="BM20" s="40">
        <v>888000</v>
      </c>
      <c r="BN20" s="40">
        <v>1040</v>
      </c>
      <c r="BO20" s="87">
        <f t="shared" si="12"/>
        <v>2.3054550613605732E-4</v>
      </c>
      <c r="BP20" s="40"/>
      <c r="BQ20" s="41">
        <v>16500</v>
      </c>
      <c r="BR20" s="84">
        <f t="shared" si="13"/>
        <v>3.1790915013109898E-2</v>
      </c>
      <c r="BT20" s="40">
        <v>1050</v>
      </c>
      <c r="BU20" s="87">
        <f t="shared" si="14"/>
        <v>3.3697134010613641E-5</v>
      </c>
      <c r="BV20" s="40"/>
      <c r="BW20" s="22"/>
      <c r="BX20" s="22"/>
      <c r="BY20" s="22"/>
      <c r="BZ20" s="65"/>
      <c r="CA20" s="65"/>
      <c r="CB20" s="65"/>
      <c r="CC20" s="65"/>
      <c r="CD20" s="65"/>
      <c r="CE20" s="65"/>
      <c r="CF20" s="22"/>
      <c r="CG20" s="22"/>
      <c r="CH20" s="22"/>
      <c r="CI20" s="65"/>
      <c r="CJ20" s="65"/>
      <c r="CK20" s="65"/>
      <c r="CL20" s="65"/>
      <c r="CM20" s="65"/>
      <c r="CN20" s="65"/>
      <c r="CO20" s="22"/>
      <c r="CP20" s="22"/>
      <c r="CQ20" s="22"/>
      <c r="CR20" s="22"/>
      <c r="CS20" s="22"/>
      <c r="CT20" s="22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</row>
    <row r="21" spans="1:191" x14ac:dyDescent="0.25">
      <c r="A21" s="79">
        <v>16</v>
      </c>
      <c r="B21" s="89" t="s">
        <v>24</v>
      </c>
      <c r="C21" s="91">
        <v>3</v>
      </c>
      <c r="D21" s="42">
        <v>0.5</v>
      </c>
      <c r="E21" s="81">
        <v>0.1241</v>
      </c>
      <c r="F21" s="81">
        <v>4.0000000000000001E-3</v>
      </c>
      <c r="G21" s="81">
        <v>7.1099999999999997E-2</v>
      </c>
      <c r="H21" s="81">
        <v>2.2000000000000001E-3</v>
      </c>
      <c r="I21" s="81">
        <v>1.0999999999999999E-2</v>
      </c>
      <c r="J21" s="81">
        <v>3.6600000000000001E-2</v>
      </c>
      <c r="K21" s="81">
        <v>4.3E-3</v>
      </c>
      <c r="L21" s="81">
        <v>7.0000000000000001E-3</v>
      </c>
      <c r="M21" s="81">
        <v>0.1042</v>
      </c>
      <c r="N21" s="81">
        <v>3.85E-2</v>
      </c>
      <c r="O21" s="81">
        <v>5.0000000000000001E-3</v>
      </c>
      <c r="P21" s="81">
        <v>0.1668</v>
      </c>
      <c r="Q21" s="81">
        <v>1.04E-2</v>
      </c>
      <c r="R21" s="81">
        <v>2.3E-3</v>
      </c>
      <c r="S21" s="81">
        <v>1.78E-2</v>
      </c>
      <c r="T21" s="81">
        <v>5.0799999999999998E-2</v>
      </c>
      <c r="U21" s="81">
        <v>3.3999999999999998E-3</v>
      </c>
      <c r="V21" s="81">
        <v>8.8999999999999999E-3</v>
      </c>
      <c r="W21" s="81">
        <v>1E-3</v>
      </c>
      <c r="X21" s="81">
        <v>0.35089999999999999</v>
      </c>
      <c r="Y21" s="81">
        <v>0.26779999999999998</v>
      </c>
      <c r="Z21" s="81">
        <v>1E-3</v>
      </c>
      <c r="AA21" s="81">
        <v>1E-3</v>
      </c>
      <c r="AB21" s="81">
        <v>0.24379999999999999</v>
      </c>
      <c r="AC21" s="81">
        <v>1E-3</v>
      </c>
      <c r="AD21" s="81">
        <v>1.72E-2</v>
      </c>
      <c r="AE21" s="81">
        <v>5.4000000000000003E-3</v>
      </c>
      <c r="AF21" s="81">
        <v>8.0000000000000004E-4</v>
      </c>
      <c r="AG21" s="40">
        <v>576000</v>
      </c>
      <c r="AH21" s="40">
        <v>10600</v>
      </c>
      <c r="AI21" s="82">
        <f>((AH21/AG21/E21/138/$A21)*5*138)/1000</f>
        <v>4.63405967409795E-5</v>
      </c>
      <c r="AJ21" s="41"/>
      <c r="AK21" s="40">
        <v>25800</v>
      </c>
      <c r="AL21" s="41">
        <v>9430000</v>
      </c>
      <c r="AM21" s="83">
        <f>((AL21/AK21/G21/161/$D21)*5*161)/1000</f>
        <v>51.407014904218322</v>
      </c>
      <c r="AN21" s="41"/>
      <c r="AO21" s="40">
        <v>1080</v>
      </c>
      <c r="AP21" s="84">
        <f>((AO21/AK21/I21/175/$A21)*5*175)/1000</f>
        <v>1.1892177589852009E-3</v>
      </c>
      <c r="AQ21" s="40"/>
      <c r="AR21" s="40">
        <v>0</v>
      </c>
      <c r="AS21" s="85">
        <f>((AR21/AG21/L21/226/$A21)*5*226)/1000</f>
        <v>0</v>
      </c>
      <c r="AT21" s="40"/>
      <c r="AU21" s="40">
        <v>107000</v>
      </c>
      <c r="AV21" s="40">
        <v>2790000</v>
      </c>
      <c r="AW21" s="86">
        <f t="shared" si="7"/>
        <v>2.5023768095144137</v>
      </c>
      <c r="AX21" s="40"/>
      <c r="AY21" s="41">
        <v>291000</v>
      </c>
      <c r="AZ21" s="86" t="e">
        <f>((AY21/$AR21/$K21/226/$A21)*5*226)/1000</f>
        <v>#DIV/0!</v>
      </c>
      <c r="BA21" s="41"/>
      <c r="BB21" s="41">
        <v>85300</v>
      </c>
      <c r="BC21" s="86">
        <f>((BB21/AU21/$L21/238/$A21)*5*238)/1000</f>
        <v>3.5589118825100137E-2</v>
      </c>
      <c r="BD21" s="41"/>
      <c r="BE21" s="40">
        <v>114000</v>
      </c>
      <c r="BF21" s="40">
        <v>490</v>
      </c>
      <c r="BG21" s="84">
        <f>BF21/BE21/P21/264/$A21</f>
        <v>6.1005820542927693E-6</v>
      </c>
      <c r="BH21" s="40"/>
      <c r="BI21" s="40">
        <v>82700</v>
      </c>
      <c r="BJ21" s="40">
        <v>1040</v>
      </c>
      <c r="BK21" s="83">
        <f>((BJ21/$BF21/$P21/292/$A21)*5*292)/1000</f>
        <v>3.9764107081681592E-3</v>
      </c>
      <c r="BL21" s="40"/>
      <c r="BM21" s="40">
        <v>797000</v>
      </c>
      <c r="BN21" s="40">
        <v>3720</v>
      </c>
      <c r="BO21" s="87">
        <f>((BN21/$BJ21/T21/293/$A21)*5*293)/1000</f>
        <v>2.2003709872804363E-2</v>
      </c>
      <c r="BP21" s="41"/>
      <c r="BQ21" s="41">
        <v>1640</v>
      </c>
      <c r="BR21" s="84" t="e">
        <f>((BQ21/$AR21/$T21/306/$A21/35.549055)*5*306)/1000</f>
        <v>#DIV/0!</v>
      </c>
      <c r="BS21" s="41"/>
      <c r="BT21" s="40">
        <v>796</v>
      </c>
      <c r="BU21" s="87">
        <f>BT21/$BJ21/X21/309/$A21</f>
        <v>4.4118211479808703E-4</v>
      </c>
      <c r="BV21" s="40"/>
      <c r="BW21" s="22"/>
      <c r="BX21" s="22"/>
      <c r="BY21" s="22"/>
      <c r="BZ21" s="65"/>
      <c r="CA21" s="65"/>
      <c r="CB21" s="65"/>
      <c r="CC21" s="65"/>
      <c r="CD21" s="65"/>
      <c r="CE21" s="65"/>
      <c r="CF21" s="22"/>
      <c r="CG21" s="22"/>
      <c r="CH21" s="22"/>
      <c r="CI21" s="65"/>
      <c r="CJ21" s="65"/>
      <c r="CK21" s="65"/>
      <c r="CL21" s="65"/>
      <c r="CM21" s="65"/>
      <c r="CN21" s="65"/>
      <c r="CO21" s="22"/>
      <c r="CP21" s="22"/>
      <c r="CQ21" s="22"/>
      <c r="CR21" s="22"/>
      <c r="CS21" s="22"/>
      <c r="CT21" s="22"/>
      <c r="CU21" s="65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91" x14ac:dyDescent="0.25">
      <c r="A22" s="79">
        <v>17</v>
      </c>
      <c r="B22" s="89" t="s">
        <v>25</v>
      </c>
      <c r="C22" s="91">
        <v>3</v>
      </c>
      <c r="D22" s="42">
        <v>0.5</v>
      </c>
      <c r="E22" s="81">
        <v>0.1241</v>
      </c>
      <c r="F22" s="81">
        <v>4.0000000000000001E-3</v>
      </c>
      <c r="G22" s="81">
        <v>7.1099999999999997E-2</v>
      </c>
      <c r="H22" s="81">
        <v>2.2000000000000001E-3</v>
      </c>
      <c r="I22" s="81">
        <v>1.0999999999999999E-2</v>
      </c>
      <c r="J22" s="81">
        <v>3.6600000000000001E-2</v>
      </c>
      <c r="K22" s="81">
        <v>4.3E-3</v>
      </c>
      <c r="L22" s="81">
        <v>7.0000000000000001E-3</v>
      </c>
      <c r="M22" s="81">
        <v>0.1042</v>
      </c>
      <c r="N22" s="81">
        <v>3.85E-2</v>
      </c>
      <c r="O22" s="81">
        <v>5.0000000000000001E-3</v>
      </c>
      <c r="P22" s="81">
        <v>0.1668</v>
      </c>
      <c r="Q22" s="81">
        <v>1.04E-2</v>
      </c>
      <c r="R22" s="81">
        <v>2.3E-3</v>
      </c>
      <c r="S22" s="81">
        <v>1.78E-2</v>
      </c>
      <c r="T22" s="81">
        <v>5.0799999999999998E-2</v>
      </c>
      <c r="U22" s="81">
        <v>3.3999999999999998E-3</v>
      </c>
      <c r="V22" s="81">
        <v>8.8999999999999999E-3</v>
      </c>
      <c r="W22" s="81">
        <v>1E-3</v>
      </c>
      <c r="X22" s="81">
        <v>0.35089999999999999</v>
      </c>
      <c r="Y22" s="81">
        <v>0.26779999999999998</v>
      </c>
      <c r="Z22" s="81">
        <v>1E-3</v>
      </c>
      <c r="AA22" s="81">
        <v>1E-3</v>
      </c>
      <c r="AB22" s="81">
        <v>0.24379999999999999</v>
      </c>
      <c r="AC22" s="81">
        <v>1E-3</v>
      </c>
      <c r="AD22" s="81">
        <v>1.72E-2</v>
      </c>
      <c r="AE22" s="81">
        <v>5.4000000000000003E-3</v>
      </c>
      <c r="AF22" s="81">
        <v>8.0000000000000004E-4</v>
      </c>
      <c r="AG22" s="40">
        <v>582000</v>
      </c>
      <c r="AH22" s="40">
        <v>16700</v>
      </c>
      <c r="AI22" s="82">
        <f t="shared" ref="AI22:AI25" si="15">((AH22/AG22/E22/138/$A22)*5*138)/1000</f>
        <v>6.8005304250844594E-5</v>
      </c>
      <c r="AJ22" s="41"/>
      <c r="AK22" s="40">
        <v>70900</v>
      </c>
      <c r="AL22" s="41">
        <v>17000000</v>
      </c>
      <c r="AM22" s="83">
        <f t="shared" ref="AM22:AM25" si="16">((AL22/AK22/G22/161/$D22)*5*161)/1000</f>
        <v>33.723534464460364</v>
      </c>
      <c r="AN22" s="41"/>
      <c r="AO22" s="40">
        <v>3010</v>
      </c>
      <c r="AP22" s="84">
        <f>((AO22/AK22/I22/175/$A22)*5*175)/1000</f>
        <v>1.1351379890332852E-3</v>
      </c>
      <c r="AQ22" s="40"/>
      <c r="AR22" s="40">
        <v>8240</v>
      </c>
      <c r="AS22" s="85">
        <f>((AR22/AG22/L22/226/$A22)*5*226)/1000</f>
        <v>5.9487712610817518E-4</v>
      </c>
      <c r="AT22" s="40"/>
      <c r="AU22" s="40">
        <v>109000</v>
      </c>
      <c r="AV22" s="40">
        <v>3970000</v>
      </c>
      <c r="AW22" s="86">
        <f t="shared" ref="AW22:AW25" si="17">((AV22/AU22/M22/210/$D22)*5*210)/1000</f>
        <v>3.4953952349926922</v>
      </c>
      <c r="AX22" s="40"/>
      <c r="AY22" s="41">
        <v>286000</v>
      </c>
      <c r="AZ22" s="86">
        <f>((AY22/$AR22/$K22/226/$A22)*5*226)/1000</f>
        <v>2.3740586774334935</v>
      </c>
      <c r="BA22" s="41"/>
      <c r="BB22" s="41">
        <v>107000</v>
      </c>
      <c r="BC22" s="86">
        <f t="shared" ref="BC22:BC25" si="18">((BB22/AU22/$L22/238/$A22)*5*238)/1000</f>
        <v>4.1245856140621394E-2</v>
      </c>
      <c r="BD22" s="41"/>
      <c r="BE22" s="40">
        <v>144000</v>
      </c>
      <c r="BF22" s="40">
        <v>756</v>
      </c>
      <c r="BG22" s="84">
        <f>BF22/BE22/P22/264/$A22</f>
        <v>7.0131060926659732E-6</v>
      </c>
      <c r="BH22" s="40"/>
      <c r="BI22" s="40">
        <v>103000</v>
      </c>
      <c r="BJ22" s="40">
        <v>1350</v>
      </c>
      <c r="BK22" s="83">
        <f>((BJ22/$BF22/$P22/292/$A22)*5*292)/1000</f>
        <v>3.1487415109928865E-3</v>
      </c>
      <c r="BL22" s="40"/>
      <c r="BM22" s="40">
        <v>619000</v>
      </c>
      <c r="BN22" s="40">
        <v>2990</v>
      </c>
      <c r="BO22" s="87">
        <f>((BN22/$BJ22/T22/293/$A22)*5*293)/1000</f>
        <v>1.2823152007959788E-2</v>
      </c>
      <c r="BP22" s="41"/>
      <c r="BQ22" s="41">
        <v>1320</v>
      </c>
      <c r="BR22" s="84">
        <f>((BQ22/$AR22/$T22/306/$A22/35.549055)*5*306)/1000</f>
        <v>2.6090117187895146E-5</v>
      </c>
      <c r="BS22" s="41"/>
      <c r="BT22" s="40">
        <v>742</v>
      </c>
      <c r="BU22" s="87">
        <f>BT22/$BJ22/X22/309/$A22</f>
        <v>2.9818058864902969E-4</v>
      </c>
      <c r="BV22" s="40"/>
      <c r="BW22" s="22"/>
      <c r="BX22" s="22"/>
      <c r="BY22" s="22"/>
      <c r="BZ22" s="65"/>
      <c r="CA22" s="65"/>
      <c r="CB22" s="65"/>
      <c r="CC22" s="65"/>
      <c r="CD22" s="65"/>
      <c r="CE22" s="65"/>
      <c r="CF22" s="22"/>
      <c r="CG22" s="22"/>
      <c r="CH22" s="22"/>
      <c r="CI22" s="65"/>
      <c r="CJ22" s="65"/>
      <c r="CK22" s="65"/>
      <c r="CL22" s="65"/>
      <c r="CM22" s="65"/>
      <c r="CN22" s="65"/>
      <c r="CO22" s="22"/>
      <c r="CP22" s="22"/>
      <c r="CQ22" s="22"/>
      <c r="CR22" s="22"/>
      <c r="CS22" s="22"/>
      <c r="CT22" s="22"/>
      <c r="CU22" s="65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</row>
    <row r="23" spans="1:191" x14ac:dyDescent="0.25">
      <c r="A23" s="79">
        <v>18</v>
      </c>
      <c r="B23" s="90" t="s">
        <v>26</v>
      </c>
      <c r="C23" s="91">
        <v>3</v>
      </c>
      <c r="D23" s="42">
        <v>1</v>
      </c>
      <c r="E23" s="81">
        <v>0.1241</v>
      </c>
      <c r="F23" s="81">
        <v>4.0000000000000001E-3</v>
      </c>
      <c r="G23" s="81">
        <v>7.1099999999999997E-2</v>
      </c>
      <c r="H23" s="81">
        <v>2.2000000000000001E-3</v>
      </c>
      <c r="I23" s="81">
        <v>1.0999999999999999E-2</v>
      </c>
      <c r="J23" s="81">
        <v>3.6600000000000001E-2</v>
      </c>
      <c r="K23" s="81">
        <v>4.3E-3</v>
      </c>
      <c r="L23" s="81">
        <v>7.0000000000000001E-3</v>
      </c>
      <c r="M23" s="81">
        <v>0.1042</v>
      </c>
      <c r="N23" s="81">
        <v>3.85E-2</v>
      </c>
      <c r="O23" s="81">
        <v>5.0000000000000001E-3</v>
      </c>
      <c r="P23" s="81">
        <v>0.1668</v>
      </c>
      <c r="Q23" s="81">
        <v>1.04E-2</v>
      </c>
      <c r="R23" s="81">
        <v>2.3E-3</v>
      </c>
      <c r="S23" s="81">
        <v>1.78E-2</v>
      </c>
      <c r="T23" s="81">
        <v>5.0799999999999998E-2</v>
      </c>
      <c r="U23" s="81">
        <v>3.3999999999999998E-3</v>
      </c>
      <c r="V23" s="81">
        <v>8.8999999999999999E-3</v>
      </c>
      <c r="W23" s="81">
        <v>1E-3</v>
      </c>
      <c r="X23" s="81">
        <v>0.35089999999999999</v>
      </c>
      <c r="Y23" s="81">
        <v>0.26779999999999998</v>
      </c>
      <c r="Z23" s="81">
        <v>1E-3</v>
      </c>
      <c r="AA23" s="81">
        <v>1E-3</v>
      </c>
      <c r="AB23" s="81">
        <v>0.24379999999999999</v>
      </c>
      <c r="AC23" s="81">
        <v>1E-3</v>
      </c>
      <c r="AD23" s="81">
        <v>1.72E-2</v>
      </c>
      <c r="AE23" s="81">
        <v>5.4000000000000003E-3</v>
      </c>
      <c r="AF23" s="81">
        <v>8.0000000000000004E-4</v>
      </c>
      <c r="AG23" s="40">
        <v>338000</v>
      </c>
      <c r="AH23" s="40">
        <v>8080</v>
      </c>
      <c r="AI23" s="82">
        <f t="shared" si="15"/>
        <v>5.3508204503059767E-5</v>
      </c>
      <c r="AJ23" s="41"/>
      <c r="AK23" s="40">
        <v>0</v>
      </c>
      <c r="AL23" s="41">
        <v>366000</v>
      </c>
      <c r="AM23" s="83" t="e">
        <f t="shared" si="16"/>
        <v>#DIV/0!</v>
      </c>
      <c r="AN23" s="41"/>
      <c r="AO23" s="40">
        <v>0</v>
      </c>
      <c r="AP23" s="84" t="e">
        <f>((AO23/AK23/I23/175/$A23)*5*175)/1000</f>
        <v>#DIV/0!</v>
      </c>
      <c r="AQ23" s="40"/>
      <c r="AR23" s="40">
        <v>114000</v>
      </c>
      <c r="AS23" s="85">
        <f>((AR23/AG23/L23/226/$A23)*5*226)/1000</f>
        <v>1.3384051845590307E-2</v>
      </c>
      <c r="AT23" s="40"/>
      <c r="AU23" s="40">
        <v>104000</v>
      </c>
      <c r="AV23" s="40">
        <v>522000</v>
      </c>
      <c r="AW23" s="86">
        <f t="shared" si="17"/>
        <v>0.24084600620109253</v>
      </c>
      <c r="AX23" s="40"/>
      <c r="AY23" s="41">
        <v>798000</v>
      </c>
      <c r="AZ23" s="86">
        <f>((AY23/$AR23/$K23/226/$A23)*5*226)/1000</f>
        <v>0.45219638242894056</v>
      </c>
      <c r="BA23" s="41"/>
      <c r="BB23" s="41">
        <v>13700</v>
      </c>
      <c r="BC23" s="86">
        <f t="shared" si="18"/>
        <v>5.2274114774114779E-3</v>
      </c>
      <c r="BD23" s="41"/>
      <c r="BE23" s="40">
        <v>97800</v>
      </c>
      <c r="BF23" s="40">
        <v>0</v>
      </c>
      <c r="BG23" s="84">
        <f>BF23/BE23/P23/264/$A23</f>
        <v>0</v>
      </c>
      <c r="BH23" s="40"/>
      <c r="BI23" s="40">
        <v>71200</v>
      </c>
      <c r="BJ23" s="40">
        <v>673</v>
      </c>
      <c r="BK23" s="83" t="e">
        <f>((BJ23/$BF23/$P23/292/$A23)*5*292)/1000</f>
        <v>#DIV/0!</v>
      </c>
      <c r="BL23" s="40"/>
      <c r="BM23" s="40">
        <v>699000</v>
      </c>
      <c r="BN23" s="40">
        <v>3610</v>
      </c>
      <c r="BO23" s="87">
        <f>((BN23/$BJ23/T23/293/$A23)*5*293)/1000</f>
        <v>2.9330936158983099E-2</v>
      </c>
      <c r="BP23" s="41"/>
      <c r="BQ23" s="41">
        <v>0</v>
      </c>
      <c r="BR23" s="84">
        <f>((BQ23/$AR23/$T23/306/$A23/35.549055)*5*306)/1000</f>
        <v>0</v>
      </c>
      <c r="BS23" s="41"/>
      <c r="BT23" s="40">
        <v>455</v>
      </c>
      <c r="BU23" s="87">
        <f>BT23/$BJ23/X23/309/$A23</f>
        <v>3.4640326732300234E-4</v>
      </c>
      <c r="BV23" s="40"/>
      <c r="BW23" s="22"/>
      <c r="BX23" s="22"/>
      <c r="BY23" s="22"/>
      <c r="BZ23" s="65"/>
      <c r="CA23" s="65"/>
      <c r="CB23" s="65"/>
      <c r="CC23" s="65"/>
      <c r="CD23" s="65"/>
      <c r="CE23" s="65"/>
      <c r="CF23" s="22"/>
      <c r="CG23" s="22"/>
      <c r="CH23" s="22"/>
      <c r="CI23" s="65"/>
      <c r="CJ23" s="65"/>
      <c r="CK23" s="65"/>
      <c r="CL23" s="65"/>
      <c r="CM23" s="65"/>
      <c r="CN23" s="65"/>
      <c r="CO23" s="22"/>
      <c r="CP23" s="22"/>
      <c r="CQ23" s="22"/>
      <c r="CR23" s="22"/>
      <c r="CS23" s="22"/>
      <c r="CT23" s="22"/>
      <c r="CU23" s="65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91" x14ac:dyDescent="0.25">
      <c r="A24" s="79">
        <v>19</v>
      </c>
      <c r="B24" s="90" t="s">
        <v>27</v>
      </c>
      <c r="C24" s="91">
        <v>3</v>
      </c>
      <c r="D24" s="42">
        <v>1</v>
      </c>
      <c r="E24" s="81">
        <v>0.1241</v>
      </c>
      <c r="F24" s="81">
        <v>4.0000000000000001E-3</v>
      </c>
      <c r="G24" s="81">
        <v>7.1099999999999997E-2</v>
      </c>
      <c r="H24" s="81">
        <v>2.2000000000000001E-3</v>
      </c>
      <c r="I24" s="81">
        <v>1.0999999999999999E-2</v>
      </c>
      <c r="J24" s="81">
        <v>3.6600000000000001E-2</v>
      </c>
      <c r="K24" s="81">
        <v>4.3E-3</v>
      </c>
      <c r="L24" s="81">
        <v>7.0000000000000001E-3</v>
      </c>
      <c r="M24" s="81">
        <v>0.1042</v>
      </c>
      <c r="N24" s="81">
        <v>3.85E-2</v>
      </c>
      <c r="O24" s="81">
        <v>5.0000000000000001E-3</v>
      </c>
      <c r="P24" s="81">
        <v>0.1668</v>
      </c>
      <c r="Q24" s="81">
        <v>1.04E-2</v>
      </c>
      <c r="R24" s="81">
        <v>2.3E-3</v>
      </c>
      <c r="S24" s="81">
        <v>1.78E-2</v>
      </c>
      <c r="T24" s="81">
        <v>5.0799999999999998E-2</v>
      </c>
      <c r="U24" s="81">
        <v>3.3999999999999998E-3</v>
      </c>
      <c r="V24" s="81">
        <v>8.8999999999999999E-3</v>
      </c>
      <c r="W24" s="81">
        <v>1E-3</v>
      </c>
      <c r="X24" s="81">
        <v>0.35089999999999999</v>
      </c>
      <c r="Y24" s="81">
        <v>0.26779999999999998</v>
      </c>
      <c r="Z24" s="81">
        <v>1E-3</v>
      </c>
      <c r="AA24" s="81">
        <v>1E-3</v>
      </c>
      <c r="AB24" s="81">
        <v>0.24379999999999999</v>
      </c>
      <c r="AC24" s="81">
        <v>1E-3</v>
      </c>
      <c r="AD24" s="81">
        <v>1.72E-2</v>
      </c>
      <c r="AE24" s="81">
        <v>5.4000000000000003E-3</v>
      </c>
      <c r="AF24" s="81">
        <v>8.0000000000000004E-4</v>
      </c>
      <c r="AG24" s="40">
        <v>434000</v>
      </c>
      <c r="AH24" s="40">
        <v>22600</v>
      </c>
      <c r="AI24" s="82">
        <f t="shared" si="15"/>
        <v>1.1042396352452183E-4</v>
      </c>
      <c r="AJ24" s="41"/>
      <c r="AK24" s="40">
        <v>0</v>
      </c>
      <c r="AL24" s="41">
        <v>575000</v>
      </c>
      <c r="AM24" s="83" t="e">
        <f t="shared" si="16"/>
        <v>#DIV/0!</v>
      </c>
      <c r="AN24" s="41"/>
      <c r="AO24" s="40">
        <v>0</v>
      </c>
      <c r="AP24" s="84" t="e">
        <f>((AO24/AK24/I24/175/$A24)*5*175)/1000</f>
        <v>#DIV/0!</v>
      </c>
      <c r="AQ24" s="40"/>
      <c r="AR24" s="40">
        <v>64300</v>
      </c>
      <c r="AS24" s="85">
        <f>((AR24/AG24/L24/226/$A24)*5*226)/1000</f>
        <v>5.5698000762274347E-3</v>
      </c>
      <c r="AT24" s="40"/>
      <c r="AU24" s="40">
        <v>104000</v>
      </c>
      <c r="AV24" s="40">
        <v>637000</v>
      </c>
      <c r="AW24" s="86">
        <f t="shared" si="17"/>
        <v>0.29390595009596931</v>
      </c>
      <c r="AX24" s="40"/>
      <c r="AY24" s="41">
        <v>320000</v>
      </c>
      <c r="AZ24" s="86">
        <f>((AY24/$AR24/$K24/226/$A24)*5*226)/1000</f>
        <v>0.30456988070378488</v>
      </c>
      <c r="BA24" s="41"/>
      <c r="BB24" s="41">
        <v>3560</v>
      </c>
      <c r="BC24" s="86">
        <f t="shared" si="18"/>
        <v>1.2868710237131291E-3</v>
      </c>
      <c r="BD24" s="41"/>
      <c r="BE24" s="40">
        <v>113000</v>
      </c>
      <c r="BF24" s="40">
        <v>0</v>
      </c>
      <c r="BG24" s="84">
        <f>BF24/BE24/P24/264/$A24</f>
        <v>0</v>
      </c>
      <c r="BH24" s="40"/>
      <c r="BI24" s="40">
        <v>69000</v>
      </c>
      <c r="BJ24" s="40">
        <v>636</v>
      </c>
      <c r="BK24" s="83" t="e">
        <f>((BJ24/$BF24/$P24/292/$A24)*5*292)/1000</f>
        <v>#DIV/0!</v>
      </c>
      <c r="BL24" s="40"/>
      <c r="BM24" s="40">
        <v>796000</v>
      </c>
      <c r="BN24" s="40">
        <v>2950</v>
      </c>
      <c r="BO24" s="87">
        <f>((BN24/$BJ24/T24/293/$A24)*5*293)/1000</f>
        <v>2.40279982380554E-2</v>
      </c>
      <c r="BP24" s="41"/>
      <c r="BQ24" s="41">
        <v>0</v>
      </c>
      <c r="BR24" s="84">
        <f>((BQ24/$AR24/$T24/306/$A24/35.549055)*5*306)/1000</f>
        <v>0</v>
      </c>
      <c r="BS24" s="41"/>
      <c r="BT24" s="40">
        <v>820</v>
      </c>
      <c r="BU24" s="87">
        <f>BT24/$BJ24/X24/309/$A24</f>
        <v>6.2583707597871612E-4</v>
      </c>
      <c r="BV24" s="40"/>
      <c r="BW24" s="22"/>
      <c r="BX24" s="22"/>
      <c r="BY24" s="22"/>
      <c r="BZ24" s="65"/>
      <c r="CA24" s="65"/>
      <c r="CB24" s="65"/>
      <c r="CC24" s="65"/>
      <c r="CD24" s="65"/>
      <c r="CE24" s="65"/>
      <c r="CF24" s="22"/>
      <c r="CG24" s="22"/>
      <c r="CH24" s="22"/>
      <c r="CI24" s="65"/>
      <c r="CJ24" s="65"/>
      <c r="CK24" s="65"/>
      <c r="CL24" s="65"/>
      <c r="CM24" s="65"/>
      <c r="CN24" s="65"/>
      <c r="CO24" s="22"/>
      <c r="CP24" s="22"/>
      <c r="CQ24" s="22"/>
      <c r="CR24" s="22"/>
      <c r="CS24" s="22"/>
      <c r="CT24" s="22"/>
      <c r="CU24" s="65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91" x14ac:dyDescent="0.25">
      <c r="A25" s="79">
        <v>20</v>
      </c>
      <c r="B25" s="90" t="s">
        <v>29</v>
      </c>
      <c r="C25" s="91">
        <v>3</v>
      </c>
      <c r="D25" s="42">
        <v>1</v>
      </c>
      <c r="E25" s="81">
        <v>0.1241</v>
      </c>
      <c r="F25" s="81">
        <v>4.0000000000000001E-3</v>
      </c>
      <c r="G25" s="81">
        <v>7.1099999999999997E-2</v>
      </c>
      <c r="H25" s="81">
        <v>2.2000000000000001E-3</v>
      </c>
      <c r="I25" s="81">
        <v>1.0999999999999999E-2</v>
      </c>
      <c r="J25" s="81">
        <v>3.6600000000000001E-2</v>
      </c>
      <c r="K25" s="81">
        <v>4.3E-3</v>
      </c>
      <c r="L25" s="81">
        <v>7.0000000000000001E-3</v>
      </c>
      <c r="M25" s="81">
        <v>0.1042</v>
      </c>
      <c r="N25" s="81">
        <v>3.85E-2</v>
      </c>
      <c r="O25" s="81">
        <v>5.0000000000000001E-3</v>
      </c>
      <c r="P25" s="81">
        <v>0.1668</v>
      </c>
      <c r="Q25" s="81">
        <v>1.04E-2</v>
      </c>
      <c r="R25" s="81">
        <v>2.3E-3</v>
      </c>
      <c r="S25" s="81">
        <v>1.78E-2</v>
      </c>
      <c r="T25" s="81">
        <v>5.0799999999999998E-2</v>
      </c>
      <c r="U25" s="81">
        <v>3.3999999999999998E-3</v>
      </c>
      <c r="V25" s="81">
        <v>8.8999999999999999E-3</v>
      </c>
      <c r="W25" s="81">
        <v>1E-3</v>
      </c>
      <c r="X25" s="81">
        <v>0.35089999999999999</v>
      </c>
      <c r="Y25" s="81">
        <v>0.26779999999999998</v>
      </c>
      <c r="Z25" s="81">
        <v>1E-3</v>
      </c>
      <c r="AA25" s="81">
        <v>1E-3</v>
      </c>
      <c r="AB25" s="81">
        <v>0.24379999999999999</v>
      </c>
      <c r="AC25" s="81">
        <v>1E-3</v>
      </c>
      <c r="AD25" s="81">
        <v>1.72E-2</v>
      </c>
      <c r="AE25" s="81">
        <v>5.4000000000000003E-3</v>
      </c>
      <c r="AF25" s="81">
        <v>8.0000000000000004E-4</v>
      </c>
      <c r="AG25" s="40">
        <v>327000</v>
      </c>
      <c r="AH25" s="40">
        <v>9980</v>
      </c>
      <c r="AI25" s="82">
        <f t="shared" si="15"/>
        <v>6.1482428839325099E-5</v>
      </c>
      <c r="AJ25" s="41"/>
      <c r="AK25" s="40">
        <v>8510</v>
      </c>
      <c r="AL25" s="41">
        <v>1580000</v>
      </c>
      <c r="AM25" s="83">
        <f t="shared" si="16"/>
        <v>13.056534795665229</v>
      </c>
      <c r="AN25" s="41"/>
      <c r="AO25" s="40">
        <v>2.85</v>
      </c>
      <c r="AP25" s="84">
        <f>((AO25/AK25/I25/175/$A25)*5*175)/1000</f>
        <v>7.6113663070184818E-6</v>
      </c>
      <c r="AQ25" s="40"/>
      <c r="AR25" s="40">
        <v>56100</v>
      </c>
      <c r="AS25" s="85">
        <f>((AR25/AG25/L25/226/$A25)*5*226)/1000</f>
        <v>6.1271297509829618E-3</v>
      </c>
      <c r="AT25" s="40"/>
      <c r="AU25" s="40">
        <v>85300</v>
      </c>
      <c r="AV25" s="40">
        <v>717000</v>
      </c>
      <c r="AW25" s="86">
        <f t="shared" si="17"/>
        <v>0.4033410363783238</v>
      </c>
      <c r="AX25" s="40"/>
      <c r="AY25" s="41">
        <v>203000</v>
      </c>
      <c r="AZ25" s="86">
        <f>((AY25/$AR25/$K25/226/$A25)*5*226)/1000</f>
        <v>0.21038013514073706</v>
      </c>
      <c r="BA25" s="41"/>
      <c r="BB25" s="41">
        <v>876</v>
      </c>
      <c r="BC25" s="86">
        <f t="shared" si="18"/>
        <v>3.6677273488527884E-4</v>
      </c>
      <c r="BD25" s="41"/>
      <c r="BE25" s="40">
        <v>108000</v>
      </c>
      <c r="BF25" s="40">
        <v>0</v>
      </c>
      <c r="BG25" s="84">
        <f>BF25/BE25/P25/264/$A25</f>
        <v>0</v>
      </c>
      <c r="BH25" s="40"/>
      <c r="BI25" s="40">
        <v>70200</v>
      </c>
      <c r="BJ25" s="40">
        <v>815</v>
      </c>
      <c r="BK25" s="83" t="e">
        <f>((BJ25/$BF25/$P25/292/$A25)*5*292)/1000</f>
        <v>#DIV/0!</v>
      </c>
      <c r="BL25" s="40"/>
      <c r="BM25" s="40">
        <v>947000</v>
      </c>
      <c r="BN25" s="40">
        <v>1450</v>
      </c>
      <c r="BO25" s="87">
        <f>((BN25/$BJ25/T25/293/$A25)*5*293)/1000</f>
        <v>8.7556156707405443E-3</v>
      </c>
      <c r="BP25" s="41"/>
      <c r="BQ25" s="41">
        <v>0</v>
      </c>
      <c r="BR25" s="84">
        <f>((BQ25/$AR25/$T25/306/$A25/35.549055)*5*306)/1000</f>
        <v>0</v>
      </c>
      <c r="BS25" s="41"/>
      <c r="BT25" s="40">
        <v>847</v>
      </c>
      <c r="BU25" s="87">
        <f>BT25/$BJ25/X25/309/$A25</f>
        <v>4.7924099180977149E-4</v>
      </c>
      <c r="BV25" s="40"/>
      <c r="BW25" s="22"/>
      <c r="BX25" s="22"/>
      <c r="BY25" s="22"/>
      <c r="BZ25" s="65"/>
      <c r="CA25" s="65"/>
      <c r="CB25" s="65"/>
      <c r="CC25" s="65"/>
      <c r="CD25" s="65"/>
      <c r="CE25" s="65"/>
      <c r="CF25" s="22"/>
      <c r="CG25" s="22"/>
      <c r="CH25" s="22"/>
      <c r="CI25" s="65"/>
      <c r="CJ25" s="65"/>
      <c r="CK25" s="65"/>
      <c r="CL25" s="65"/>
      <c r="CM25" s="65"/>
      <c r="CN25" s="65"/>
      <c r="CO25" s="22"/>
      <c r="CP25" s="22"/>
      <c r="CQ25" s="22"/>
      <c r="CR25" s="22"/>
      <c r="CS25" s="22"/>
      <c r="CT25" s="22"/>
      <c r="CU25" s="65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pans="1:191" s="41" customFormat="1" x14ac:dyDescent="0.25">
      <c r="A26" s="79">
        <v>21</v>
      </c>
      <c r="B26" s="80" t="s">
        <v>19</v>
      </c>
      <c r="C26" s="91">
        <v>6</v>
      </c>
      <c r="D26" s="68">
        <v>2.5000000000000001E-2</v>
      </c>
      <c r="E26" s="81">
        <v>0.1241</v>
      </c>
      <c r="F26" s="81">
        <v>4.0000000000000001E-3</v>
      </c>
      <c r="G26" s="81">
        <v>7.1099999999999997E-2</v>
      </c>
      <c r="H26" s="81">
        <v>2.2000000000000001E-3</v>
      </c>
      <c r="I26" s="81">
        <v>1.0999999999999999E-2</v>
      </c>
      <c r="J26" s="81">
        <v>3.6600000000000001E-2</v>
      </c>
      <c r="K26" s="81">
        <v>4.3E-3</v>
      </c>
      <c r="L26" s="81">
        <v>7.0000000000000001E-3</v>
      </c>
      <c r="M26" s="81">
        <v>0.1042</v>
      </c>
      <c r="N26" s="81">
        <v>3.85E-2</v>
      </c>
      <c r="O26" s="81">
        <v>5.0000000000000001E-3</v>
      </c>
      <c r="P26" s="81">
        <v>0.1668</v>
      </c>
      <c r="Q26" s="81">
        <v>1.04E-2</v>
      </c>
      <c r="R26" s="81">
        <v>2.3E-3</v>
      </c>
      <c r="S26" s="81">
        <v>1.78E-2</v>
      </c>
      <c r="T26" s="81">
        <v>5.0799999999999998E-2</v>
      </c>
      <c r="U26" s="81">
        <v>3.3999999999999998E-3</v>
      </c>
      <c r="V26" s="81">
        <v>8.8999999999999999E-3</v>
      </c>
      <c r="W26" s="81">
        <v>1E-3</v>
      </c>
      <c r="X26" s="81">
        <v>0.35089999999999999</v>
      </c>
      <c r="Y26" s="81">
        <v>0.26779999999999998</v>
      </c>
      <c r="Z26" s="81">
        <v>1E-3</v>
      </c>
      <c r="AA26" s="81">
        <v>1E-3</v>
      </c>
      <c r="AB26" s="81">
        <v>0.24379999999999999</v>
      </c>
      <c r="AC26" s="81">
        <v>1E-3</v>
      </c>
      <c r="AD26" s="81">
        <v>1.72E-2</v>
      </c>
      <c r="AE26" s="81">
        <v>5.4000000000000003E-3</v>
      </c>
      <c r="AF26" s="81">
        <v>8.0000000000000004E-4</v>
      </c>
      <c r="AG26" s="40">
        <v>113000</v>
      </c>
      <c r="AH26" s="40">
        <v>9820</v>
      </c>
      <c r="AI26" s="82">
        <f>((AH26/AG26/E26/138/$D26)*5*138)/1000</f>
        <v>0.1400526266998495</v>
      </c>
      <c r="AJ26" s="40"/>
      <c r="AK26" s="40">
        <v>28700</v>
      </c>
      <c r="AL26" s="41">
        <v>2780000</v>
      </c>
      <c r="AM26" s="83">
        <f t="shared" si="0"/>
        <v>355.39941844893724</v>
      </c>
      <c r="AO26" s="40">
        <v>1090</v>
      </c>
      <c r="AP26" s="84">
        <f>((AO26/AK26/I26/175/$D26)*5*175)/1000</f>
        <v>0.69052898321191003</v>
      </c>
      <c r="AQ26" s="40"/>
      <c r="AR26" s="40">
        <v>0</v>
      </c>
      <c r="AS26" s="85">
        <f t="shared" ref="AS26:AS31" si="19">((AR26/AG26/L26/226/$D26)*5*210)/1000</f>
        <v>0</v>
      </c>
      <c r="AT26" s="40"/>
      <c r="AU26" s="40">
        <v>25200</v>
      </c>
      <c r="AV26" s="40">
        <v>511000</v>
      </c>
      <c r="AW26" s="86">
        <f>(((AV26/AU26/M26/210/$D26)*5*210)/1000)*10</f>
        <v>389.2087865216464</v>
      </c>
      <c r="AX26" s="40"/>
      <c r="AY26" s="41">
        <v>24900</v>
      </c>
      <c r="AZ26" s="86">
        <f>((AY26/$AU26/$N26/226/$D26)*5*226)/1000</f>
        <v>5.132962275819418</v>
      </c>
      <c r="BB26" s="41">
        <v>1890</v>
      </c>
      <c r="BC26" s="86">
        <f>((BB26/AU26/$O26/238/$D26)*5*238)/1000</f>
        <v>3</v>
      </c>
      <c r="BE26" s="40">
        <v>26700</v>
      </c>
      <c r="BF26" s="40">
        <v>0</v>
      </c>
      <c r="BG26" s="84">
        <f t="shared" ref="BG26:BG54" si="20">BF26/BE26/P26/264/$D26</f>
        <v>0</v>
      </c>
      <c r="BH26" s="40"/>
      <c r="BI26" s="40">
        <v>14200</v>
      </c>
      <c r="BJ26" s="40">
        <v>0</v>
      </c>
      <c r="BK26" s="83">
        <f t="shared" ref="BK26:BK54" si="21">((BJ26/$BI26/$S26/292/$D26)*5*292)/1000</f>
        <v>0</v>
      </c>
      <c r="BL26" s="40"/>
      <c r="BM26" s="40">
        <v>97900</v>
      </c>
      <c r="BN26" s="40">
        <v>0</v>
      </c>
      <c r="BO26" s="87">
        <f t="shared" ref="BO26:BO31" si="22">((BN26/$BM26/T26/293/$D26)*5*293)/1000</f>
        <v>0</v>
      </c>
      <c r="BQ26" s="41">
        <v>0</v>
      </c>
      <c r="BR26" s="84">
        <f t="shared" ref="BR26:BR31" si="23">((BQ26/$AU26/$W26/306/$D26/35.549055)*5*306)/1000</f>
        <v>0</v>
      </c>
      <c r="BT26" s="40">
        <v>0</v>
      </c>
      <c r="BU26" s="87">
        <f t="shared" ref="BU26:BU31" si="24">((BT26/$BM26/X26/309/$D26)*5*309)/1000</f>
        <v>0</v>
      </c>
      <c r="BV26" s="40"/>
      <c r="BW26" s="22"/>
      <c r="BX26" s="22"/>
      <c r="BY26" s="22"/>
      <c r="BZ26" s="65"/>
      <c r="CA26" s="65"/>
      <c r="CB26" s="65"/>
      <c r="CC26" s="65"/>
      <c r="CD26" s="65"/>
      <c r="CE26" s="65"/>
      <c r="CF26" s="22"/>
      <c r="CG26" s="22"/>
      <c r="CH26" s="22"/>
      <c r="CI26" s="65"/>
      <c r="CJ26" s="65"/>
      <c r="CK26" s="65"/>
      <c r="CL26" s="65"/>
      <c r="CM26" s="65"/>
      <c r="CN26" s="65"/>
      <c r="CO26" s="22"/>
      <c r="CP26" s="22"/>
      <c r="CQ26" s="22"/>
      <c r="CR26" s="22"/>
      <c r="CS26" s="22"/>
      <c r="CT26" s="22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</row>
    <row r="27" spans="1:191" s="41" customFormat="1" x14ac:dyDescent="0.25">
      <c r="A27" s="79">
        <v>22</v>
      </c>
      <c r="B27" s="80" t="s">
        <v>20</v>
      </c>
      <c r="C27" s="91">
        <v>6</v>
      </c>
      <c r="D27" s="68">
        <v>2.5000000000000001E-2</v>
      </c>
      <c r="E27" s="81">
        <v>0.1241</v>
      </c>
      <c r="F27" s="81">
        <v>4.0000000000000001E-3</v>
      </c>
      <c r="G27" s="81">
        <v>7.1099999999999997E-2</v>
      </c>
      <c r="H27" s="81">
        <v>2.2000000000000001E-3</v>
      </c>
      <c r="I27" s="81">
        <v>1.0999999999999999E-2</v>
      </c>
      <c r="J27" s="81">
        <v>3.6600000000000001E-2</v>
      </c>
      <c r="K27" s="81">
        <v>4.3E-3</v>
      </c>
      <c r="L27" s="81">
        <v>7.0000000000000001E-3</v>
      </c>
      <c r="M27" s="81">
        <v>0.1042</v>
      </c>
      <c r="N27" s="81">
        <v>3.85E-2</v>
      </c>
      <c r="O27" s="81">
        <v>5.0000000000000001E-3</v>
      </c>
      <c r="P27" s="81">
        <v>0.1668</v>
      </c>
      <c r="Q27" s="81">
        <v>1.04E-2</v>
      </c>
      <c r="R27" s="81">
        <v>2.3E-3</v>
      </c>
      <c r="S27" s="81">
        <v>1.78E-2</v>
      </c>
      <c r="T27" s="81">
        <v>5.0799999999999998E-2</v>
      </c>
      <c r="U27" s="81">
        <v>3.3999999999999998E-3</v>
      </c>
      <c r="V27" s="81">
        <v>8.8999999999999999E-3</v>
      </c>
      <c r="W27" s="81">
        <v>1E-3</v>
      </c>
      <c r="X27" s="81">
        <v>0.35089999999999999</v>
      </c>
      <c r="Y27" s="81">
        <v>0.26779999999999998</v>
      </c>
      <c r="Z27" s="81">
        <v>1E-3</v>
      </c>
      <c r="AA27" s="81">
        <v>1E-3</v>
      </c>
      <c r="AB27" s="81">
        <v>0.24379999999999999</v>
      </c>
      <c r="AC27" s="81">
        <v>1E-3</v>
      </c>
      <c r="AD27" s="81">
        <v>1.72E-2</v>
      </c>
      <c r="AE27" s="81">
        <v>5.4000000000000003E-3</v>
      </c>
      <c r="AF27" s="81">
        <v>8.0000000000000004E-4</v>
      </c>
      <c r="AG27" s="40">
        <v>81300</v>
      </c>
      <c r="AH27" s="40">
        <v>15200</v>
      </c>
      <c r="AI27" s="82">
        <f>((AH27/AG27/E27/138/$D27)*5*138)/1000</f>
        <v>0.30130841195599706</v>
      </c>
      <c r="AJ27" s="40"/>
      <c r="AK27" s="40">
        <v>31300</v>
      </c>
      <c r="AL27" s="41">
        <v>3150000</v>
      </c>
      <c r="AM27" s="83">
        <f t="shared" si="0"/>
        <v>369.24959690252342</v>
      </c>
      <c r="AO27" s="40">
        <v>8.94</v>
      </c>
      <c r="AP27" s="84">
        <f>((AO27/AK27/I27/175/$D27)*5*175)/1000</f>
        <v>5.1931455126343297E-3</v>
      </c>
      <c r="AQ27" s="40"/>
      <c r="AR27" s="40">
        <v>0</v>
      </c>
      <c r="AS27" s="85">
        <f t="shared" si="19"/>
        <v>0</v>
      </c>
      <c r="AT27" s="40"/>
      <c r="AU27" s="40">
        <v>19000</v>
      </c>
      <c r="AV27" s="40">
        <v>526000</v>
      </c>
      <c r="AW27" s="86">
        <f t="shared" ref="AW27:AW61" si="25">(((AV27/AU27/M27/210/$D27)*5*210)/1000)*10</f>
        <v>531.36680472775026</v>
      </c>
      <c r="AX27" s="40"/>
      <c r="AY27" s="41">
        <v>10600</v>
      </c>
      <c r="AZ27" s="86">
        <f>((AY27/$AU27/$N27/226/$D27)*5*226)/1000</f>
        <v>2.8981544771018446</v>
      </c>
      <c r="BB27" s="41">
        <v>5590</v>
      </c>
      <c r="BC27" s="86">
        <f>((BB27/AU27/$O27/238/$D27)*5*238)/1000</f>
        <v>11.768421052631579</v>
      </c>
      <c r="BE27" s="40">
        <v>27200</v>
      </c>
      <c r="BF27" s="40">
        <v>0</v>
      </c>
      <c r="BG27" s="84">
        <f t="shared" si="20"/>
        <v>0</v>
      </c>
      <c r="BH27" s="40"/>
      <c r="BI27" s="40">
        <v>12900</v>
      </c>
      <c r="BJ27" s="40">
        <v>0</v>
      </c>
      <c r="BK27" s="83">
        <f t="shared" si="21"/>
        <v>0</v>
      </c>
      <c r="BL27" s="40"/>
      <c r="BM27" s="40">
        <v>81600</v>
      </c>
      <c r="BN27" s="40">
        <v>0</v>
      </c>
      <c r="BO27" s="87">
        <f t="shared" si="22"/>
        <v>0</v>
      </c>
      <c r="BQ27" s="41">
        <v>0</v>
      </c>
      <c r="BR27" s="84">
        <f t="shared" si="23"/>
        <v>0</v>
      </c>
      <c r="BT27" s="40">
        <v>0</v>
      </c>
      <c r="BU27" s="87">
        <f t="shared" si="24"/>
        <v>0</v>
      </c>
      <c r="BV27" s="40"/>
      <c r="BW27" s="22"/>
      <c r="BX27" s="22"/>
      <c r="BY27" s="22"/>
      <c r="BZ27" s="65"/>
      <c r="CA27" s="65"/>
      <c r="CB27" s="65"/>
      <c r="CC27" s="65"/>
      <c r="CD27" s="65"/>
      <c r="CE27" s="65"/>
      <c r="CF27" s="22"/>
      <c r="CG27" s="22"/>
      <c r="CH27" s="22"/>
      <c r="CI27" s="65"/>
      <c r="CJ27" s="65"/>
      <c r="CK27" s="65"/>
      <c r="CL27" s="65"/>
      <c r="CM27" s="65"/>
      <c r="CN27" s="65"/>
      <c r="CO27" s="22"/>
      <c r="CP27" s="22"/>
      <c r="CQ27" s="22"/>
      <c r="CR27" s="22"/>
      <c r="CS27" s="22"/>
      <c r="CT27" s="22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</row>
    <row r="28" spans="1:191" s="41" customFormat="1" x14ac:dyDescent="0.25">
      <c r="A28" s="79">
        <v>23</v>
      </c>
      <c r="B28" s="80" t="s">
        <v>21</v>
      </c>
      <c r="C28" s="91">
        <v>6</v>
      </c>
      <c r="D28" s="68">
        <v>2.5000000000000001E-2</v>
      </c>
      <c r="E28" s="81">
        <v>0.1241</v>
      </c>
      <c r="F28" s="81">
        <v>4.0000000000000001E-3</v>
      </c>
      <c r="G28" s="81">
        <v>7.1099999999999997E-2</v>
      </c>
      <c r="H28" s="81">
        <v>2.2000000000000001E-3</v>
      </c>
      <c r="I28" s="81">
        <v>1.0999999999999999E-2</v>
      </c>
      <c r="J28" s="81">
        <v>3.6600000000000001E-2</v>
      </c>
      <c r="K28" s="81">
        <v>4.3E-3</v>
      </c>
      <c r="L28" s="81">
        <v>7.0000000000000001E-3</v>
      </c>
      <c r="M28" s="81">
        <v>0.1042</v>
      </c>
      <c r="N28" s="81">
        <v>3.85E-2</v>
      </c>
      <c r="O28" s="81">
        <v>5.0000000000000001E-3</v>
      </c>
      <c r="P28" s="81">
        <v>0.1668</v>
      </c>
      <c r="Q28" s="81">
        <v>1.04E-2</v>
      </c>
      <c r="R28" s="81">
        <v>2.3E-3</v>
      </c>
      <c r="S28" s="81">
        <v>1.78E-2</v>
      </c>
      <c r="T28" s="81">
        <v>5.0799999999999998E-2</v>
      </c>
      <c r="U28" s="81">
        <v>3.3999999999999998E-3</v>
      </c>
      <c r="V28" s="81">
        <v>8.8999999999999999E-3</v>
      </c>
      <c r="W28" s="81">
        <v>1E-3</v>
      </c>
      <c r="X28" s="81">
        <v>0.35089999999999999</v>
      </c>
      <c r="Y28" s="81">
        <v>0.26779999999999998</v>
      </c>
      <c r="Z28" s="81">
        <v>1E-3</v>
      </c>
      <c r="AA28" s="81">
        <v>1E-3</v>
      </c>
      <c r="AB28" s="81">
        <v>0.24379999999999999</v>
      </c>
      <c r="AC28" s="81">
        <v>1E-3</v>
      </c>
      <c r="AD28" s="81">
        <v>1.72E-2</v>
      </c>
      <c r="AE28" s="81">
        <v>5.4000000000000003E-3</v>
      </c>
      <c r="AF28" s="81">
        <v>8.0000000000000004E-4</v>
      </c>
      <c r="AG28" s="40">
        <v>63300</v>
      </c>
      <c r="AH28" s="40">
        <v>3430</v>
      </c>
      <c r="AI28" s="82">
        <f t="shared" ref="AI28:AI33" si="26">(((AH28/AG28/E28/138/$D28)*5*138)/1000)*10</f>
        <v>0.87327016763986642</v>
      </c>
      <c r="AJ28" s="40"/>
      <c r="AK28" s="40">
        <v>21200</v>
      </c>
      <c r="AL28" s="41">
        <v>1100000</v>
      </c>
      <c r="AM28" s="83">
        <f t="shared" si="0"/>
        <v>190.37531628262775</v>
      </c>
      <c r="AO28" s="40">
        <v>0</v>
      </c>
      <c r="AP28" s="84">
        <f>(((AO28/AK28/I28/175/$D28)*5*210)/1000)*10</f>
        <v>0</v>
      </c>
      <c r="AQ28" s="40"/>
      <c r="AR28" s="40">
        <v>0</v>
      </c>
      <c r="AS28" s="85">
        <f t="shared" si="19"/>
        <v>0</v>
      </c>
      <c r="AT28" s="40"/>
      <c r="AU28" s="40">
        <v>21700</v>
      </c>
      <c r="AV28" s="40">
        <v>383000</v>
      </c>
      <c r="AW28" s="86">
        <f t="shared" si="25"/>
        <v>338.76717054229283</v>
      </c>
      <c r="AX28" s="40"/>
      <c r="AY28" s="41">
        <v>10400</v>
      </c>
      <c r="AZ28" s="86">
        <f>(((AY28/$AU28/$N28/226/$D28)*5*226)/1000)*10</f>
        <v>24.896762223951164</v>
      </c>
      <c r="BB28" s="41">
        <v>4760</v>
      </c>
      <c r="BC28" s="86">
        <f>(((BB28/AU28/$O28/238/$D28)*5*238)/1000)*10</f>
        <v>87.741935483870961</v>
      </c>
      <c r="BE28" s="40">
        <v>22500</v>
      </c>
      <c r="BF28" s="40">
        <v>0</v>
      </c>
      <c r="BG28" s="84">
        <f t="shared" si="20"/>
        <v>0</v>
      </c>
      <c r="BH28" s="40"/>
      <c r="BI28" s="40">
        <v>12300</v>
      </c>
      <c r="BJ28" s="40">
        <v>0</v>
      </c>
      <c r="BK28" s="83">
        <f t="shared" si="21"/>
        <v>0</v>
      </c>
      <c r="BL28" s="40"/>
      <c r="BM28" s="40">
        <v>85400</v>
      </c>
      <c r="BN28" s="40">
        <v>0</v>
      </c>
      <c r="BO28" s="87">
        <f t="shared" si="22"/>
        <v>0</v>
      </c>
      <c r="BQ28" s="41">
        <v>-2.15</v>
      </c>
      <c r="BR28" s="84">
        <f t="shared" si="23"/>
        <v>-5.5741757981372432E-4</v>
      </c>
      <c r="BT28" s="40">
        <v>0</v>
      </c>
      <c r="BU28" s="87">
        <f t="shared" si="24"/>
        <v>0</v>
      </c>
      <c r="BV28" s="40"/>
      <c r="BW28" s="22"/>
      <c r="BX28" s="22"/>
      <c r="BY28" s="22"/>
      <c r="BZ28" s="65"/>
      <c r="CA28" s="65"/>
      <c r="CB28" s="65"/>
      <c r="CC28" s="65"/>
      <c r="CD28" s="65"/>
      <c r="CE28" s="65"/>
      <c r="CF28" s="22"/>
      <c r="CG28" s="22"/>
      <c r="CH28" s="22"/>
      <c r="CI28" s="65"/>
      <c r="CJ28" s="65"/>
      <c r="CK28" s="65"/>
      <c r="CL28" s="65"/>
      <c r="CM28" s="65"/>
      <c r="CN28" s="65"/>
      <c r="CO28" s="22"/>
      <c r="CP28" s="22"/>
      <c r="CQ28" s="22"/>
      <c r="CR28" s="22"/>
      <c r="CS28" s="22"/>
      <c r="CT28" s="22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</row>
    <row r="29" spans="1:191" s="41" customFormat="1" x14ac:dyDescent="0.25">
      <c r="A29" s="79">
        <v>24</v>
      </c>
      <c r="B29" s="88" t="s">
        <v>22</v>
      </c>
      <c r="C29" s="91">
        <v>6</v>
      </c>
      <c r="D29" s="68">
        <v>2.5000000000000001E-2</v>
      </c>
      <c r="E29" s="81">
        <v>0.1241</v>
      </c>
      <c r="F29" s="81">
        <v>4.0000000000000001E-3</v>
      </c>
      <c r="G29" s="81">
        <v>7.1099999999999997E-2</v>
      </c>
      <c r="H29" s="81">
        <v>2.2000000000000001E-3</v>
      </c>
      <c r="I29" s="81">
        <v>1.0999999999999999E-2</v>
      </c>
      <c r="J29" s="81">
        <v>3.6600000000000001E-2</v>
      </c>
      <c r="K29" s="81">
        <v>4.3E-3</v>
      </c>
      <c r="L29" s="81">
        <v>7.0000000000000001E-3</v>
      </c>
      <c r="M29" s="81">
        <v>0.1042</v>
      </c>
      <c r="N29" s="81">
        <v>3.85E-2</v>
      </c>
      <c r="O29" s="81">
        <v>5.0000000000000001E-3</v>
      </c>
      <c r="P29" s="81">
        <v>0.1668</v>
      </c>
      <c r="Q29" s="81">
        <v>1.04E-2</v>
      </c>
      <c r="R29" s="81">
        <v>2.3E-3</v>
      </c>
      <c r="S29" s="81">
        <v>1.78E-2</v>
      </c>
      <c r="T29" s="81">
        <v>5.0799999999999998E-2</v>
      </c>
      <c r="U29" s="81">
        <v>3.3999999999999998E-3</v>
      </c>
      <c r="V29" s="81">
        <v>8.8999999999999999E-3</v>
      </c>
      <c r="W29" s="81">
        <v>1E-3</v>
      </c>
      <c r="X29" s="81">
        <v>0.35089999999999999</v>
      </c>
      <c r="Y29" s="81">
        <v>0.26779999999999998</v>
      </c>
      <c r="Z29" s="81">
        <v>1E-3</v>
      </c>
      <c r="AA29" s="81">
        <v>1E-3</v>
      </c>
      <c r="AB29" s="81">
        <v>0.24379999999999999</v>
      </c>
      <c r="AC29" s="81">
        <v>1E-3</v>
      </c>
      <c r="AD29" s="81">
        <v>1.72E-2</v>
      </c>
      <c r="AE29" s="81">
        <v>5.4000000000000003E-3</v>
      </c>
      <c r="AF29" s="81">
        <v>8.0000000000000004E-4</v>
      </c>
      <c r="AG29" s="40">
        <v>58500</v>
      </c>
      <c r="AH29" s="40">
        <v>1970</v>
      </c>
      <c r="AI29" s="82">
        <f t="shared" si="26"/>
        <v>0.54271093755380617</v>
      </c>
      <c r="AJ29" s="40"/>
      <c r="AK29" s="40">
        <v>19200</v>
      </c>
      <c r="AL29" s="41">
        <v>5120000</v>
      </c>
      <c r="AM29" s="83">
        <f t="shared" si="0"/>
        <v>978.41374671314134</v>
      </c>
      <c r="AO29" s="40">
        <v>0</v>
      </c>
      <c r="AP29" s="84">
        <f>(((AO29/AK29/I29/175/$D29)*5*210)/1000)*10</f>
        <v>0</v>
      </c>
      <c r="AQ29" s="40"/>
      <c r="AR29" s="40">
        <v>0</v>
      </c>
      <c r="AS29" s="85">
        <f t="shared" si="19"/>
        <v>0</v>
      </c>
      <c r="AT29" s="40"/>
      <c r="AU29" s="40">
        <v>14800</v>
      </c>
      <c r="AV29" s="40">
        <v>1020000</v>
      </c>
      <c r="AW29" s="86">
        <f t="shared" si="25"/>
        <v>1322.8199408621674</v>
      </c>
      <c r="AX29" s="40"/>
      <c r="AY29" s="41">
        <v>50900</v>
      </c>
      <c r="AZ29" s="86">
        <f>(((AY29/$AU29/$N29/226/$D29)*5*226)/1000)*10</f>
        <v>178.65917865917862</v>
      </c>
      <c r="BB29" s="41">
        <v>5730</v>
      </c>
      <c r="BC29" s="86">
        <f>(((BB29/AU29/$O29/238/$D29)*5*238)/1000)*10</f>
        <v>154.86486486486487</v>
      </c>
      <c r="BE29" s="40">
        <v>22200</v>
      </c>
      <c r="BF29" s="40">
        <v>0</v>
      </c>
      <c r="BG29" s="84">
        <f t="shared" si="20"/>
        <v>0</v>
      </c>
      <c r="BH29" s="40"/>
      <c r="BI29" s="40">
        <v>15700</v>
      </c>
      <c r="BJ29" s="40">
        <v>0</v>
      </c>
      <c r="BK29" s="83">
        <f t="shared" si="21"/>
        <v>0</v>
      </c>
      <c r="BL29" s="40"/>
      <c r="BM29" s="40">
        <v>86600</v>
      </c>
      <c r="BN29" s="40">
        <v>0</v>
      </c>
      <c r="BO29" s="87">
        <f t="shared" si="22"/>
        <v>0</v>
      </c>
      <c r="BQ29" s="41">
        <v>0</v>
      </c>
      <c r="BR29" s="84">
        <f t="shared" si="23"/>
        <v>0</v>
      </c>
      <c r="BT29" s="40">
        <v>0</v>
      </c>
      <c r="BU29" s="87">
        <f t="shared" si="24"/>
        <v>0</v>
      </c>
      <c r="BV29" s="40"/>
      <c r="BW29" s="22"/>
      <c r="BX29" s="22"/>
      <c r="BY29" s="22"/>
      <c r="BZ29" s="65"/>
      <c r="CA29" s="65"/>
      <c r="CB29" s="65"/>
      <c r="CC29" s="65"/>
      <c r="CD29" s="65"/>
      <c r="CE29" s="65"/>
      <c r="CF29" s="22"/>
      <c r="CG29" s="22"/>
      <c r="CH29" s="22"/>
      <c r="CI29" s="65"/>
      <c r="CJ29" s="65"/>
      <c r="CK29" s="65"/>
      <c r="CL29" s="65"/>
      <c r="CM29" s="65"/>
      <c r="CN29" s="65"/>
      <c r="CO29" s="22"/>
      <c r="CP29" s="22"/>
      <c r="CQ29" s="22"/>
      <c r="CR29" s="22"/>
      <c r="CS29" s="22"/>
      <c r="CT29" s="22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</row>
    <row r="30" spans="1:191" s="41" customFormat="1" x14ac:dyDescent="0.25">
      <c r="A30" s="79">
        <v>25</v>
      </c>
      <c r="B30" s="88" t="s">
        <v>23</v>
      </c>
      <c r="C30" s="91">
        <v>6</v>
      </c>
      <c r="D30" s="68">
        <v>2.5000000000000001E-2</v>
      </c>
      <c r="E30" s="81">
        <v>0.1241</v>
      </c>
      <c r="F30" s="81">
        <v>4.0000000000000001E-3</v>
      </c>
      <c r="G30" s="81">
        <v>7.1099999999999997E-2</v>
      </c>
      <c r="H30" s="81">
        <v>2.2000000000000001E-3</v>
      </c>
      <c r="I30" s="81">
        <v>1.0999999999999999E-2</v>
      </c>
      <c r="J30" s="81">
        <v>3.6600000000000001E-2</v>
      </c>
      <c r="K30" s="81">
        <v>4.3E-3</v>
      </c>
      <c r="L30" s="81">
        <v>7.0000000000000001E-3</v>
      </c>
      <c r="M30" s="81">
        <v>0.1042</v>
      </c>
      <c r="N30" s="81">
        <v>3.85E-2</v>
      </c>
      <c r="O30" s="81">
        <v>5.0000000000000001E-3</v>
      </c>
      <c r="P30" s="81">
        <v>0.1668</v>
      </c>
      <c r="Q30" s="81">
        <v>1.04E-2</v>
      </c>
      <c r="R30" s="81">
        <v>2.3E-3</v>
      </c>
      <c r="S30" s="81">
        <v>1.78E-2</v>
      </c>
      <c r="T30" s="81">
        <v>5.0799999999999998E-2</v>
      </c>
      <c r="U30" s="81">
        <v>3.3999999999999998E-3</v>
      </c>
      <c r="V30" s="81">
        <v>8.8999999999999999E-3</v>
      </c>
      <c r="W30" s="81">
        <v>1E-3</v>
      </c>
      <c r="X30" s="81">
        <v>0.35089999999999999</v>
      </c>
      <c r="Y30" s="81">
        <v>0.26779999999999998</v>
      </c>
      <c r="Z30" s="81">
        <v>1E-3</v>
      </c>
      <c r="AA30" s="81">
        <v>1E-3</v>
      </c>
      <c r="AB30" s="81">
        <v>0.24379999999999999</v>
      </c>
      <c r="AC30" s="81">
        <v>1E-3</v>
      </c>
      <c r="AD30" s="81">
        <v>1.72E-2</v>
      </c>
      <c r="AE30" s="81">
        <v>5.4000000000000003E-3</v>
      </c>
      <c r="AF30" s="81">
        <v>8.0000000000000004E-4</v>
      </c>
      <c r="AG30" s="40">
        <v>66200</v>
      </c>
      <c r="AH30" s="40">
        <v>10100</v>
      </c>
      <c r="AI30" s="82">
        <f t="shared" si="26"/>
        <v>2.4587909078294228</v>
      </c>
      <c r="AJ30" s="40"/>
      <c r="AK30" s="40">
        <v>18600</v>
      </c>
      <c r="AL30" s="41">
        <v>3140000</v>
      </c>
      <c r="AM30" s="83">
        <f t="shared" si="0"/>
        <v>619.39902513694835</v>
      </c>
      <c r="AO30" s="40">
        <v>0</v>
      </c>
      <c r="AP30" s="84">
        <f>(((AO30/AK30/I30/175/$D30)*5*210)/1000)*10</f>
        <v>0</v>
      </c>
      <c r="AQ30" s="40"/>
      <c r="AR30" s="40">
        <v>0</v>
      </c>
      <c r="AS30" s="85">
        <f t="shared" si="19"/>
        <v>0</v>
      </c>
      <c r="AT30" s="40"/>
      <c r="AU30" s="40">
        <v>22800</v>
      </c>
      <c r="AV30" s="40">
        <v>368000</v>
      </c>
      <c r="AW30" s="86">
        <f t="shared" si="25"/>
        <v>309.79560224938541</v>
      </c>
      <c r="AX30" s="40"/>
      <c r="AY30" s="41">
        <v>37200</v>
      </c>
      <c r="AZ30" s="86">
        <f>(((AY30/$AU30/$N30/226/$D30)*5*226)/1000)*10</f>
        <v>84.757347915242633</v>
      </c>
      <c r="BB30" s="41">
        <v>1330</v>
      </c>
      <c r="BC30" s="86">
        <f>(((BB30/AU30/$O30/238/$D30)*5*238)/1000)*10</f>
        <v>23.333333333333329</v>
      </c>
      <c r="BE30" s="40">
        <v>25000</v>
      </c>
      <c r="BF30" s="40">
        <v>0</v>
      </c>
      <c r="BG30" s="84">
        <f t="shared" si="20"/>
        <v>0</v>
      </c>
      <c r="BH30" s="40"/>
      <c r="BI30" s="40">
        <v>11200</v>
      </c>
      <c r="BJ30" s="40">
        <v>0</v>
      </c>
      <c r="BK30" s="83">
        <f t="shared" si="21"/>
        <v>0</v>
      </c>
      <c r="BL30" s="40"/>
      <c r="BM30" s="40">
        <v>85000</v>
      </c>
      <c r="BN30" s="40">
        <v>0</v>
      </c>
      <c r="BO30" s="87">
        <f t="shared" si="22"/>
        <v>0</v>
      </c>
      <c r="BQ30" s="41">
        <v>3.71</v>
      </c>
      <c r="BR30" s="84">
        <f t="shared" si="23"/>
        <v>9.1546342509309477E-4</v>
      </c>
      <c r="BT30" s="40">
        <v>0</v>
      </c>
      <c r="BU30" s="87">
        <f t="shared" si="24"/>
        <v>0</v>
      </c>
      <c r="BV30" s="40"/>
      <c r="BW30" s="22"/>
      <c r="BX30" s="22"/>
      <c r="BY30" s="22"/>
      <c r="BZ30" s="65"/>
      <c r="CA30" s="65"/>
      <c r="CB30" s="65"/>
      <c r="CC30" s="65"/>
      <c r="CD30" s="65"/>
      <c r="CE30" s="65"/>
      <c r="CF30" s="22"/>
      <c r="CG30" s="22"/>
      <c r="CH30" s="22"/>
      <c r="CI30" s="65"/>
      <c r="CJ30" s="65"/>
      <c r="CK30" s="65"/>
      <c r="CL30" s="65"/>
      <c r="CM30" s="65"/>
      <c r="CN30" s="65"/>
      <c r="CO30" s="22"/>
      <c r="CP30" s="22"/>
      <c r="CQ30" s="22"/>
      <c r="CR30" s="22"/>
      <c r="CS30" s="22"/>
      <c r="CT30" s="22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</row>
    <row r="31" spans="1:191" s="41" customFormat="1" x14ac:dyDescent="0.25">
      <c r="A31" s="79">
        <v>26</v>
      </c>
      <c r="B31" s="88" t="s">
        <v>28</v>
      </c>
      <c r="C31" s="91">
        <v>6</v>
      </c>
      <c r="D31" s="68">
        <v>2.5000000000000001E-2</v>
      </c>
      <c r="E31" s="81">
        <v>0.1241</v>
      </c>
      <c r="F31" s="81">
        <v>4.0000000000000001E-3</v>
      </c>
      <c r="G31" s="81">
        <v>7.1099999999999997E-2</v>
      </c>
      <c r="H31" s="81">
        <v>2.2000000000000001E-3</v>
      </c>
      <c r="I31" s="81">
        <v>1.0999999999999999E-2</v>
      </c>
      <c r="J31" s="81">
        <v>3.6600000000000001E-2</v>
      </c>
      <c r="K31" s="81">
        <v>4.3E-3</v>
      </c>
      <c r="L31" s="81">
        <v>7.0000000000000001E-3</v>
      </c>
      <c r="M31" s="81">
        <v>0.1042</v>
      </c>
      <c r="N31" s="81">
        <v>3.85E-2</v>
      </c>
      <c r="O31" s="81">
        <v>5.0000000000000001E-3</v>
      </c>
      <c r="P31" s="81">
        <v>0.1668</v>
      </c>
      <c r="Q31" s="81">
        <v>1.04E-2</v>
      </c>
      <c r="R31" s="81">
        <v>2.3E-3</v>
      </c>
      <c r="S31" s="81">
        <v>1.78E-2</v>
      </c>
      <c r="T31" s="81">
        <v>5.0799999999999998E-2</v>
      </c>
      <c r="U31" s="81">
        <v>3.3999999999999998E-3</v>
      </c>
      <c r="V31" s="81">
        <v>8.8999999999999999E-3</v>
      </c>
      <c r="W31" s="81">
        <v>1E-3</v>
      </c>
      <c r="X31" s="81">
        <v>0.35089999999999999</v>
      </c>
      <c r="Y31" s="81">
        <v>0.26779999999999998</v>
      </c>
      <c r="Z31" s="81">
        <v>1E-3</v>
      </c>
      <c r="AA31" s="81">
        <v>1E-3</v>
      </c>
      <c r="AB31" s="81">
        <v>0.24379999999999999</v>
      </c>
      <c r="AC31" s="81">
        <v>1E-3</v>
      </c>
      <c r="AD31" s="81">
        <v>1.72E-2</v>
      </c>
      <c r="AE31" s="81">
        <v>5.4000000000000003E-3</v>
      </c>
      <c r="AF31" s="81">
        <v>8.0000000000000004E-4</v>
      </c>
      <c r="AG31" s="40">
        <v>74500</v>
      </c>
      <c r="AH31" s="40">
        <v>93000</v>
      </c>
      <c r="AI31" s="82">
        <f t="shared" si="26"/>
        <v>20.118003991152406</v>
      </c>
      <c r="AJ31" s="40"/>
      <c r="AK31" s="40">
        <v>21200</v>
      </c>
      <c r="AL31" s="41">
        <v>3790000</v>
      </c>
      <c r="AM31" s="83">
        <f t="shared" si="0"/>
        <v>655.92949882832636</v>
      </c>
      <c r="AO31" s="40">
        <v>0</v>
      </c>
      <c r="AP31" s="84">
        <f>(((AO31/AK31/I31/175/$D31)*5*210)/1000)*10</f>
        <v>0</v>
      </c>
      <c r="AQ31" s="40"/>
      <c r="AR31" s="40">
        <v>0</v>
      </c>
      <c r="AS31" s="85">
        <f t="shared" si="19"/>
        <v>0</v>
      </c>
      <c r="AT31" s="40"/>
      <c r="AU31" s="40">
        <v>18200</v>
      </c>
      <c r="AV31" s="40">
        <v>730000</v>
      </c>
      <c r="AW31" s="86">
        <f t="shared" si="25"/>
        <v>769.86353377908063</v>
      </c>
      <c r="AX31" s="40"/>
      <c r="AY31" s="41">
        <v>39900</v>
      </c>
      <c r="AZ31" s="86">
        <f>(((AY31/$AU31/$N31/226/$D31)*5*226)/1000)*10</f>
        <v>113.88611388611389</v>
      </c>
      <c r="BB31" s="41">
        <v>3960</v>
      </c>
      <c r="BC31" s="86">
        <f>(((BB31/AU31/$O31/238/$D31)*5*238)/1000)*10</f>
        <v>87.032967032967022</v>
      </c>
      <c r="BE31" s="40">
        <v>21100</v>
      </c>
      <c r="BF31" s="40">
        <v>0</v>
      </c>
      <c r="BG31" s="84">
        <f t="shared" si="20"/>
        <v>0</v>
      </c>
      <c r="BH31" s="40"/>
      <c r="BI31" s="40">
        <v>11100</v>
      </c>
      <c r="BJ31" s="40">
        <v>0</v>
      </c>
      <c r="BK31" s="83">
        <f t="shared" si="21"/>
        <v>0</v>
      </c>
      <c r="BL31" s="40"/>
      <c r="BM31" s="40">
        <v>71400</v>
      </c>
      <c r="BN31" s="40">
        <v>0</v>
      </c>
      <c r="BO31" s="87">
        <f t="shared" si="22"/>
        <v>0</v>
      </c>
      <c r="BQ31" s="41">
        <v>0</v>
      </c>
      <c r="BR31" s="84">
        <f t="shared" si="23"/>
        <v>0</v>
      </c>
      <c r="BT31" s="40">
        <v>0</v>
      </c>
      <c r="BU31" s="87">
        <f t="shared" si="24"/>
        <v>0</v>
      </c>
      <c r="BV31" s="40"/>
      <c r="BW31" s="22"/>
      <c r="BX31" s="22"/>
      <c r="BY31" s="22"/>
      <c r="BZ31" s="65"/>
      <c r="CA31" s="65"/>
      <c r="CB31" s="65"/>
      <c r="CC31" s="65"/>
      <c r="CD31" s="65"/>
      <c r="CE31" s="65"/>
      <c r="CF31" s="22"/>
      <c r="CG31" s="22"/>
      <c r="CH31" s="22"/>
      <c r="CI31" s="65"/>
      <c r="CJ31" s="65"/>
      <c r="CK31" s="65"/>
      <c r="CL31" s="65"/>
      <c r="CM31" s="65"/>
      <c r="CN31" s="65"/>
      <c r="CO31" s="22"/>
      <c r="CP31" s="22"/>
      <c r="CQ31" s="22"/>
      <c r="CR31" s="22"/>
      <c r="CS31" s="22"/>
      <c r="CT31" s="22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</row>
    <row r="32" spans="1:191" x14ac:dyDescent="0.25">
      <c r="A32" s="79">
        <v>27</v>
      </c>
      <c r="B32" s="89" t="s">
        <v>24</v>
      </c>
      <c r="C32" s="91">
        <v>6</v>
      </c>
      <c r="D32" s="42">
        <v>2.5000000000000001E-2</v>
      </c>
      <c r="E32" s="81">
        <v>0.1241</v>
      </c>
      <c r="F32" s="81">
        <v>4.0000000000000001E-3</v>
      </c>
      <c r="G32" s="81">
        <v>7.1099999999999997E-2</v>
      </c>
      <c r="H32" s="81">
        <v>2.2000000000000001E-3</v>
      </c>
      <c r="I32" s="81">
        <v>1.0999999999999999E-2</v>
      </c>
      <c r="J32" s="81">
        <v>3.6600000000000001E-2</v>
      </c>
      <c r="K32" s="81">
        <v>4.3E-3</v>
      </c>
      <c r="L32" s="81">
        <v>7.0000000000000001E-3</v>
      </c>
      <c r="M32" s="81">
        <v>0.1042</v>
      </c>
      <c r="N32" s="81">
        <v>3.85E-2</v>
      </c>
      <c r="O32" s="81">
        <v>5.0000000000000001E-3</v>
      </c>
      <c r="P32" s="81">
        <v>0.1668</v>
      </c>
      <c r="Q32" s="81">
        <v>1.04E-2</v>
      </c>
      <c r="R32" s="81">
        <v>2.3E-3</v>
      </c>
      <c r="S32" s="81">
        <v>1.78E-2</v>
      </c>
      <c r="T32" s="81">
        <v>5.0799999999999998E-2</v>
      </c>
      <c r="U32" s="81">
        <v>3.3999999999999998E-3</v>
      </c>
      <c r="V32" s="81">
        <v>8.8999999999999999E-3</v>
      </c>
      <c r="W32" s="81">
        <v>1E-3</v>
      </c>
      <c r="X32" s="81">
        <v>0.35089999999999999</v>
      </c>
      <c r="Y32" s="81">
        <v>0.26779999999999998</v>
      </c>
      <c r="Z32" s="81">
        <v>1E-3</v>
      </c>
      <c r="AA32" s="81">
        <v>1E-3</v>
      </c>
      <c r="AB32" s="81">
        <v>0.24379999999999999</v>
      </c>
      <c r="AC32" s="81">
        <v>1E-3</v>
      </c>
      <c r="AD32" s="81">
        <v>1.72E-2</v>
      </c>
      <c r="AE32" s="81">
        <v>5.4000000000000003E-3</v>
      </c>
      <c r="AF32" s="81">
        <v>8.0000000000000004E-4</v>
      </c>
      <c r="AG32" s="40">
        <v>37500</v>
      </c>
      <c r="AH32" s="40">
        <v>57200</v>
      </c>
      <c r="AI32" s="82">
        <f t="shared" si="26"/>
        <v>24.58232608111738</v>
      </c>
      <c r="AJ32" s="40"/>
      <c r="AK32" s="40">
        <v>13300</v>
      </c>
      <c r="AL32" s="41">
        <v>494000</v>
      </c>
      <c r="AM32" s="83">
        <f t="shared" si="0"/>
        <v>136.27905757790185</v>
      </c>
      <c r="AN32" s="41"/>
      <c r="AO32" s="40">
        <v>0</v>
      </c>
      <c r="AP32" s="84">
        <f>((AO32/AK32/I43/175/$D43)*5*175)/1000</f>
        <v>0</v>
      </c>
      <c r="AQ32" s="40"/>
      <c r="AR32" s="40">
        <v>0</v>
      </c>
      <c r="AS32" s="85">
        <f>((AR32/AG43/L43/226/$D43)*5*226)/1000</f>
        <v>0</v>
      </c>
      <c r="AT32" s="40"/>
      <c r="AU32" s="40">
        <v>7210</v>
      </c>
      <c r="AV32" s="40">
        <v>204000</v>
      </c>
      <c r="AW32" s="86">
        <f t="shared" si="25"/>
        <v>543.07170942469008</v>
      </c>
      <c r="AX32" s="40"/>
      <c r="AY32" s="41">
        <v>15000</v>
      </c>
      <c r="AZ32" s="86" t="e">
        <f>(((AY32/#REF!/$N32/226/$D32)*5*226)/1000)*10</f>
        <v>#REF!</v>
      </c>
      <c r="BA32" s="41"/>
      <c r="BB32" s="41">
        <v>541</v>
      </c>
      <c r="BC32" s="86" t="e">
        <f>(((BB32/#REF!/$O32/238/$D32)*5*238)/1000)*10</f>
        <v>#REF!</v>
      </c>
      <c r="BD32" s="41"/>
      <c r="BE32" s="40">
        <v>13600</v>
      </c>
      <c r="BF32" s="40">
        <v>0</v>
      </c>
      <c r="BG32" s="84">
        <f t="shared" si="20"/>
        <v>0</v>
      </c>
      <c r="BH32" s="40"/>
      <c r="BI32" s="40">
        <v>9040</v>
      </c>
      <c r="BJ32" s="40">
        <v>0</v>
      </c>
      <c r="BK32" s="83">
        <f t="shared" si="21"/>
        <v>0</v>
      </c>
      <c r="BL32" s="40"/>
      <c r="BM32" s="40">
        <v>739000</v>
      </c>
      <c r="BN32" s="40">
        <v>1060</v>
      </c>
      <c r="BO32" s="87">
        <f>(((BN32/$BM32/T32/293/$D32)*5*293)/1000)*10</f>
        <v>5.6471290209156873E-2</v>
      </c>
      <c r="BP32" s="40"/>
      <c r="BQ32" s="41">
        <v>0</v>
      </c>
      <c r="BR32" s="84">
        <f>((BQ32/AU32/$W32/306/$D32/35.549055)*5*306)/1000</f>
        <v>0</v>
      </c>
      <c r="BS32" s="41"/>
      <c r="BT32" s="40">
        <v>0</v>
      </c>
      <c r="BU32" s="87">
        <f>BT32/$BM32/X32/309/$D32</f>
        <v>0</v>
      </c>
      <c r="BV32" s="40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</row>
    <row r="33" spans="1:191" x14ac:dyDescent="0.25">
      <c r="A33" s="79">
        <v>28</v>
      </c>
      <c r="B33" s="89" t="s">
        <v>25</v>
      </c>
      <c r="C33" s="91">
        <v>6</v>
      </c>
      <c r="D33" s="42">
        <v>2.5000000000000001E-2</v>
      </c>
      <c r="E33" s="81">
        <v>0.1241</v>
      </c>
      <c r="F33" s="81">
        <v>4.0000000000000001E-3</v>
      </c>
      <c r="G33" s="81">
        <v>7.1099999999999997E-2</v>
      </c>
      <c r="H33" s="81">
        <v>2.2000000000000001E-3</v>
      </c>
      <c r="I33" s="81">
        <v>1.0999999999999999E-2</v>
      </c>
      <c r="J33" s="81">
        <v>3.6600000000000001E-2</v>
      </c>
      <c r="K33" s="81">
        <v>4.3E-3</v>
      </c>
      <c r="L33" s="81">
        <v>7.0000000000000001E-3</v>
      </c>
      <c r="M33" s="81">
        <v>0.1042</v>
      </c>
      <c r="N33" s="81">
        <v>3.85E-2</v>
      </c>
      <c r="O33" s="81">
        <v>5.0000000000000001E-3</v>
      </c>
      <c r="P33" s="81">
        <v>0.1668</v>
      </c>
      <c r="Q33" s="81">
        <v>1.04E-2</v>
      </c>
      <c r="R33" s="81">
        <v>2.3E-3</v>
      </c>
      <c r="S33" s="81">
        <v>1.78E-2</v>
      </c>
      <c r="T33" s="81">
        <v>5.0799999999999998E-2</v>
      </c>
      <c r="U33" s="81">
        <v>3.3999999999999998E-3</v>
      </c>
      <c r="V33" s="81">
        <v>8.8999999999999999E-3</v>
      </c>
      <c r="W33" s="81">
        <v>1E-3</v>
      </c>
      <c r="X33" s="81">
        <v>0.35089999999999999</v>
      </c>
      <c r="Y33" s="81">
        <v>0.26779999999999998</v>
      </c>
      <c r="Z33" s="81">
        <v>1E-3</v>
      </c>
      <c r="AA33" s="81">
        <v>1E-3</v>
      </c>
      <c r="AB33" s="81">
        <v>0.24379999999999999</v>
      </c>
      <c r="AC33" s="81">
        <v>1E-3</v>
      </c>
      <c r="AD33" s="81">
        <v>1.72E-2</v>
      </c>
      <c r="AE33" s="81">
        <v>5.4000000000000003E-3</v>
      </c>
      <c r="AF33" s="81">
        <v>8.0000000000000004E-4</v>
      </c>
      <c r="AG33" s="40">
        <v>49500</v>
      </c>
      <c r="AH33" s="40">
        <v>39000</v>
      </c>
      <c r="AI33" s="82">
        <f t="shared" si="26"/>
        <v>12.697482479916001</v>
      </c>
      <c r="AJ33" s="40"/>
      <c r="AK33" s="40">
        <v>20400</v>
      </c>
      <c r="AL33" s="41">
        <v>791000</v>
      </c>
      <c r="AM33" s="83">
        <f t="shared" si="0"/>
        <v>142.26567530332625</v>
      </c>
      <c r="AN33" s="41"/>
      <c r="AO33" s="40">
        <v>0</v>
      </c>
      <c r="AP33" s="84">
        <f>((AO33/AK33/I44/175/$D44)*5*175)/1000</f>
        <v>0</v>
      </c>
      <c r="AQ33" s="40"/>
      <c r="AR33" s="40">
        <v>0</v>
      </c>
      <c r="AS33" s="85">
        <f>((AR33/AG44/L44/226/$D44)*5*226)/1000</f>
        <v>0</v>
      </c>
      <c r="AT33" s="40"/>
      <c r="AU33" s="40">
        <v>14500</v>
      </c>
      <c r="AV33" s="40">
        <v>410000</v>
      </c>
      <c r="AW33" s="86">
        <f t="shared" si="25"/>
        <v>542.72288040240915</v>
      </c>
      <c r="AX33" s="40"/>
      <c r="AY33" s="41">
        <v>16100</v>
      </c>
      <c r="AZ33" s="86" t="e">
        <f>(((AY33/#REF!/$N33/226/$D33)*5*226)/1000)*10</f>
        <v>#REF!</v>
      </c>
      <c r="BA33" s="41"/>
      <c r="BB33" s="41">
        <v>1810</v>
      </c>
      <c r="BC33" s="86" t="e">
        <f>(((BB33/#REF!/$O33/238/$D33)*5*238)/1000)*10</f>
        <v>#REF!</v>
      </c>
      <c r="BD33" s="41"/>
      <c r="BE33" s="40">
        <v>16100</v>
      </c>
      <c r="BF33" s="40">
        <v>0</v>
      </c>
      <c r="BG33" s="84">
        <f t="shared" si="20"/>
        <v>0</v>
      </c>
      <c r="BH33" s="40"/>
      <c r="BI33" s="40">
        <v>7930</v>
      </c>
      <c r="BJ33" s="40">
        <v>0</v>
      </c>
      <c r="BK33" s="83">
        <f t="shared" si="21"/>
        <v>0</v>
      </c>
      <c r="BL33" s="40"/>
      <c r="BM33" s="40">
        <v>755000</v>
      </c>
      <c r="BN33" s="40">
        <v>652</v>
      </c>
      <c r="BO33" s="87">
        <f>(((BN33/$BM33/T33/293/$D33)*5*293)/1000)*10</f>
        <v>3.3999061375606189E-2</v>
      </c>
      <c r="BP33" s="40"/>
      <c r="BQ33" s="41">
        <v>0</v>
      </c>
      <c r="BR33" s="84">
        <f>((BQ33/AU33/$W33/306/$D33/35.549055)*5*306)/1000</f>
        <v>0</v>
      </c>
      <c r="BS33" s="41"/>
      <c r="BT33" s="40">
        <v>0</v>
      </c>
      <c r="BU33" s="87">
        <f>BT33/$BM33/X33/309/$D33</f>
        <v>0</v>
      </c>
      <c r="BV33" s="40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</row>
    <row r="34" spans="1:191" x14ac:dyDescent="0.25">
      <c r="A34" s="79">
        <v>29</v>
      </c>
      <c r="B34" s="90" t="s">
        <v>26</v>
      </c>
      <c r="C34" s="91">
        <v>6</v>
      </c>
      <c r="D34" s="42">
        <v>1</v>
      </c>
      <c r="E34" s="81">
        <v>0.1241</v>
      </c>
      <c r="F34" s="81">
        <v>4.0000000000000001E-3</v>
      </c>
      <c r="G34" s="81">
        <v>7.1099999999999997E-2</v>
      </c>
      <c r="H34" s="81">
        <v>2.2000000000000001E-3</v>
      </c>
      <c r="I34" s="81">
        <v>1.0999999999999999E-2</v>
      </c>
      <c r="J34" s="81">
        <v>3.6600000000000001E-2</v>
      </c>
      <c r="K34" s="81">
        <v>4.3E-3</v>
      </c>
      <c r="L34" s="81">
        <v>7.0000000000000001E-3</v>
      </c>
      <c r="M34" s="81">
        <v>0.1042</v>
      </c>
      <c r="N34" s="81">
        <v>3.85E-2</v>
      </c>
      <c r="O34" s="81">
        <v>5.0000000000000001E-3</v>
      </c>
      <c r="P34" s="81">
        <v>0.1668</v>
      </c>
      <c r="Q34" s="81">
        <v>1.04E-2</v>
      </c>
      <c r="R34" s="81">
        <v>2.3E-3</v>
      </c>
      <c r="S34" s="81">
        <v>1.78E-2</v>
      </c>
      <c r="T34" s="81">
        <v>5.0799999999999998E-2</v>
      </c>
      <c r="U34" s="81">
        <v>3.3999999999999998E-3</v>
      </c>
      <c r="V34" s="81">
        <v>8.8999999999999999E-3</v>
      </c>
      <c r="W34" s="81">
        <v>1E-3</v>
      </c>
      <c r="X34" s="81">
        <v>0.35089999999999999</v>
      </c>
      <c r="Y34" s="81">
        <v>0.26779999999999998</v>
      </c>
      <c r="Z34" s="81">
        <v>1E-3</v>
      </c>
      <c r="AA34" s="81">
        <v>1E-3</v>
      </c>
      <c r="AB34" s="81">
        <v>0.24379999999999999</v>
      </c>
      <c r="AC34" s="81">
        <v>1E-3</v>
      </c>
      <c r="AD34" s="81">
        <v>1.72E-2</v>
      </c>
      <c r="AE34" s="81">
        <v>5.4000000000000003E-3</v>
      </c>
      <c r="AF34" s="81">
        <v>8.0000000000000004E-4</v>
      </c>
      <c r="AG34" s="40">
        <v>466000</v>
      </c>
      <c r="AH34" s="40">
        <v>13400</v>
      </c>
      <c r="AI34" s="82">
        <f t="shared" ref="AI34:AI36" si="27">((AH34/AG34/E34/138/$D34)*5*138)/1000</f>
        <v>1.1585561968923028E-3</v>
      </c>
      <c r="AJ34" s="41"/>
      <c r="AK34" s="40">
        <v>24300</v>
      </c>
      <c r="AL34" s="41">
        <v>271000</v>
      </c>
      <c r="AM34" s="83">
        <f>((AL34/$AK34/G34/161/$D34)*5*161)/1000</f>
        <v>0.78426606009040778</v>
      </c>
      <c r="AN34" s="41"/>
      <c r="AO34" s="40">
        <v>0</v>
      </c>
      <c r="AP34" s="84">
        <f>((AO34/AK34/I34/175/$D34)*5*175)/1000</f>
        <v>0</v>
      </c>
      <c r="AQ34" s="40"/>
      <c r="AR34" s="40">
        <v>57900</v>
      </c>
      <c r="AS34" s="85">
        <f>((AR34/AG34/L34/226/$D34)*5*226)/1000</f>
        <v>8.8749233599019026E-2</v>
      </c>
      <c r="AT34" s="40"/>
      <c r="AU34" s="40">
        <v>105000</v>
      </c>
      <c r="AV34" s="40">
        <v>162000</v>
      </c>
      <c r="AW34" s="86">
        <f>((AV34/AU34/M34/210/$D34)*5*210)/1000</f>
        <v>7.4033452152454077E-2</v>
      </c>
      <c r="AX34" s="40"/>
      <c r="AY34" s="41">
        <v>900000</v>
      </c>
      <c r="AZ34" s="86">
        <f>((AY34/$AU34/$N34/226/$D34)*5*226)/1000</f>
        <v>1.1131725417439702</v>
      </c>
      <c r="BA34" s="41"/>
      <c r="BB34" s="41">
        <v>5.57</v>
      </c>
      <c r="BC34" s="86">
        <f t="shared" ref="BC34:BC36" si="28">((BB34/AU34/$O34/238/$D34)*5*238)/1000</f>
        <v>5.3047619047619049E-5</v>
      </c>
      <c r="BD34" s="41"/>
      <c r="BE34" s="40">
        <v>103000</v>
      </c>
      <c r="BF34" s="40">
        <v>0</v>
      </c>
      <c r="BG34" s="84">
        <f t="shared" si="20"/>
        <v>0</v>
      </c>
      <c r="BH34" s="40"/>
      <c r="BI34" s="40">
        <v>93200</v>
      </c>
      <c r="BJ34" s="40">
        <v>1010</v>
      </c>
      <c r="BK34" s="83">
        <f t="shared" si="21"/>
        <v>3.0440758065293921E-3</v>
      </c>
      <c r="BL34" s="40"/>
      <c r="BM34" s="40">
        <v>775000</v>
      </c>
      <c r="BN34" s="40">
        <v>771</v>
      </c>
      <c r="BO34" s="87">
        <f t="shared" ref="BO34:BO42" si="29">((BN34/$BM34/T34/293/$D34)*5*293)/1000</f>
        <v>9.7917195834391663E-5</v>
      </c>
      <c r="BP34" s="41"/>
      <c r="BQ34" s="41">
        <v>1240</v>
      </c>
      <c r="BR34" s="84">
        <f t="shared" ref="BR34:BR54" si="30">((BQ34/$AU34/$W34/306/$D34/35.549055)*5*306)/1000</f>
        <v>1.6610179665146952E-3</v>
      </c>
      <c r="BS34" s="41"/>
      <c r="BT34" s="40">
        <v>712</v>
      </c>
      <c r="BU34" s="87">
        <f>BT34/$BM34/X34/309/$D34</f>
        <v>8.4729851156605607E-6</v>
      </c>
      <c r="BV34" s="40"/>
      <c r="BW34" s="22"/>
      <c r="BX34" s="22"/>
      <c r="BY34" s="22"/>
      <c r="BZ34" s="65"/>
      <c r="CA34" s="65"/>
      <c r="CB34" s="65"/>
      <c r="CC34" s="65"/>
      <c r="CD34" s="65"/>
      <c r="CE34" s="65"/>
      <c r="CF34" s="22"/>
      <c r="CG34" s="22"/>
      <c r="CH34" s="22"/>
      <c r="CI34" s="65"/>
      <c r="CJ34" s="65"/>
      <c r="CK34" s="65"/>
      <c r="CL34" s="65"/>
      <c r="CM34" s="65"/>
      <c r="CN34" s="65"/>
      <c r="CO34" s="22"/>
      <c r="CP34" s="22"/>
      <c r="CQ34" s="22"/>
      <c r="CR34" s="22"/>
      <c r="CS34" s="22"/>
      <c r="CT34" s="22"/>
      <c r="CU34" s="65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</row>
    <row r="35" spans="1:191" x14ac:dyDescent="0.25">
      <c r="A35" s="79">
        <v>30</v>
      </c>
      <c r="B35" s="90" t="s">
        <v>27</v>
      </c>
      <c r="C35" s="91">
        <v>6</v>
      </c>
      <c r="D35" s="42">
        <v>1</v>
      </c>
      <c r="E35" s="81">
        <v>0.1241</v>
      </c>
      <c r="F35" s="81">
        <v>4.0000000000000001E-3</v>
      </c>
      <c r="G35" s="81">
        <v>7.1099999999999997E-2</v>
      </c>
      <c r="H35" s="81">
        <v>2.2000000000000001E-3</v>
      </c>
      <c r="I35" s="81">
        <v>1.0999999999999999E-2</v>
      </c>
      <c r="J35" s="81">
        <v>3.6600000000000001E-2</v>
      </c>
      <c r="K35" s="81">
        <v>4.3E-3</v>
      </c>
      <c r="L35" s="81">
        <v>7.0000000000000001E-3</v>
      </c>
      <c r="M35" s="81">
        <v>0.1042</v>
      </c>
      <c r="N35" s="81">
        <v>3.85E-2</v>
      </c>
      <c r="O35" s="81">
        <v>5.0000000000000001E-3</v>
      </c>
      <c r="P35" s="81">
        <v>0.1668</v>
      </c>
      <c r="Q35" s="81">
        <v>1.04E-2</v>
      </c>
      <c r="R35" s="81">
        <v>2.3E-3</v>
      </c>
      <c r="S35" s="81">
        <v>1.78E-2</v>
      </c>
      <c r="T35" s="81">
        <v>5.0799999999999998E-2</v>
      </c>
      <c r="U35" s="81">
        <v>3.3999999999999998E-3</v>
      </c>
      <c r="V35" s="81">
        <v>8.8999999999999999E-3</v>
      </c>
      <c r="W35" s="81">
        <v>1E-3</v>
      </c>
      <c r="X35" s="81">
        <v>0.35089999999999999</v>
      </c>
      <c r="Y35" s="81">
        <v>0.26779999999999998</v>
      </c>
      <c r="Z35" s="81">
        <v>1E-3</v>
      </c>
      <c r="AA35" s="81">
        <v>1E-3</v>
      </c>
      <c r="AB35" s="81">
        <v>0.24379999999999999</v>
      </c>
      <c r="AC35" s="81">
        <v>1E-3</v>
      </c>
      <c r="AD35" s="81">
        <v>1.72E-2</v>
      </c>
      <c r="AE35" s="81">
        <v>5.4000000000000003E-3</v>
      </c>
      <c r="AF35" s="81">
        <v>8.0000000000000004E-4</v>
      </c>
      <c r="AG35" s="40">
        <v>466000</v>
      </c>
      <c r="AH35" s="40">
        <v>45400</v>
      </c>
      <c r="AI35" s="82">
        <f t="shared" si="27"/>
        <v>3.9252575626052642E-3</v>
      </c>
      <c r="AJ35" s="41"/>
      <c r="AK35" s="40">
        <v>16200</v>
      </c>
      <c r="AL35" s="41">
        <v>40300</v>
      </c>
      <c r="AM35" s="83">
        <f>((AL35/$AK35/G35/161/$D35)*5*161)/1000</f>
        <v>0.17494052890208539</v>
      </c>
      <c r="AN35" s="41"/>
      <c r="AO35" s="40">
        <v>0</v>
      </c>
      <c r="AP35" s="84">
        <f>((AO35/AK35/I35/175/$D35)*5*175)/1000</f>
        <v>0</v>
      </c>
      <c r="AQ35" s="40"/>
      <c r="AR35" s="40">
        <v>91300</v>
      </c>
      <c r="AS35" s="85">
        <f>((AR35/AG35/L35/226/$D35)*5*226)/1000</f>
        <v>0.13994481912936849</v>
      </c>
      <c r="AT35" s="40"/>
      <c r="AU35" s="40">
        <v>109000</v>
      </c>
      <c r="AV35" s="40">
        <v>501000</v>
      </c>
      <c r="AW35" s="86">
        <f>((AV35/AU35/M35/210/$D35)*5*210)/1000</f>
        <v>0.22055327616263709</v>
      </c>
      <c r="AX35" s="40"/>
      <c r="AY35" s="41">
        <v>1070000</v>
      </c>
      <c r="AZ35" s="86">
        <f>((AY35/$AU35/$N35/226/$D35)*5*226)/1000</f>
        <v>1.2748719170737519</v>
      </c>
      <c r="BA35" s="41"/>
      <c r="BB35" s="41">
        <v>1250</v>
      </c>
      <c r="BC35" s="86">
        <f t="shared" si="28"/>
        <v>1.146788990825688E-2</v>
      </c>
      <c r="BD35" s="41"/>
      <c r="BE35" s="40">
        <v>96600</v>
      </c>
      <c r="BF35" s="40">
        <v>0</v>
      </c>
      <c r="BG35" s="84">
        <f t="shared" si="20"/>
        <v>0</v>
      </c>
      <c r="BH35" s="40"/>
      <c r="BI35" s="40">
        <v>58300</v>
      </c>
      <c r="BJ35" s="40">
        <v>0</v>
      </c>
      <c r="BK35" s="83">
        <f t="shared" si="21"/>
        <v>0</v>
      </c>
      <c r="BL35" s="40"/>
      <c r="BM35" s="40">
        <v>759000</v>
      </c>
      <c r="BN35" s="40">
        <v>1330</v>
      </c>
      <c r="BO35" s="87">
        <f t="shared" si="29"/>
        <v>1.7247103005404958E-4</v>
      </c>
      <c r="BP35" s="41"/>
      <c r="BQ35" s="41">
        <v>1280</v>
      </c>
      <c r="BR35" s="84">
        <f t="shared" si="30"/>
        <v>1.6516781200027744E-3</v>
      </c>
      <c r="BS35" s="41"/>
      <c r="BT35" s="40">
        <v>977</v>
      </c>
      <c r="BU35" s="87">
        <f>BT35/$BM35/X35/309/$D35</f>
        <v>1.1871646061772372E-5</v>
      </c>
      <c r="BV35" s="40"/>
      <c r="BW35" s="22"/>
      <c r="BX35" s="22"/>
      <c r="BY35" s="22"/>
      <c r="BZ35" s="65"/>
      <c r="CA35" s="65"/>
      <c r="CB35" s="65"/>
      <c r="CC35" s="65"/>
      <c r="CD35" s="65"/>
      <c r="CE35" s="65"/>
      <c r="CF35" s="22"/>
      <c r="CG35" s="22"/>
      <c r="CH35" s="22"/>
      <c r="CI35" s="65"/>
      <c r="CJ35" s="65"/>
      <c r="CK35" s="65"/>
      <c r="CL35" s="65"/>
      <c r="CM35" s="65"/>
      <c r="CN35" s="65"/>
      <c r="CO35" s="22"/>
      <c r="CP35" s="22"/>
      <c r="CQ35" s="22"/>
      <c r="CR35" s="22"/>
      <c r="CS35" s="22"/>
      <c r="CT35" s="22"/>
      <c r="CU35" s="65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</row>
    <row r="36" spans="1:191" x14ac:dyDescent="0.25">
      <c r="A36" s="79">
        <v>31</v>
      </c>
      <c r="B36" s="90" t="s">
        <v>29</v>
      </c>
      <c r="C36" s="91">
        <v>6</v>
      </c>
      <c r="D36" s="42">
        <v>1</v>
      </c>
      <c r="E36" s="81">
        <v>0.1241</v>
      </c>
      <c r="F36" s="81">
        <v>4.0000000000000001E-3</v>
      </c>
      <c r="G36" s="81">
        <v>7.1099999999999997E-2</v>
      </c>
      <c r="H36" s="81">
        <v>2.2000000000000001E-3</v>
      </c>
      <c r="I36" s="81">
        <v>1.0999999999999999E-2</v>
      </c>
      <c r="J36" s="81">
        <v>3.6600000000000001E-2</v>
      </c>
      <c r="K36" s="81">
        <v>4.3E-3</v>
      </c>
      <c r="L36" s="81">
        <v>7.0000000000000001E-3</v>
      </c>
      <c r="M36" s="81">
        <v>0.1042</v>
      </c>
      <c r="N36" s="81">
        <v>3.85E-2</v>
      </c>
      <c r="O36" s="81">
        <v>5.0000000000000001E-3</v>
      </c>
      <c r="P36" s="81">
        <v>0.1668</v>
      </c>
      <c r="Q36" s="81">
        <v>1.04E-2</v>
      </c>
      <c r="R36" s="81">
        <v>2.3E-3</v>
      </c>
      <c r="S36" s="81">
        <v>1.78E-2</v>
      </c>
      <c r="T36" s="81">
        <v>5.0799999999999998E-2</v>
      </c>
      <c r="U36" s="81">
        <v>3.3999999999999998E-3</v>
      </c>
      <c r="V36" s="81">
        <v>8.8999999999999999E-3</v>
      </c>
      <c r="W36" s="81">
        <v>1E-3</v>
      </c>
      <c r="X36" s="81">
        <v>0.35089999999999999</v>
      </c>
      <c r="Y36" s="81">
        <v>0.26779999999999998</v>
      </c>
      <c r="Z36" s="81">
        <v>1E-3</v>
      </c>
      <c r="AA36" s="81">
        <v>1E-3</v>
      </c>
      <c r="AB36" s="81">
        <v>0.24379999999999999</v>
      </c>
      <c r="AC36" s="81">
        <v>1E-3</v>
      </c>
      <c r="AD36" s="81">
        <v>1.72E-2</v>
      </c>
      <c r="AE36" s="81">
        <v>5.4000000000000003E-3</v>
      </c>
      <c r="AF36" s="81">
        <v>8.0000000000000004E-4</v>
      </c>
      <c r="AG36" s="40">
        <v>498000</v>
      </c>
      <c r="AH36" s="40">
        <v>13900</v>
      </c>
      <c r="AI36" s="82">
        <f t="shared" si="27"/>
        <v>1.1245627150018283E-3</v>
      </c>
      <c r="AJ36" s="41"/>
      <c r="AK36" s="40">
        <v>17300</v>
      </c>
      <c r="AL36" s="41">
        <v>58700</v>
      </c>
      <c r="AM36" s="83">
        <f>((AL36/$AK36/G36/161/$D36)*5*161)/1000</f>
        <v>0.23861206637236493</v>
      </c>
      <c r="AN36" s="41"/>
      <c r="AO36" s="40">
        <v>0</v>
      </c>
      <c r="AP36" s="84">
        <f>((AO36/AK36/I36/175/$D36)*5*175)/1000</f>
        <v>0</v>
      </c>
      <c r="AQ36" s="40"/>
      <c r="AR36" s="40">
        <v>70900</v>
      </c>
      <c r="AS36" s="85">
        <f>((AR36/AG36/L36/226/$D36)*5*226)/1000</f>
        <v>0.10169248422260468</v>
      </c>
      <c r="AT36" s="40"/>
      <c r="AU36" s="40">
        <v>113000</v>
      </c>
      <c r="AV36" s="40">
        <v>141000</v>
      </c>
      <c r="AW36" s="86">
        <f>((AV36/AU36/M36/210/$D36)*5*210)/1000</f>
        <v>5.9874645423199084E-2</v>
      </c>
      <c r="AX36" s="40"/>
      <c r="AY36" s="41">
        <v>781000</v>
      </c>
      <c r="AZ36" s="86">
        <f>((AY36/$AU36/$N36/226/$D36)*5*226)/1000</f>
        <v>0.89759797724399504</v>
      </c>
      <c r="BA36" s="41"/>
      <c r="BB36" s="41">
        <v>541</v>
      </c>
      <c r="BC36" s="86">
        <f t="shared" si="28"/>
        <v>4.7876106194690267E-3</v>
      </c>
      <c r="BD36" s="41"/>
      <c r="BE36" s="40">
        <v>134000</v>
      </c>
      <c r="BF36" s="40">
        <v>0</v>
      </c>
      <c r="BG36" s="84">
        <f t="shared" si="20"/>
        <v>0</v>
      </c>
      <c r="BH36" s="40"/>
      <c r="BI36" s="40">
        <v>31000</v>
      </c>
      <c r="BJ36" s="40">
        <v>0</v>
      </c>
      <c r="BK36" s="83">
        <f t="shared" si="21"/>
        <v>0</v>
      </c>
      <c r="BL36" s="40"/>
      <c r="BM36" s="40">
        <v>792000</v>
      </c>
      <c r="BN36" s="40">
        <v>746</v>
      </c>
      <c r="BO36" s="87">
        <f t="shared" si="29"/>
        <v>9.2708581881810226E-5</v>
      </c>
      <c r="BP36" s="41"/>
      <c r="BQ36" s="41">
        <v>0</v>
      </c>
      <c r="BR36" s="84">
        <f t="shared" si="30"/>
        <v>0</v>
      </c>
      <c r="BS36" s="41"/>
      <c r="BT36" s="40">
        <v>677</v>
      </c>
      <c r="BU36" s="87">
        <f>BT36/$BM36/X36/309/$D36</f>
        <v>7.88354660644224E-6</v>
      </c>
      <c r="BV36" s="40"/>
      <c r="BW36" s="22"/>
      <c r="BX36" s="22"/>
      <c r="BY36" s="22"/>
      <c r="BZ36" s="65"/>
      <c r="CA36" s="65"/>
      <c r="CB36" s="65"/>
      <c r="CC36" s="65"/>
      <c r="CD36" s="65"/>
      <c r="CE36" s="65"/>
      <c r="CF36" s="22"/>
      <c r="CG36" s="22"/>
      <c r="CH36" s="22"/>
      <c r="CI36" s="65"/>
      <c r="CJ36" s="65"/>
      <c r="CK36" s="65"/>
      <c r="CL36" s="65"/>
      <c r="CM36" s="65"/>
      <c r="CN36" s="65"/>
      <c r="CO36" s="22"/>
      <c r="CP36" s="22"/>
      <c r="CQ36" s="22"/>
      <c r="CR36" s="22"/>
      <c r="CS36" s="22"/>
      <c r="CT36" s="22"/>
      <c r="CU36" s="65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91" s="41" customFormat="1" x14ac:dyDescent="0.25">
      <c r="A37" s="79">
        <v>32</v>
      </c>
      <c r="B37" s="80" t="s">
        <v>19</v>
      </c>
      <c r="C37" s="91">
        <v>9</v>
      </c>
      <c r="D37" s="42">
        <v>0.01</v>
      </c>
      <c r="E37" s="81">
        <v>0.1241</v>
      </c>
      <c r="F37" s="81">
        <v>4.0000000000000001E-3</v>
      </c>
      <c r="G37" s="81">
        <v>7.1099999999999997E-2</v>
      </c>
      <c r="H37" s="81">
        <v>2.2000000000000001E-3</v>
      </c>
      <c r="I37" s="81">
        <v>1.0999999999999999E-2</v>
      </c>
      <c r="J37" s="81">
        <v>3.6600000000000001E-2</v>
      </c>
      <c r="K37" s="81">
        <v>4.3E-3</v>
      </c>
      <c r="L37" s="81">
        <v>7.0000000000000001E-3</v>
      </c>
      <c r="M37" s="81">
        <v>0.1042</v>
      </c>
      <c r="N37" s="81">
        <v>3.85E-2</v>
      </c>
      <c r="O37" s="81">
        <v>5.0000000000000001E-3</v>
      </c>
      <c r="P37" s="81">
        <v>0.1668</v>
      </c>
      <c r="Q37" s="81">
        <v>1.04E-2</v>
      </c>
      <c r="R37" s="81">
        <v>2.3E-3</v>
      </c>
      <c r="S37" s="81">
        <v>1.78E-2</v>
      </c>
      <c r="T37" s="81">
        <v>5.0799999999999998E-2</v>
      </c>
      <c r="U37" s="81">
        <v>3.3999999999999998E-3</v>
      </c>
      <c r="V37" s="81">
        <v>8.8999999999999999E-3</v>
      </c>
      <c r="W37" s="81">
        <v>1E-3</v>
      </c>
      <c r="X37" s="81">
        <v>0.35089999999999999</v>
      </c>
      <c r="Y37" s="81">
        <v>0.26779999999999998</v>
      </c>
      <c r="Z37" s="81">
        <v>1E-3</v>
      </c>
      <c r="AA37" s="81">
        <v>1E-3</v>
      </c>
      <c r="AB37" s="81">
        <v>0.24379999999999999</v>
      </c>
      <c r="AC37" s="81">
        <v>1E-3</v>
      </c>
      <c r="AD37" s="81">
        <v>1.72E-2</v>
      </c>
      <c r="AE37" s="81">
        <v>5.4000000000000003E-3</v>
      </c>
      <c r="AF37" s="81">
        <v>8.0000000000000004E-4</v>
      </c>
      <c r="AG37" s="40">
        <v>103000</v>
      </c>
      <c r="AH37" s="40">
        <v>1910</v>
      </c>
      <c r="AI37" s="82">
        <f>(((AH37/AG37/E37/138/$D37)*5*138)/1000)*10</f>
        <v>0.74712688639759661</v>
      </c>
      <c r="AK37" s="40">
        <v>22600</v>
      </c>
      <c r="AL37" s="41">
        <v>522000</v>
      </c>
      <c r="AM37" s="83">
        <f t="shared" si="0"/>
        <v>211.86337491050602</v>
      </c>
      <c r="AO37" s="40">
        <v>0</v>
      </c>
      <c r="AP37" s="84">
        <f t="shared" ref="AP37:AP42" si="31">(((AO37/AK37/I37/175/$D37)*5*210)/1000)*10</f>
        <v>0</v>
      </c>
      <c r="AQ37" s="40"/>
      <c r="AR37" s="40">
        <v>0</v>
      </c>
      <c r="AS37" s="85">
        <f t="shared" ref="AS37:AS42" si="32">((AR37/AG37/L37/226/$D37)*5*210)/1000</f>
        <v>0</v>
      </c>
      <c r="AT37" s="40"/>
      <c r="AU37" s="40">
        <v>24000</v>
      </c>
      <c r="AV37" s="40">
        <v>202000</v>
      </c>
      <c r="AW37" s="86">
        <f t="shared" si="25"/>
        <v>403.87076135636596</v>
      </c>
      <c r="AX37" s="40"/>
      <c r="AY37" s="41">
        <v>10700</v>
      </c>
      <c r="AZ37" s="86">
        <f t="shared" ref="AZ37:AZ45" si="33">(((AY37/$AU37/$N37/226/$D37)*5*226)/1000)*10</f>
        <v>57.900432900432897</v>
      </c>
      <c r="BB37" s="41">
        <v>494</v>
      </c>
      <c r="BC37" s="86">
        <f t="shared" ref="BC37:BC43" si="34">(((BB37/AU37/$O37/238/$D37)*5*238)/1000)*10</f>
        <v>20.583333333333329</v>
      </c>
      <c r="BE37" s="40">
        <v>22900</v>
      </c>
      <c r="BF37" s="40">
        <v>0</v>
      </c>
      <c r="BG37" s="84">
        <f t="shared" si="20"/>
        <v>0</v>
      </c>
      <c r="BH37" s="40"/>
      <c r="BI37" s="40">
        <v>4240</v>
      </c>
      <c r="BJ37" s="40">
        <v>0</v>
      </c>
      <c r="BK37" s="83">
        <f t="shared" si="21"/>
        <v>0</v>
      </c>
      <c r="BL37" s="40"/>
      <c r="BM37" s="40">
        <v>94200</v>
      </c>
      <c r="BN37" s="40">
        <v>0</v>
      </c>
      <c r="BO37" s="87">
        <f t="shared" si="29"/>
        <v>0</v>
      </c>
      <c r="BQ37" s="41">
        <v>0</v>
      </c>
      <c r="BR37" s="84">
        <f t="shared" si="30"/>
        <v>0</v>
      </c>
      <c r="BT37" s="40">
        <v>0</v>
      </c>
      <c r="BU37" s="87">
        <f t="shared" ref="BU37:BU42" si="35">((BT37/$BM37/X37/309/$D37)*5*309)/1000</f>
        <v>0</v>
      </c>
      <c r="BV37" s="40"/>
      <c r="BW37" s="22"/>
      <c r="BX37" s="22"/>
      <c r="BY37" s="22"/>
      <c r="BZ37" s="65"/>
      <c r="CA37" s="65"/>
      <c r="CB37" s="65"/>
      <c r="CC37" s="65"/>
      <c r="CD37" s="65"/>
      <c r="CE37" s="65"/>
      <c r="CF37" s="22"/>
      <c r="CG37" s="22"/>
      <c r="CH37" s="22"/>
      <c r="CI37" s="65"/>
      <c r="CJ37" s="65"/>
      <c r="CK37" s="65"/>
      <c r="CL37" s="65"/>
      <c r="CM37" s="65"/>
      <c r="CN37" s="65"/>
      <c r="CO37" s="22"/>
      <c r="CP37" s="22"/>
      <c r="CQ37" s="22"/>
      <c r="CR37" s="22"/>
      <c r="CS37" s="22"/>
      <c r="CT37" s="22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</row>
    <row r="38" spans="1:191" s="41" customFormat="1" x14ac:dyDescent="0.25">
      <c r="A38" s="79">
        <v>33</v>
      </c>
      <c r="B38" s="80" t="s">
        <v>20</v>
      </c>
      <c r="C38" s="91">
        <v>9</v>
      </c>
      <c r="D38" s="42">
        <v>0.01</v>
      </c>
      <c r="E38" s="81">
        <v>0.1241</v>
      </c>
      <c r="F38" s="81">
        <v>4.0000000000000001E-3</v>
      </c>
      <c r="G38" s="81">
        <v>7.1099999999999997E-2</v>
      </c>
      <c r="H38" s="81">
        <v>2.2000000000000001E-3</v>
      </c>
      <c r="I38" s="81">
        <v>1.0999999999999999E-2</v>
      </c>
      <c r="J38" s="81">
        <v>3.6600000000000001E-2</v>
      </c>
      <c r="K38" s="81">
        <v>4.3E-3</v>
      </c>
      <c r="L38" s="81">
        <v>7.0000000000000001E-3</v>
      </c>
      <c r="M38" s="81">
        <v>0.1042</v>
      </c>
      <c r="N38" s="81">
        <v>3.85E-2</v>
      </c>
      <c r="O38" s="81">
        <v>5.0000000000000001E-3</v>
      </c>
      <c r="P38" s="81">
        <v>0.1668</v>
      </c>
      <c r="Q38" s="81">
        <v>1.04E-2</v>
      </c>
      <c r="R38" s="81">
        <v>2.3E-3</v>
      </c>
      <c r="S38" s="81">
        <v>1.78E-2</v>
      </c>
      <c r="T38" s="81">
        <v>5.0799999999999998E-2</v>
      </c>
      <c r="U38" s="81">
        <v>3.3999999999999998E-3</v>
      </c>
      <c r="V38" s="81">
        <v>8.8999999999999999E-3</v>
      </c>
      <c r="W38" s="81">
        <v>1E-3</v>
      </c>
      <c r="X38" s="81">
        <v>0.35089999999999999</v>
      </c>
      <c r="Y38" s="81">
        <v>0.26779999999999998</v>
      </c>
      <c r="Z38" s="81">
        <v>1E-3</v>
      </c>
      <c r="AA38" s="81">
        <v>1E-3</v>
      </c>
      <c r="AB38" s="81">
        <v>0.24379999999999999</v>
      </c>
      <c r="AC38" s="81">
        <v>1E-3</v>
      </c>
      <c r="AD38" s="81">
        <v>1.72E-2</v>
      </c>
      <c r="AE38" s="81">
        <v>5.4000000000000003E-3</v>
      </c>
      <c r="AF38" s="81">
        <v>8.0000000000000004E-4</v>
      </c>
      <c r="AG38" s="40">
        <v>87500</v>
      </c>
      <c r="AH38" s="40">
        <v>1920</v>
      </c>
      <c r="AI38" s="82">
        <f t="shared" ref="AI38:AI45" si="36">(((AH38/AG38/E38/138/$D38)*5*138)/1000)*10</f>
        <v>0.88407965926096477</v>
      </c>
      <c r="AK38" s="40">
        <v>24600</v>
      </c>
      <c r="AL38" s="41">
        <v>478000</v>
      </c>
      <c r="AM38" s="83">
        <f t="shared" si="0"/>
        <v>178.23238221375055</v>
      </c>
      <c r="AO38" s="40">
        <v>0</v>
      </c>
      <c r="AP38" s="84">
        <f t="shared" si="31"/>
        <v>0</v>
      </c>
      <c r="AQ38" s="40"/>
      <c r="AR38" s="40">
        <v>0</v>
      </c>
      <c r="AS38" s="85">
        <f t="shared" si="32"/>
        <v>0</v>
      </c>
      <c r="AT38" s="40"/>
      <c r="AU38" s="40">
        <v>23000</v>
      </c>
      <c r="AV38" s="40">
        <v>165000</v>
      </c>
      <c r="AW38" s="86">
        <f t="shared" si="25"/>
        <v>344.23767003254613</v>
      </c>
      <c r="AX38" s="40"/>
      <c r="AY38" s="41">
        <v>11400</v>
      </c>
      <c r="AZ38" s="86">
        <f t="shared" si="33"/>
        <v>64.370412196499146</v>
      </c>
      <c r="BB38" s="41">
        <v>427</v>
      </c>
      <c r="BC38" s="86">
        <f t="shared" si="34"/>
        <v>18.565217391304348</v>
      </c>
      <c r="BE38" s="40">
        <v>25300</v>
      </c>
      <c r="BF38" s="40">
        <v>0</v>
      </c>
      <c r="BG38" s="84">
        <f t="shared" si="20"/>
        <v>0</v>
      </c>
      <c r="BH38" s="40"/>
      <c r="BI38" s="40">
        <v>4250</v>
      </c>
      <c r="BJ38" s="40">
        <v>0</v>
      </c>
      <c r="BK38" s="83">
        <f t="shared" si="21"/>
        <v>0</v>
      </c>
      <c r="BL38" s="40"/>
      <c r="BM38" s="40">
        <v>86400</v>
      </c>
      <c r="BN38" s="40">
        <v>0</v>
      </c>
      <c r="BO38" s="87">
        <f t="shared" si="29"/>
        <v>0</v>
      </c>
      <c r="BQ38" s="41">
        <v>0</v>
      </c>
      <c r="BR38" s="84">
        <f t="shared" si="30"/>
        <v>0</v>
      </c>
      <c r="BT38" s="40">
        <v>0</v>
      </c>
      <c r="BU38" s="87">
        <f t="shared" si="35"/>
        <v>0</v>
      </c>
      <c r="BV38" s="40"/>
      <c r="BW38" s="22"/>
      <c r="BX38" s="22"/>
      <c r="BY38" s="22"/>
      <c r="BZ38" s="65"/>
      <c r="CA38" s="65"/>
      <c r="CB38" s="65"/>
      <c r="CC38" s="65"/>
      <c r="CD38" s="65"/>
      <c r="CE38" s="65"/>
      <c r="CF38" s="22"/>
      <c r="CG38" s="22"/>
      <c r="CH38" s="22"/>
      <c r="CI38" s="65"/>
      <c r="CJ38" s="65"/>
      <c r="CK38" s="65"/>
      <c r="CL38" s="65"/>
      <c r="CM38" s="65"/>
      <c r="CN38" s="65"/>
      <c r="CO38" s="22"/>
      <c r="CP38" s="22"/>
      <c r="CQ38" s="22"/>
      <c r="CR38" s="22"/>
      <c r="CS38" s="22"/>
      <c r="CT38" s="22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</row>
    <row r="39" spans="1:191" s="41" customFormat="1" x14ac:dyDescent="0.25">
      <c r="A39" s="79">
        <v>34</v>
      </c>
      <c r="B39" s="80" t="s">
        <v>21</v>
      </c>
      <c r="C39" s="91">
        <v>9</v>
      </c>
      <c r="D39" s="42">
        <v>0.01</v>
      </c>
      <c r="E39" s="81">
        <v>0.1241</v>
      </c>
      <c r="F39" s="81">
        <v>4.0000000000000001E-3</v>
      </c>
      <c r="G39" s="81">
        <v>7.1099999999999997E-2</v>
      </c>
      <c r="H39" s="81">
        <v>2.2000000000000001E-3</v>
      </c>
      <c r="I39" s="81">
        <v>1.0999999999999999E-2</v>
      </c>
      <c r="J39" s="81">
        <v>3.6600000000000001E-2</v>
      </c>
      <c r="K39" s="81">
        <v>4.3E-3</v>
      </c>
      <c r="L39" s="81">
        <v>7.0000000000000001E-3</v>
      </c>
      <c r="M39" s="81">
        <v>0.1042</v>
      </c>
      <c r="N39" s="81">
        <v>3.85E-2</v>
      </c>
      <c r="O39" s="81">
        <v>5.0000000000000001E-3</v>
      </c>
      <c r="P39" s="81">
        <v>0.1668</v>
      </c>
      <c r="Q39" s="81">
        <v>1.04E-2</v>
      </c>
      <c r="R39" s="81">
        <v>2.3E-3</v>
      </c>
      <c r="S39" s="81">
        <v>1.78E-2</v>
      </c>
      <c r="T39" s="81">
        <v>5.0799999999999998E-2</v>
      </c>
      <c r="U39" s="81">
        <v>3.3999999999999998E-3</v>
      </c>
      <c r="V39" s="81">
        <v>8.8999999999999999E-3</v>
      </c>
      <c r="W39" s="81">
        <v>1E-3</v>
      </c>
      <c r="X39" s="81">
        <v>0.35089999999999999</v>
      </c>
      <c r="Y39" s="81">
        <v>0.26779999999999998</v>
      </c>
      <c r="Z39" s="81">
        <v>1E-3</v>
      </c>
      <c r="AA39" s="81">
        <v>1E-3</v>
      </c>
      <c r="AB39" s="81">
        <v>0.24379999999999999</v>
      </c>
      <c r="AC39" s="81">
        <v>1E-3</v>
      </c>
      <c r="AD39" s="81">
        <v>1.72E-2</v>
      </c>
      <c r="AE39" s="81">
        <v>5.4000000000000003E-3</v>
      </c>
      <c r="AF39" s="81">
        <v>8.0000000000000004E-4</v>
      </c>
      <c r="AG39" s="40">
        <v>86700</v>
      </c>
      <c r="AH39" s="40">
        <v>1700</v>
      </c>
      <c r="AI39" s="82">
        <f t="shared" si="36"/>
        <v>0.79000173800382367</v>
      </c>
      <c r="AK39" s="40">
        <v>20600</v>
      </c>
      <c r="AL39" s="41">
        <v>938000</v>
      </c>
      <c r="AM39" s="83">
        <f t="shared" si="0"/>
        <v>417.66630510479064</v>
      </c>
      <c r="AO39" s="40">
        <v>0</v>
      </c>
      <c r="AP39" s="84">
        <f t="shared" si="31"/>
        <v>0</v>
      </c>
      <c r="AQ39" s="40"/>
      <c r="AR39" s="40">
        <v>0</v>
      </c>
      <c r="AS39" s="85">
        <f t="shared" si="32"/>
        <v>0</v>
      </c>
      <c r="AT39" s="40"/>
      <c r="AU39" s="40">
        <v>20400</v>
      </c>
      <c r="AV39" s="40">
        <v>101000</v>
      </c>
      <c r="AW39" s="86">
        <f t="shared" si="25"/>
        <v>237.57103609197998</v>
      </c>
      <c r="AX39" s="40"/>
      <c r="AY39" s="41">
        <v>18900</v>
      </c>
      <c r="AZ39" s="86">
        <f t="shared" si="33"/>
        <v>120.32085561497327</v>
      </c>
      <c r="BB39" s="41">
        <v>0</v>
      </c>
      <c r="BC39" s="86">
        <f t="shared" si="34"/>
        <v>0</v>
      </c>
      <c r="BE39" s="40">
        <v>25200</v>
      </c>
      <c r="BF39" s="40">
        <v>0</v>
      </c>
      <c r="BG39" s="84">
        <f t="shared" si="20"/>
        <v>0</v>
      </c>
      <c r="BH39" s="40"/>
      <c r="BI39" s="40">
        <v>3510</v>
      </c>
      <c r="BJ39" s="40">
        <v>0</v>
      </c>
      <c r="BK39" s="83">
        <f t="shared" si="21"/>
        <v>0</v>
      </c>
      <c r="BL39" s="40"/>
      <c r="BM39" s="40">
        <v>76700</v>
      </c>
      <c r="BN39" s="40">
        <v>0</v>
      </c>
      <c r="BO39" s="87">
        <f t="shared" si="29"/>
        <v>0</v>
      </c>
      <c r="BQ39" s="41">
        <v>0</v>
      </c>
      <c r="BR39" s="84">
        <f t="shared" si="30"/>
        <v>0</v>
      </c>
      <c r="BT39" s="40">
        <v>0</v>
      </c>
      <c r="BU39" s="87">
        <f t="shared" si="35"/>
        <v>0</v>
      </c>
      <c r="BV39" s="40"/>
      <c r="BW39" s="22"/>
      <c r="BX39" s="22"/>
      <c r="BY39" s="22"/>
      <c r="BZ39" s="65"/>
      <c r="CA39" s="65"/>
      <c r="CB39" s="65"/>
      <c r="CC39" s="65"/>
      <c r="CD39" s="65"/>
      <c r="CE39" s="65"/>
      <c r="CF39" s="22"/>
      <c r="CG39" s="22"/>
      <c r="CH39" s="22"/>
      <c r="CI39" s="65"/>
      <c r="CJ39" s="65"/>
      <c r="CK39" s="65"/>
      <c r="CL39" s="65"/>
      <c r="CM39" s="65"/>
      <c r="CN39" s="65"/>
      <c r="CO39" s="22"/>
      <c r="CP39" s="22"/>
      <c r="CQ39" s="22"/>
      <c r="CR39" s="22"/>
      <c r="CS39" s="22"/>
      <c r="CT39" s="22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</row>
    <row r="40" spans="1:191" s="41" customFormat="1" x14ac:dyDescent="0.25">
      <c r="A40" s="79">
        <v>35</v>
      </c>
      <c r="B40" s="88" t="s">
        <v>22</v>
      </c>
      <c r="C40" s="91">
        <v>9</v>
      </c>
      <c r="D40" s="42">
        <v>1.2999999999999999E-2</v>
      </c>
      <c r="E40" s="81">
        <v>0.1241</v>
      </c>
      <c r="F40" s="81">
        <v>4.0000000000000001E-3</v>
      </c>
      <c r="G40" s="81">
        <v>7.1099999999999997E-2</v>
      </c>
      <c r="H40" s="81">
        <v>2.2000000000000001E-3</v>
      </c>
      <c r="I40" s="81">
        <v>1.0999999999999999E-2</v>
      </c>
      <c r="J40" s="81">
        <v>3.6600000000000001E-2</v>
      </c>
      <c r="K40" s="81">
        <v>4.3E-3</v>
      </c>
      <c r="L40" s="81">
        <v>7.0000000000000001E-3</v>
      </c>
      <c r="M40" s="81">
        <v>0.1042</v>
      </c>
      <c r="N40" s="81">
        <v>3.85E-2</v>
      </c>
      <c r="O40" s="81">
        <v>5.0000000000000001E-3</v>
      </c>
      <c r="P40" s="81">
        <v>0.1668</v>
      </c>
      <c r="Q40" s="81">
        <v>1.04E-2</v>
      </c>
      <c r="R40" s="81">
        <v>2.3E-3</v>
      </c>
      <c r="S40" s="81">
        <v>1.78E-2</v>
      </c>
      <c r="T40" s="81">
        <v>5.0799999999999998E-2</v>
      </c>
      <c r="U40" s="81">
        <v>3.3999999999999998E-3</v>
      </c>
      <c r="V40" s="81">
        <v>8.8999999999999999E-3</v>
      </c>
      <c r="W40" s="81">
        <v>1E-3</v>
      </c>
      <c r="X40" s="81">
        <v>0.35089999999999999</v>
      </c>
      <c r="Y40" s="81">
        <v>0.26779999999999998</v>
      </c>
      <c r="Z40" s="81">
        <v>1E-3</v>
      </c>
      <c r="AA40" s="81">
        <v>1E-3</v>
      </c>
      <c r="AB40" s="81">
        <v>0.24379999999999999</v>
      </c>
      <c r="AC40" s="81">
        <v>1E-3</v>
      </c>
      <c r="AD40" s="81">
        <v>1.72E-2</v>
      </c>
      <c r="AE40" s="81">
        <v>5.4000000000000003E-3</v>
      </c>
      <c r="AF40" s="81">
        <v>8.0000000000000004E-4</v>
      </c>
      <c r="AG40" s="40">
        <v>88400</v>
      </c>
      <c r="AH40" s="40">
        <v>2290</v>
      </c>
      <c r="AI40" s="82">
        <f t="shared" si="36"/>
        <v>0.80285679587074976</v>
      </c>
      <c r="AK40" s="40">
        <v>22400</v>
      </c>
      <c r="AL40" s="41">
        <v>1370000</v>
      </c>
      <c r="AM40" s="83">
        <f t="shared" si="0"/>
        <v>431.54194915339656</v>
      </c>
      <c r="AO40" s="40">
        <v>0</v>
      </c>
      <c r="AP40" s="84">
        <f t="shared" si="31"/>
        <v>0</v>
      </c>
      <c r="AQ40" s="40"/>
      <c r="AR40" s="40">
        <v>0</v>
      </c>
      <c r="AS40" s="85">
        <f t="shared" si="32"/>
        <v>0</v>
      </c>
      <c r="AT40" s="40"/>
      <c r="AU40" s="40">
        <v>20200</v>
      </c>
      <c r="AV40" s="40">
        <v>404000</v>
      </c>
      <c r="AW40" s="86">
        <f t="shared" si="25"/>
        <v>738.22530636350223</v>
      </c>
      <c r="AX40" s="40"/>
      <c r="AY40" s="41">
        <v>7020</v>
      </c>
      <c r="AZ40" s="86">
        <f t="shared" si="33"/>
        <v>34.717757490034721</v>
      </c>
      <c r="BB40" s="41">
        <v>6560</v>
      </c>
      <c r="BC40" s="86">
        <f t="shared" si="34"/>
        <v>249.8095963442498</v>
      </c>
      <c r="BE40" s="40">
        <v>24800</v>
      </c>
      <c r="BF40" s="40">
        <v>0</v>
      </c>
      <c r="BG40" s="84">
        <f t="shared" si="20"/>
        <v>0</v>
      </c>
      <c r="BH40" s="40"/>
      <c r="BI40" s="40">
        <v>4100</v>
      </c>
      <c r="BJ40" s="40">
        <v>0</v>
      </c>
      <c r="BK40" s="83">
        <f t="shared" si="21"/>
        <v>0</v>
      </c>
      <c r="BL40" s="40"/>
      <c r="BM40" s="40">
        <v>81300</v>
      </c>
      <c r="BN40" s="40">
        <v>0</v>
      </c>
      <c r="BO40" s="87">
        <f t="shared" si="29"/>
        <v>0</v>
      </c>
      <c r="BQ40" s="41">
        <v>0</v>
      </c>
      <c r="BR40" s="84">
        <f t="shared" si="30"/>
        <v>0</v>
      </c>
      <c r="BT40" s="40">
        <v>0</v>
      </c>
      <c r="BU40" s="87">
        <f t="shared" si="35"/>
        <v>0</v>
      </c>
      <c r="BV40" s="40"/>
      <c r="BW40" s="22"/>
      <c r="BX40" s="22"/>
      <c r="BY40" s="22"/>
      <c r="BZ40" s="65"/>
      <c r="CA40" s="65"/>
      <c r="CB40" s="65"/>
      <c r="CC40" s="65"/>
      <c r="CD40" s="65"/>
      <c r="CE40" s="65"/>
      <c r="CF40" s="22"/>
      <c r="CG40" s="22"/>
      <c r="CH40" s="22"/>
      <c r="CI40" s="65"/>
      <c r="CJ40" s="65"/>
      <c r="CK40" s="65"/>
      <c r="CL40" s="65"/>
      <c r="CM40" s="65"/>
      <c r="CN40" s="65"/>
      <c r="CO40" s="22"/>
      <c r="CP40" s="22"/>
      <c r="CQ40" s="22"/>
      <c r="CR40" s="22"/>
      <c r="CS40" s="22"/>
      <c r="CT40" s="22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</row>
    <row r="41" spans="1:191" s="41" customFormat="1" x14ac:dyDescent="0.25">
      <c r="A41" s="79">
        <v>36</v>
      </c>
      <c r="B41" s="88" t="s">
        <v>23</v>
      </c>
      <c r="C41" s="91">
        <v>9</v>
      </c>
      <c r="D41" s="42">
        <v>0.01</v>
      </c>
      <c r="E41" s="81">
        <v>0.1241</v>
      </c>
      <c r="F41" s="81">
        <v>4.0000000000000001E-3</v>
      </c>
      <c r="G41" s="81">
        <v>7.1099999999999997E-2</v>
      </c>
      <c r="H41" s="81">
        <v>2.2000000000000001E-3</v>
      </c>
      <c r="I41" s="81">
        <v>1.0999999999999999E-2</v>
      </c>
      <c r="J41" s="81">
        <v>3.6600000000000001E-2</v>
      </c>
      <c r="K41" s="81">
        <v>4.3E-3</v>
      </c>
      <c r="L41" s="81">
        <v>7.0000000000000001E-3</v>
      </c>
      <c r="M41" s="81">
        <v>0.1042</v>
      </c>
      <c r="N41" s="81">
        <v>3.85E-2</v>
      </c>
      <c r="O41" s="81">
        <v>5.0000000000000001E-3</v>
      </c>
      <c r="P41" s="81">
        <v>0.1668</v>
      </c>
      <c r="Q41" s="81">
        <v>1.04E-2</v>
      </c>
      <c r="R41" s="81">
        <v>2.3E-3</v>
      </c>
      <c r="S41" s="81">
        <v>1.78E-2</v>
      </c>
      <c r="T41" s="81">
        <v>5.0799999999999998E-2</v>
      </c>
      <c r="U41" s="81">
        <v>3.3999999999999998E-3</v>
      </c>
      <c r="V41" s="81">
        <v>8.8999999999999999E-3</v>
      </c>
      <c r="W41" s="81">
        <v>1E-3</v>
      </c>
      <c r="X41" s="81">
        <v>0.35089999999999999</v>
      </c>
      <c r="Y41" s="81">
        <v>0.26779999999999998</v>
      </c>
      <c r="Z41" s="81">
        <v>1E-3</v>
      </c>
      <c r="AA41" s="81">
        <v>1E-3</v>
      </c>
      <c r="AB41" s="81">
        <v>0.24379999999999999</v>
      </c>
      <c r="AC41" s="81">
        <v>1E-3</v>
      </c>
      <c r="AD41" s="81">
        <v>1.72E-2</v>
      </c>
      <c r="AE41" s="81">
        <v>5.4000000000000003E-3</v>
      </c>
      <c r="AF41" s="81">
        <v>8.0000000000000004E-4</v>
      </c>
      <c r="AG41" s="40">
        <v>79500</v>
      </c>
      <c r="AH41" s="40">
        <v>2050</v>
      </c>
      <c r="AI41" s="82">
        <f t="shared" si="36"/>
        <v>1.0389268139408774</v>
      </c>
      <c r="AK41" s="40">
        <v>20500</v>
      </c>
      <c r="AL41" s="41">
        <v>619000</v>
      </c>
      <c r="AM41" s="83">
        <f t="shared" si="0"/>
        <v>276.96864750705845</v>
      </c>
      <c r="AO41" s="40">
        <v>0</v>
      </c>
      <c r="AP41" s="84">
        <f t="shared" si="31"/>
        <v>0</v>
      </c>
      <c r="AQ41" s="40"/>
      <c r="AR41" s="40">
        <v>0</v>
      </c>
      <c r="AS41" s="85">
        <f t="shared" si="32"/>
        <v>0</v>
      </c>
      <c r="AT41" s="40"/>
      <c r="AU41" s="40">
        <v>20300</v>
      </c>
      <c r="AV41" s="40">
        <v>136000</v>
      </c>
      <c r="AW41" s="86">
        <f t="shared" si="25"/>
        <v>321.47348316519009</v>
      </c>
      <c r="AX41" s="40"/>
      <c r="AY41" s="41">
        <v>22100</v>
      </c>
      <c r="AZ41" s="86">
        <f t="shared" si="33"/>
        <v>141.38570788817094</v>
      </c>
      <c r="BB41" s="41">
        <v>0</v>
      </c>
      <c r="BC41" s="86">
        <f t="shared" si="34"/>
        <v>0</v>
      </c>
      <c r="BE41" s="40">
        <v>23500</v>
      </c>
      <c r="BF41" s="40">
        <v>0</v>
      </c>
      <c r="BG41" s="84">
        <f t="shared" si="20"/>
        <v>0</v>
      </c>
      <c r="BH41" s="40"/>
      <c r="BI41" s="40">
        <v>4300</v>
      </c>
      <c r="BJ41" s="40">
        <v>0</v>
      </c>
      <c r="BK41" s="83">
        <f t="shared" si="21"/>
        <v>0</v>
      </c>
      <c r="BL41" s="40"/>
      <c r="BM41" s="40">
        <v>84300</v>
      </c>
      <c r="BN41" s="40">
        <v>0</v>
      </c>
      <c r="BO41" s="87">
        <f t="shared" si="29"/>
        <v>0</v>
      </c>
      <c r="BQ41" s="41">
        <v>0</v>
      </c>
      <c r="BR41" s="84">
        <f t="shared" si="30"/>
        <v>0</v>
      </c>
      <c r="BT41" s="40">
        <v>0</v>
      </c>
      <c r="BU41" s="87">
        <f t="shared" si="35"/>
        <v>0</v>
      </c>
      <c r="BV41" s="40"/>
      <c r="BW41" s="22"/>
      <c r="BX41" s="22"/>
      <c r="BY41" s="22"/>
      <c r="BZ41" s="65"/>
      <c r="CA41" s="65"/>
      <c r="CB41" s="65"/>
      <c r="CC41" s="65"/>
      <c r="CD41" s="65"/>
      <c r="CE41" s="65"/>
      <c r="CF41" s="22"/>
      <c r="CG41" s="22"/>
      <c r="CH41" s="22"/>
      <c r="CI41" s="65"/>
      <c r="CJ41" s="65"/>
      <c r="CK41" s="65"/>
      <c r="CL41" s="65"/>
      <c r="CM41" s="65"/>
      <c r="CN41" s="65"/>
      <c r="CO41" s="22"/>
      <c r="CP41" s="22"/>
      <c r="CQ41" s="22"/>
      <c r="CR41" s="22"/>
      <c r="CS41" s="22"/>
      <c r="CT41" s="22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</row>
    <row r="42" spans="1:191" s="41" customFormat="1" x14ac:dyDescent="0.25">
      <c r="A42" s="79">
        <v>37</v>
      </c>
      <c r="B42" s="88" t="s">
        <v>28</v>
      </c>
      <c r="C42" s="91">
        <v>9</v>
      </c>
      <c r="D42" s="42">
        <v>0.01</v>
      </c>
      <c r="E42" s="81">
        <v>0.1241</v>
      </c>
      <c r="F42" s="81">
        <v>4.0000000000000001E-3</v>
      </c>
      <c r="G42" s="81">
        <v>7.1099999999999997E-2</v>
      </c>
      <c r="H42" s="81">
        <v>2.2000000000000001E-3</v>
      </c>
      <c r="I42" s="81">
        <v>1.0999999999999999E-2</v>
      </c>
      <c r="J42" s="81">
        <v>3.6600000000000001E-2</v>
      </c>
      <c r="K42" s="81">
        <v>4.3E-3</v>
      </c>
      <c r="L42" s="81">
        <v>7.0000000000000001E-3</v>
      </c>
      <c r="M42" s="81">
        <v>0.1042</v>
      </c>
      <c r="N42" s="81">
        <v>3.85E-2</v>
      </c>
      <c r="O42" s="81">
        <v>5.0000000000000001E-3</v>
      </c>
      <c r="P42" s="81">
        <v>0.1668</v>
      </c>
      <c r="Q42" s="81">
        <v>1.04E-2</v>
      </c>
      <c r="R42" s="81">
        <v>2.3E-3</v>
      </c>
      <c r="S42" s="81">
        <v>1.78E-2</v>
      </c>
      <c r="T42" s="81">
        <v>5.0799999999999998E-2</v>
      </c>
      <c r="U42" s="81">
        <v>3.3999999999999998E-3</v>
      </c>
      <c r="V42" s="81">
        <v>8.8999999999999999E-3</v>
      </c>
      <c r="W42" s="81">
        <v>1E-3</v>
      </c>
      <c r="X42" s="81">
        <v>0.35089999999999999</v>
      </c>
      <c r="Y42" s="81">
        <v>0.26779999999999998</v>
      </c>
      <c r="Z42" s="81">
        <v>1E-3</v>
      </c>
      <c r="AA42" s="81">
        <v>1E-3</v>
      </c>
      <c r="AB42" s="81">
        <v>0.24379999999999999</v>
      </c>
      <c r="AC42" s="81">
        <v>1E-3</v>
      </c>
      <c r="AD42" s="81">
        <v>1.72E-2</v>
      </c>
      <c r="AE42" s="81">
        <v>5.4000000000000003E-3</v>
      </c>
      <c r="AF42" s="81">
        <v>8.0000000000000004E-4</v>
      </c>
      <c r="AG42" s="40">
        <v>73100</v>
      </c>
      <c r="AH42" s="40">
        <v>2520</v>
      </c>
      <c r="AI42" s="82">
        <f t="shared" si="36"/>
        <v>1.3889332882113736</v>
      </c>
      <c r="AK42" s="40">
        <v>21500</v>
      </c>
      <c r="AL42" s="41">
        <v>782000</v>
      </c>
      <c r="AM42" s="83">
        <f t="shared" si="0"/>
        <v>333.62771072514965</v>
      </c>
      <c r="AO42" s="40">
        <v>0</v>
      </c>
      <c r="AP42" s="84">
        <f t="shared" si="31"/>
        <v>0</v>
      </c>
      <c r="AQ42" s="40"/>
      <c r="AR42" s="40">
        <v>0</v>
      </c>
      <c r="AS42" s="85">
        <f t="shared" si="32"/>
        <v>0</v>
      </c>
      <c r="AT42" s="40"/>
      <c r="AU42" s="40">
        <v>18700</v>
      </c>
      <c r="AV42" s="40">
        <v>241000</v>
      </c>
      <c r="AW42" s="86">
        <f t="shared" si="25"/>
        <v>618.41173391359689</v>
      </c>
      <c r="AX42" s="40"/>
      <c r="AY42" s="41">
        <v>20100</v>
      </c>
      <c r="AZ42" s="86">
        <f t="shared" si="33"/>
        <v>139.59302729356207</v>
      </c>
      <c r="BB42" s="41">
        <v>866</v>
      </c>
      <c r="BC42" s="86">
        <f t="shared" si="34"/>
        <v>46.310160427807489</v>
      </c>
      <c r="BE42" s="40">
        <v>22700</v>
      </c>
      <c r="BF42" s="40">
        <v>0</v>
      </c>
      <c r="BG42" s="84">
        <f t="shared" si="20"/>
        <v>0</v>
      </c>
      <c r="BH42" s="40"/>
      <c r="BI42" s="40">
        <v>3980</v>
      </c>
      <c r="BJ42" s="40">
        <v>0</v>
      </c>
      <c r="BK42" s="83">
        <f t="shared" si="21"/>
        <v>0</v>
      </c>
      <c r="BL42" s="40"/>
      <c r="BM42" s="40">
        <v>88100</v>
      </c>
      <c r="BN42" s="40">
        <v>0</v>
      </c>
      <c r="BO42" s="87">
        <f t="shared" si="29"/>
        <v>0</v>
      </c>
      <c r="BQ42" s="41">
        <v>0</v>
      </c>
      <c r="BR42" s="84">
        <f t="shared" si="30"/>
        <v>0</v>
      </c>
      <c r="BT42" s="40">
        <v>0</v>
      </c>
      <c r="BU42" s="87">
        <f t="shared" si="35"/>
        <v>0</v>
      </c>
      <c r="BV42" s="40"/>
      <c r="BW42" s="22"/>
      <c r="BX42" s="22"/>
      <c r="BY42" s="22"/>
      <c r="BZ42" s="65"/>
      <c r="CA42" s="65"/>
      <c r="CB42" s="65"/>
      <c r="CC42" s="65"/>
      <c r="CD42" s="65"/>
      <c r="CE42" s="65"/>
      <c r="CF42" s="22"/>
      <c r="CG42" s="22"/>
      <c r="CH42" s="22"/>
      <c r="CI42" s="65"/>
      <c r="CJ42" s="65"/>
      <c r="CK42" s="65"/>
      <c r="CL42" s="65"/>
      <c r="CM42" s="65"/>
      <c r="CN42" s="65"/>
      <c r="CO42" s="22"/>
      <c r="CP42" s="22"/>
      <c r="CQ42" s="22"/>
      <c r="CR42" s="22"/>
      <c r="CS42" s="22"/>
      <c r="CT42" s="22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</row>
    <row r="43" spans="1:191" x14ac:dyDescent="0.25">
      <c r="A43" s="79">
        <v>38</v>
      </c>
      <c r="B43" s="89" t="s">
        <v>24</v>
      </c>
      <c r="C43" s="91">
        <v>9</v>
      </c>
      <c r="D43" s="42">
        <v>0.01</v>
      </c>
      <c r="E43" s="81">
        <v>0.1241</v>
      </c>
      <c r="F43" s="81">
        <v>4.0000000000000001E-3</v>
      </c>
      <c r="G43" s="81">
        <v>7.1099999999999997E-2</v>
      </c>
      <c r="H43" s="81">
        <v>2.2000000000000001E-3</v>
      </c>
      <c r="I43" s="81">
        <v>1.0999999999999999E-2</v>
      </c>
      <c r="J43" s="81">
        <v>3.6600000000000001E-2</v>
      </c>
      <c r="K43" s="81">
        <v>4.3E-3</v>
      </c>
      <c r="L43" s="81">
        <v>7.0000000000000001E-3</v>
      </c>
      <c r="M43" s="81">
        <v>0.1042</v>
      </c>
      <c r="N43" s="81">
        <v>3.85E-2</v>
      </c>
      <c r="O43" s="81">
        <v>5.0000000000000001E-3</v>
      </c>
      <c r="P43" s="81">
        <v>0.1668</v>
      </c>
      <c r="Q43" s="81">
        <v>1.04E-2</v>
      </c>
      <c r="R43" s="81">
        <v>2.3E-3</v>
      </c>
      <c r="S43" s="81">
        <v>1.78E-2</v>
      </c>
      <c r="T43" s="81">
        <v>5.0799999999999998E-2</v>
      </c>
      <c r="U43" s="81">
        <v>3.3999999999999998E-3</v>
      </c>
      <c r="V43" s="81">
        <v>8.8999999999999999E-3</v>
      </c>
      <c r="W43" s="81">
        <v>1E-3</v>
      </c>
      <c r="X43" s="81">
        <v>0.35089999999999999</v>
      </c>
      <c r="Y43" s="81">
        <v>0.26779999999999998</v>
      </c>
      <c r="Z43" s="81">
        <v>1E-3</v>
      </c>
      <c r="AA43" s="81">
        <v>1E-3</v>
      </c>
      <c r="AB43" s="81">
        <v>0.24379999999999999</v>
      </c>
      <c r="AC43" s="81">
        <v>1E-3</v>
      </c>
      <c r="AD43" s="81">
        <v>1.72E-2</v>
      </c>
      <c r="AE43" s="81">
        <v>5.4000000000000003E-3</v>
      </c>
      <c r="AF43" s="81">
        <v>8.0000000000000004E-4</v>
      </c>
      <c r="AG43" s="40">
        <v>40500</v>
      </c>
      <c r="AH43" s="40">
        <v>2440</v>
      </c>
      <c r="AI43" s="82">
        <f t="shared" si="36"/>
        <v>2.4273534883258225</v>
      </c>
      <c r="AJ43" s="41"/>
      <c r="AK43" s="40">
        <v>13300</v>
      </c>
      <c r="AL43" s="41">
        <v>494000</v>
      </c>
      <c r="AM43" s="83">
        <f>(((AL43/$AK43/G43/161/$D43)*5*161)/1000)*10</f>
        <v>2612.0152702431187</v>
      </c>
      <c r="AN43" s="41"/>
      <c r="AO43" s="40">
        <v>0</v>
      </c>
      <c r="AP43" s="84">
        <f t="shared" ref="AP43:AP48" si="37">((AO43/AK43/I43/175/$D43)*5*175)/1000</f>
        <v>0</v>
      </c>
      <c r="AQ43" s="40"/>
      <c r="AR43" s="40">
        <v>0</v>
      </c>
      <c r="AS43" s="85">
        <f t="shared" ref="AS43:AS48" si="38">((AR43/AG43/L43/226/$D43)*5*226)/1000</f>
        <v>0</v>
      </c>
      <c r="AT43" s="40"/>
      <c r="AU43" s="40">
        <v>7210</v>
      </c>
      <c r="AV43" s="40">
        <v>204000</v>
      </c>
      <c r="AW43" s="86">
        <f>(((AV43/AU43/M43/210/$D43)*5*210)/1000)*10</f>
        <v>1357.679273561725</v>
      </c>
      <c r="AX43" s="40"/>
      <c r="AY43" s="41">
        <v>12300</v>
      </c>
      <c r="AZ43" s="86">
        <f t="shared" si="33"/>
        <v>221.55375830826588</v>
      </c>
      <c r="BA43" s="41"/>
      <c r="BB43" s="41">
        <v>0</v>
      </c>
      <c r="BC43" s="86">
        <f t="shared" si="34"/>
        <v>0</v>
      </c>
      <c r="BD43" s="41"/>
      <c r="BE43" s="40">
        <v>13300</v>
      </c>
      <c r="BF43" s="40">
        <v>0</v>
      </c>
      <c r="BG43" s="84">
        <f t="shared" si="20"/>
        <v>0</v>
      </c>
      <c r="BH43" s="40"/>
      <c r="BI43" s="40">
        <v>2180</v>
      </c>
      <c r="BJ43" s="40">
        <v>0</v>
      </c>
      <c r="BK43" s="83">
        <f t="shared" si="21"/>
        <v>0</v>
      </c>
      <c r="BL43" s="40"/>
      <c r="BM43" s="40">
        <v>888000</v>
      </c>
      <c r="BN43" s="40">
        <v>1040</v>
      </c>
      <c r="BO43" s="87">
        <f>(((BN43/$BM43/T43/293/$D43)*5*293)/1000)*10</f>
        <v>0.11527275306802866</v>
      </c>
      <c r="BP43" s="41"/>
      <c r="BQ43" s="41">
        <v>0</v>
      </c>
      <c r="BR43" s="84">
        <f t="shared" si="30"/>
        <v>0</v>
      </c>
      <c r="BS43" s="41"/>
      <c r="BT43" s="40">
        <v>0</v>
      </c>
      <c r="BU43" s="87">
        <f t="shared" ref="BU43:BU48" si="39">BT43/$BM43/X43/309/$D43</f>
        <v>0</v>
      </c>
      <c r="BV43" s="40"/>
      <c r="BW43" s="22"/>
      <c r="BX43" s="22"/>
      <c r="BY43" s="22"/>
      <c r="BZ43" s="65"/>
      <c r="CA43" s="65"/>
      <c r="CB43" s="65"/>
      <c r="CC43" s="65"/>
      <c r="CD43" s="65"/>
      <c r="CE43" s="65"/>
      <c r="CF43" s="22"/>
      <c r="CG43" s="22"/>
      <c r="CH43" s="22"/>
      <c r="CI43" s="65"/>
      <c r="CJ43" s="65"/>
      <c r="CK43" s="65"/>
      <c r="CL43" s="65"/>
      <c r="CM43" s="65"/>
      <c r="CN43" s="65"/>
      <c r="CO43" s="22"/>
      <c r="CP43" s="22"/>
      <c r="CQ43" s="22"/>
      <c r="CR43" s="22"/>
      <c r="CS43" s="22"/>
      <c r="CT43" s="22"/>
      <c r="CU43" s="65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91" x14ac:dyDescent="0.25">
      <c r="A44" s="79">
        <v>39</v>
      </c>
      <c r="B44" s="89" t="s">
        <v>25</v>
      </c>
      <c r="C44" s="91">
        <v>9</v>
      </c>
      <c r="D44" s="42">
        <v>0.01</v>
      </c>
      <c r="E44" s="81">
        <v>0.1241</v>
      </c>
      <c r="F44" s="81">
        <v>4.0000000000000001E-3</v>
      </c>
      <c r="G44" s="81">
        <v>7.1099999999999997E-2</v>
      </c>
      <c r="H44" s="81">
        <v>2.2000000000000001E-3</v>
      </c>
      <c r="I44" s="81">
        <v>1.0999999999999999E-2</v>
      </c>
      <c r="J44" s="81">
        <v>3.6600000000000001E-2</v>
      </c>
      <c r="K44" s="81">
        <v>4.3E-3</v>
      </c>
      <c r="L44" s="81">
        <v>7.0000000000000001E-3</v>
      </c>
      <c r="M44" s="81">
        <v>0.1042</v>
      </c>
      <c r="N44" s="81">
        <v>3.85E-2</v>
      </c>
      <c r="O44" s="81">
        <v>5.0000000000000001E-3</v>
      </c>
      <c r="P44" s="81">
        <v>0.1668</v>
      </c>
      <c r="Q44" s="81">
        <v>1.04E-2</v>
      </c>
      <c r="R44" s="81">
        <v>2.3E-3</v>
      </c>
      <c r="S44" s="81">
        <v>1.78E-2</v>
      </c>
      <c r="T44" s="81">
        <v>5.0799999999999998E-2</v>
      </c>
      <c r="U44" s="81">
        <v>3.3999999999999998E-3</v>
      </c>
      <c r="V44" s="81">
        <v>8.8999999999999999E-3</v>
      </c>
      <c r="W44" s="81">
        <v>1E-3</v>
      </c>
      <c r="X44" s="81">
        <v>0.35089999999999999</v>
      </c>
      <c r="Y44" s="81">
        <v>0.26779999999999998</v>
      </c>
      <c r="Z44" s="81">
        <v>1E-3</v>
      </c>
      <c r="AA44" s="81">
        <v>1E-3</v>
      </c>
      <c r="AB44" s="81">
        <v>0.24379999999999999</v>
      </c>
      <c r="AC44" s="81">
        <v>1E-3</v>
      </c>
      <c r="AD44" s="81">
        <v>1.72E-2</v>
      </c>
      <c r="AE44" s="81">
        <v>5.4000000000000003E-3</v>
      </c>
      <c r="AF44" s="81">
        <v>8.0000000000000004E-4</v>
      </c>
      <c r="AG44" s="40">
        <v>71100</v>
      </c>
      <c r="AH44" s="40">
        <v>18400</v>
      </c>
      <c r="AI44" s="82">
        <f t="shared" si="36"/>
        <v>10.426689605383796</v>
      </c>
      <c r="AJ44" s="41"/>
      <c r="AK44" s="40">
        <v>20400</v>
      </c>
      <c r="AL44" s="41">
        <v>791000</v>
      </c>
      <c r="AM44" s="83">
        <f>(((AL44/$AK44/G44/161/$D44)*5*161)/1000)*10</f>
        <v>2726.7587766470865</v>
      </c>
      <c r="AN44" s="41"/>
      <c r="AO44" s="40">
        <v>0</v>
      </c>
      <c r="AP44" s="84">
        <f t="shared" si="37"/>
        <v>0</v>
      </c>
      <c r="AQ44" s="40"/>
      <c r="AR44" s="40">
        <v>0</v>
      </c>
      <c r="AS44" s="85">
        <f t="shared" si="38"/>
        <v>0</v>
      </c>
      <c r="AT44" s="40"/>
      <c r="AU44" s="40">
        <v>14500</v>
      </c>
      <c r="AV44" s="40">
        <v>410000</v>
      </c>
      <c r="AW44" s="86">
        <f>(((AV44/AU44/M44/210/$D44)*5*210)/1000)*10</f>
        <v>1356.8072010060228</v>
      </c>
      <c r="AX44" s="40"/>
      <c r="AY44" s="41">
        <v>14600</v>
      </c>
      <c r="AZ44" s="86">
        <f t="shared" si="33"/>
        <v>130.76578593819974</v>
      </c>
      <c r="BA44" s="41"/>
      <c r="BB44" s="41">
        <v>942</v>
      </c>
      <c r="BC44" s="86">
        <f t="shared" ref="BC44:BC45" si="40">(((BB44/AU44/$O44/238/$D44)*5*238)/1000)*10</f>
        <v>64.965517241379317</v>
      </c>
      <c r="BD44" s="41"/>
      <c r="BE44" s="40">
        <v>28300</v>
      </c>
      <c r="BF44" s="40">
        <v>0</v>
      </c>
      <c r="BG44" s="84">
        <f t="shared" si="20"/>
        <v>0</v>
      </c>
      <c r="BH44" s="40"/>
      <c r="BI44" s="40">
        <v>3530</v>
      </c>
      <c r="BJ44" s="40">
        <v>0</v>
      </c>
      <c r="BK44" s="83">
        <f t="shared" si="21"/>
        <v>0</v>
      </c>
      <c r="BL44" s="40"/>
      <c r="BM44" s="40">
        <v>97900</v>
      </c>
      <c r="BN44" s="40">
        <v>0</v>
      </c>
      <c r="BO44" s="87">
        <f>(((BN44/$BM44/T44/293/$D44)*5*293)/1000)*10</f>
        <v>0</v>
      </c>
      <c r="BP44" s="41"/>
      <c r="BQ44" s="41">
        <v>0</v>
      </c>
      <c r="BR44" s="84">
        <f t="shared" si="30"/>
        <v>0</v>
      </c>
      <c r="BS44" s="41"/>
      <c r="BT44" s="40">
        <v>0</v>
      </c>
      <c r="BU44" s="87">
        <f t="shared" si="39"/>
        <v>0</v>
      </c>
      <c r="BV44" s="40"/>
      <c r="BW44" s="22"/>
      <c r="BX44" s="22"/>
      <c r="BY44" s="22"/>
      <c r="BZ44" s="65"/>
      <c r="CA44" s="65"/>
      <c r="CB44" s="65"/>
      <c r="CC44" s="65"/>
      <c r="CD44" s="65"/>
      <c r="CE44" s="65"/>
      <c r="CF44" s="22"/>
      <c r="CG44" s="22"/>
      <c r="CH44" s="22"/>
      <c r="CI44" s="65"/>
      <c r="CJ44" s="65"/>
      <c r="CK44" s="65"/>
      <c r="CL44" s="65"/>
      <c r="CM44" s="65"/>
      <c r="CN44" s="65"/>
      <c r="CO44" s="22"/>
      <c r="CP44" s="22"/>
      <c r="CQ44" s="22"/>
      <c r="CR44" s="22"/>
      <c r="CS44" s="22"/>
      <c r="CT44" s="22"/>
      <c r="CU44" s="65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91" x14ac:dyDescent="0.25">
      <c r="A45" s="79">
        <v>40</v>
      </c>
      <c r="B45" s="89" t="s">
        <v>30</v>
      </c>
      <c r="C45" s="91">
        <v>9</v>
      </c>
      <c r="D45" s="42">
        <v>0.01</v>
      </c>
      <c r="E45" s="81">
        <v>0.1241</v>
      </c>
      <c r="F45" s="81">
        <v>4.0000000000000001E-3</v>
      </c>
      <c r="G45" s="81">
        <v>7.1099999999999997E-2</v>
      </c>
      <c r="H45" s="81">
        <v>2.2000000000000001E-3</v>
      </c>
      <c r="I45" s="81">
        <v>1.0999999999999999E-2</v>
      </c>
      <c r="J45" s="81">
        <v>3.6600000000000001E-2</v>
      </c>
      <c r="K45" s="81">
        <v>4.3E-3</v>
      </c>
      <c r="L45" s="81">
        <v>7.0000000000000001E-3</v>
      </c>
      <c r="M45" s="81">
        <v>0.1042</v>
      </c>
      <c r="N45" s="81">
        <v>3.85E-2</v>
      </c>
      <c r="O45" s="81">
        <v>5.0000000000000001E-3</v>
      </c>
      <c r="P45" s="81">
        <v>0.1668</v>
      </c>
      <c r="Q45" s="81">
        <v>1.04E-2</v>
      </c>
      <c r="R45" s="81">
        <v>2.3E-3</v>
      </c>
      <c r="S45" s="81">
        <v>1.78E-2</v>
      </c>
      <c r="T45" s="81">
        <v>5.0799999999999998E-2</v>
      </c>
      <c r="U45" s="81">
        <v>3.3999999999999998E-3</v>
      </c>
      <c r="V45" s="81">
        <v>8.8999999999999999E-3</v>
      </c>
      <c r="W45" s="81">
        <v>1E-3</v>
      </c>
      <c r="X45" s="81">
        <v>0.35089999999999999</v>
      </c>
      <c r="Y45" s="81">
        <v>0.26779999999999998</v>
      </c>
      <c r="Z45" s="81">
        <v>1E-3</v>
      </c>
      <c r="AA45" s="81">
        <v>1E-3</v>
      </c>
      <c r="AB45" s="81">
        <v>0.24379999999999999</v>
      </c>
      <c r="AC45" s="81">
        <v>1E-3</v>
      </c>
      <c r="AD45" s="81">
        <v>1.72E-2</v>
      </c>
      <c r="AE45" s="81">
        <v>5.4000000000000003E-3</v>
      </c>
      <c r="AF45" s="81">
        <v>8.0000000000000004E-4</v>
      </c>
      <c r="AG45" s="40">
        <v>56300</v>
      </c>
      <c r="AH45" s="40">
        <v>1620</v>
      </c>
      <c r="AI45" s="82">
        <f t="shared" si="36"/>
        <v>1.1593240425199982</v>
      </c>
      <c r="AJ45" s="41"/>
      <c r="AK45" s="40">
        <v>16700</v>
      </c>
      <c r="AL45" s="41">
        <v>745000</v>
      </c>
      <c r="AM45" s="83">
        <f>(((AL45/$AK45/G45/161/$D45)*5*161)/1000)*10</f>
        <v>3137.1855445227693</v>
      </c>
      <c r="AN45" s="41"/>
      <c r="AO45" s="40">
        <v>0</v>
      </c>
      <c r="AP45" s="84">
        <f t="shared" si="37"/>
        <v>0</v>
      </c>
      <c r="AQ45" s="40"/>
      <c r="AR45" s="40">
        <v>0</v>
      </c>
      <c r="AS45" s="85">
        <f t="shared" si="38"/>
        <v>0</v>
      </c>
      <c r="AT45" s="40"/>
      <c r="AU45" s="40">
        <v>11200</v>
      </c>
      <c r="AV45" s="40">
        <v>255000</v>
      </c>
      <c r="AW45" s="86">
        <f>(((AV45/AU45/M45/210/$D45)*5*210)/1000)*10</f>
        <v>1092.5075404442005</v>
      </c>
      <c r="AX45" s="40"/>
      <c r="AY45" s="41">
        <v>19900</v>
      </c>
      <c r="AZ45" s="86">
        <f t="shared" si="33"/>
        <v>230.75139146567719</v>
      </c>
      <c r="BA45" s="41"/>
      <c r="BB45" s="41">
        <v>414</v>
      </c>
      <c r="BC45" s="86">
        <f t="shared" si="40"/>
        <v>36.964285714285708</v>
      </c>
      <c r="BD45" s="41"/>
      <c r="BE45" s="40">
        <v>16600</v>
      </c>
      <c r="BF45" s="40">
        <v>0</v>
      </c>
      <c r="BG45" s="84">
        <f t="shared" si="20"/>
        <v>0</v>
      </c>
      <c r="BH45" s="40"/>
      <c r="BI45" s="40">
        <v>2240</v>
      </c>
      <c r="BJ45" s="40">
        <v>0</v>
      </c>
      <c r="BK45" s="83">
        <f t="shared" si="21"/>
        <v>0</v>
      </c>
      <c r="BL45" s="40"/>
      <c r="BM45" s="40">
        <v>81600</v>
      </c>
      <c r="BN45" s="40">
        <v>0</v>
      </c>
      <c r="BO45" s="87">
        <f>(((BN45/$BM45/T45/293/$D45)*5*293)/1000)*10</f>
        <v>0</v>
      </c>
      <c r="BP45" s="41"/>
      <c r="BQ45" s="41">
        <v>0</v>
      </c>
      <c r="BR45" s="84">
        <f t="shared" si="30"/>
        <v>0</v>
      </c>
      <c r="BS45" s="41"/>
      <c r="BT45" s="40">
        <v>0</v>
      </c>
      <c r="BU45" s="87">
        <f t="shared" si="39"/>
        <v>0</v>
      </c>
      <c r="BV45" s="40"/>
      <c r="BW45" s="22"/>
      <c r="BX45" s="22"/>
      <c r="BY45" s="22"/>
      <c r="BZ45" s="65"/>
      <c r="CA45" s="65"/>
      <c r="CB45" s="65"/>
      <c r="CC45" s="65"/>
      <c r="CD45" s="65"/>
      <c r="CE45" s="65"/>
      <c r="CF45" s="22"/>
      <c r="CG45" s="22"/>
      <c r="CH45" s="22"/>
      <c r="CI45" s="65"/>
      <c r="CJ45" s="65"/>
      <c r="CK45" s="65"/>
      <c r="CL45" s="65"/>
      <c r="CM45" s="65"/>
      <c r="CN45" s="65"/>
      <c r="CO45" s="22"/>
      <c r="CP45" s="22"/>
      <c r="CQ45" s="22"/>
      <c r="CR45" s="22"/>
      <c r="CS45" s="22"/>
      <c r="CT45" s="22"/>
      <c r="CU45" s="65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91" x14ac:dyDescent="0.25">
      <c r="A46" s="79">
        <v>41</v>
      </c>
      <c r="B46" s="90" t="s">
        <v>26</v>
      </c>
      <c r="C46" s="91">
        <v>9</v>
      </c>
      <c r="D46" s="42">
        <v>1</v>
      </c>
      <c r="E46" s="81">
        <v>0.1241</v>
      </c>
      <c r="F46" s="81">
        <v>4.0000000000000001E-3</v>
      </c>
      <c r="G46" s="81">
        <v>7.1099999999999997E-2</v>
      </c>
      <c r="H46" s="81">
        <v>2.2000000000000001E-3</v>
      </c>
      <c r="I46" s="81">
        <v>1.0999999999999999E-2</v>
      </c>
      <c r="J46" s="81">
        <v>3.6600000000000001E-2</v>
      </c>
      <c r="K46" s="81">
        <v>4.3E-3</v>
      </c>
      <c r="L46" s="81">
        <v>7.0000000000000001E-3</v>
      </c>
      <c r="M46" s="81">
        <v>0.1042</v>
      </c>
      <c r="N46" s="81">
        <v>3.85E-2</v>
      </c>
      <c r="O46" s="81">
        <v>5.0000000000000001E-3</v>
      </c>
      <c r="P46" s="81">
        <v>0.1668</v>
      </c>
      <c r="Q46" s="81">
        <v>1.04E-2</v>
      </c>
      <c r="R46" s="81">
        <v>2.3E-3</v>
      </c>
      <c r="S46" s="81">
        <v>1.78E-2</v>
      </c>
      <c r="T46" s="81">
        <v>5.0799999999999998E-2</v>
      </c>
      <c r="U46" s="81">
        <v>3.3999999999999998E-3</v>
      </c>
      <c r="V46" s="81">
        <v>8.8999999999999999E-3</v>
      </c>
      <c r="W46" s="81">
        <v>1E-3</v>
      </c>
      <c r="X46" s="81">
        <v>0.35089999999999999</v>
      </c>
      <c r="Y46" s="81">
        <v>0.26779999999999998</v>
      </c>
      <c r="Z46" s="81">
        <v>1E-3</v>
      </c>
      <c r="AA46" s="81">
        <v>1E-3</v>
      </c>
      <c r="AB46" s="81">
        <v>0.24379999999999999</v>
      </c>
      <c r="AC46" s="81">
        <v>1E-3</v>
      </c>
      <c r="AD46" s="81">
        <v>1.72E-2</v>
      </c>
      <c r="AE46" s="81">
        <v>5.4000000000000003E-3</v>
      </c>
      <c r="AF46" s="81">
        <v>8.0000000000000004E-4</v>
      </c>
      <c r="AG46" s="40">
        <v>454000</v>
      </c>
      <c r="AH46" s="40">
        <v>7790</v>
      </c>
      <c r="AI46" s="82">
        <f t="shared" ref="AI46:AI48" si="41">((AH46/AG46/E46/138/$D46)*5*138)/1000</f>
        <v>6.9132112443070267E-4</v>
      </c>
      <c r="AJ46" s="41"/>
      <c r="AK46" s="40">
        <v>21100</v>
      </c>
      <c r="AL46" s="41">
        <v>127000</v>
      </c>
      <c r="AM46" s="83">
        <f>((AL46/$AK46/G46/161/$D46)*5*161)/1000</f>
        <v>0.42327407496283853</v>
      </c>
      <c r="AN46" s="41"/>
      <c r="AO46" s="40">
        <v>0</v>
      </c>
      <c r="AP46" s="84">
        <f t="shared" si="37"/>
        <v>0</v>
      </c>
      <c r="AQ46" s="40"/>
      <c r="AR46" s="40">
        <v>25700</v>
      </c>
      <c r="AS46" s="85">
        <f t="shared" si="38"/>
        <v>4.0434235368156074E-2</v>
      </c>
      <c r="AT46" s="40"/>
      <c r="AU46" s="40">
        <v>112000</v>
      </c>
      <c r="AV46" s="40">
        <v>311000</v>
      </c>
      <c r="AW46" s="86">
        <f>((AV46/AU46/M46/210/$D46)*5*210)/1000</f>
        <v>0.13324307650123388</v>
      </c>
      <c r="AX46" s="40"/>
      <c r="AY46" s="41">
        <v>1170000</v>
      </c>
      <c r="AZ46" s="86">
        <f>((AY46/$AU46/$N46/226/$D46)*5*226)/1000</f>
        <v>1.3566790352504636</v>
      </c>
      <c r="BA46" s="41"/>
      <c r="BB46" s="41">
        <v>1290</v>
      </c>
      <c r="BC46" s="86">
        <f t="shared" ref="BC46:BC48" si="42">((BB46/AU46/$O46/238/$D46)*5*238)/1000</f>
        <v>1.1517857142857142E-2</v>
      </c>
      <c r="BD46" s="41"/>
      <c r="BE46" s="40">
        <v>98200</v>
      </c>
      <c r="BF46" s="40">
        <v>0</v>
      </c>
      <c r="BG46" s="84">
        <f t="shared" si="20"/>
        <v>0</v>
      </c>
      <c r="BH46" s="40"/>
      <c r="BI46" s="40">
        <v>25800</v>
      </c>
      <c r="BJ46" s="40">
        <v>0</v>
      </c>
      <c r="BK46" s="83">
        <f t="shared" si="21"/>
        <v>0</v>
      </c>
      <c r="BL46" s="40"/>
      <c r="BM46" s="40">
        <v>85400</v>
      </c>
      <c r="BN46" s="40">
        <v>0</v>
      </c>
      <c r="BO46" s="87">
        <f t="shared" ref="BO46:BO54" si="43">((BN46/$BM46/T46/293/$D46)*5*293)/1000</f>
        <v>0</v>
      </c>
      <c r="BP46" s="41"/>
      <c r="BQ46" s="41">
        <v>859</v>
      </c>
      <c r="BR46" s="84">
        <f t="shared" si="30"/>
        <v>1.0787407509345686E-3</v>
      </c>
      <c r="BS46" s="41"/>
      <c r="BT46" s="40">
        <v>943</v>
      </c>
      <c r="BU46" s="87">
        <f t="shared" si="39"/>
        <v>1.018384954337919E-4</v>
      </c>
      <c r="BV46" s="40"/>
      <c r="BW46" s="22"/>
      <c r="BX46" s="22"/>
      <c r="BY46" s="22"/>
      <c r="BZ46" s="65"/>
      <c r="CA46" s="65"/>
      <c r="CB46" s="65"/>
      <c r="CC46" s="65"/>
      <c r="CD46" s="65"/>
      <c r="CE46" s="65"/>
      <c r="CF46" s="22"/>
      <c r="CG46" s="22"/>
      <c r="CH46" s="22"/>
      <c r="CI46" s="65"/>
      <c r="CJ46" s="65"/>
      <c r="CK46" s="65"/>
      <c r="CL46" s="65"/>
      <c r="CM46" s="65"/>
      <c r="CN46" s="65"/>
      <c r="CO46" s="22"/>
      <c r="CP46" s="22"/>
      <c r="CQ46" s="22"/>
      <c r="CR46" s="22"/>
      <c r="CS46" s="22"/>
      <c r="CT46" s="22"/>
      <c r="CU46" s="65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91" x14ac:dyDescent="0.25">
      <c r="A47" s="79">
        <v>42</v>
      </c>
      <c r="B47" s="90" t="s">
        <v>27</v>
      </c>
      <c r="C47" s="91">
        <v>9</v>
      </c>
      <c r="D47" s="42">
        <v>1</v>
      </c>
      <c r="E47" s="81">
        <v>0.1241</v>
      </c>
      <c r="F47" s="81">
        <v>4.0000000000000001E-3</v>
      </c>
      <c r="G47" s="81">
        <v>7.1099999999999997E-2</v>
      </c>
      <c r="H47" s="81">
        <v>2.2000000000000001E-3</v>
      </c>
      <c r="I47" s="81">
        <v>1.0999999999999999E-2</v>
      </c>
      <c r="J47" s="81">
        <v>3.6600000000000001E-2</v>
      </c>
      <c r="K47" s="81">
        <v>4.3E-3</v>
      </c>
      <c r="L47" s="81">
        <v>7.0000000000000001E-3</v>
      </c>
      <c r="M47" s="81">
        <v>0.1042</v>
      </c>
      <c r="N47" s="81">
        <v>3.85E-2</v>
      </c>
      <c r="O47" s="81">
        <v>5.0000000000000001E-3</v>
      </c>
      <c r="P47" s="81">
        <v>0.1668</v>
      </c>
      <c r="Q47" s="81">
        <v>1.04E-2</v>
      </c>
      <c r="R47" s="81">
        <v>2.3E-3</v>
      </c>
      <c r="S47" s="81">
        <v>1.78E-2</v>
      </c>
      <c r="T47" s="81">
        <v>5.0799999999999998E-2</v>
      </c>
      <c r="U47" s="81">
        <v>3.3999999999999998E-3</v>
      </c>
      <c r="V47" s="81">
        <v>8.8999999999999999E-3</v>
      </c>
      <c r="W47" s="81">
        <v>1E-3</v>
      </c>
      <c r="X47" s="81">
        <v>0.35089999999999999</v>
      </c>
      <c r="Y47" s="81">
        <v>0.26779999999999998</v>
      </c>
      <c r="Z47" s="81">
        <v>1E-3</v>
      </c>
      <c r="AA47" s="81">
        <v>1E-3</v>
      </c>
      <c r="AB47" s="81">
        <v>0.24379999999999999</v>
      </c>
      <c r="AC47" s="81">
        <v>1E-3</v>
      </c>
      <c r="AD47" s="81">
        <v>1.72E-2</v>
      </c>
      <c r="AE47" s="81">
        <v>5.4000000000000003E-3</v>
      </c>
      <c r="AF47" s="81">
        <v>8.0000000000000004E-4</v>
      </c>
      <c r="AG47" s="40">
        <v>406000</v>
      </c>
      <c r="AH47" s="40">
        <v>8050</v>
      </c>
      <c r="AI47" s="82">
        <f t="shared" si="41"/>
        <v>7.9885520575731484E-4</v>
      </c>
      <c r="AJ47" s="41"/>
      <c r="AK47" s="40">
        <v>33100</v>
      </c>
      <c r="AL47" s="41">
        <v>49700</v>
      </c>
      <c r="AM47" s="83">
        <f>((AL47/$AK47/G47/161/$D47)*5*161)/1000</f>
        <v>0.10559146090141541</v>
      </c>
      <c r="AN47" s="41"/>
      <c r="AO47" s="40">
        <v>0</v>
      </c>
      <c r="AP47" s="84">
        <f t="shared" si="37"/>
        <v>0</v>
      </c>
      <c r="AQ47" s="40"/>
      <c r="AR47" s="40">
        <v>36900</v>
      </c>
      <c r="AS47" s="85">
        <f t="shared" si="38"/>
        <v>6.4919071076706539E-2</v>
      </c>
      <c r="AT47" s="40"/>
      <c r="AU47" s="40">
        <v>107000</v>
      </c>
      <c r="AV47" s="40">
        <v>383000</v>
      </c>
      <c r="AW47" s="86">
        <f>((AV47/AU47/M47/210/$D47)*5*210)/1000</f>
        <v>0.17175812151326528</v>
      </c>
      <c r="AX47" s="40"/>
      <c r="AY47" s="41">
        <v>1050000</v>
      </c>
      <c r="AZ47" s="86">
        <f>((AY47/$AU47/$N47/226/$D47)*5*226)/1000</f>
        <v>1.2744265080713679</v>
      </c>
      <c r="BA47" s="41"/>
      <c r="BB47" s="41">
        <v>1850</v>
      </c>
      <c r="BC47" s="86">
        <f t="shared" si="42"/>
        <v>1.7289719626168223E-2</v>
      </c>
      <c r="BD47" s="41"/>
      <c r="BE47" s="40">
        <v>82100</v>
      </c>
      <c r="BF47" s="40">
        <v>0</v>
      </c>
      <c r="BG47" s="84">
        <f t="shared" si="20"/>
        <v>0</v>
      </c>
      <c r="BH47" s="40"/>
      <c r="BI47" s="40">
        <v>24500</v>
      </c>
      <c r="BJ47" s="40">
        <v>0</v>
      </c>
      <c r="BK47" s="83">
        <f t="shared" si="21"/>
        <v>0</v>
      </c>
      <c r="BL47" s="40"/>
      <c r="BM47" s="40">
        <v>86600</v>
      </c>
      <c r="BN47" s="40">
        <v>0</v>
      </c>
      <c r="BO47" s="87">
        <f t="shared" si="43"/>
        <v>0</v>
      </c>
      <c r="BP47" s="41"/>
      <c r="BQ47" s="41">
        <v>1570</v>
      </c>
      <c r="BR47" s="84">
        <f t="shared" si="30"/>
        <v>2.0637534804035834E-3</v>
      </c>
      <c r="BS47" s="41"/>
      <c r="BT47" s="40">
        <v>960</v>
      </c>
      <c r="BU47" s="87">
        <f t="shared" si="39"/>
        <v>1.0223779948574515E-4</v>
      </c>
      <c r="BV47" s="40"/>
      <c r="BW47" s="22"/>
      <c r="BX47" s="22"/>
      <c r="BY47" s="22"/>
      <c r="BZ47" s="65"/>
      <c r="CA47" s="65"/>
      <c r="CB47" s="65"/>
      <c r="CC47" s="65"/>
      <c r="CD47" s="65"/>
      <c r="CE47" s="65"/>
      <c r="CF47" s="22"/>
      <c r="CG47" s="22"/>
      <c r="CH47" s="22"/>
      <c r="CI47" s="65"/>
      <c r="CJ47" s="65"/>
      <c r="CK47" s="65"/>
      <c r="CL47" s="65"/>
      <c r="CM47" s="65"/>
      <c r="CN47" s="65"/>
      <c r="CO47" s="22"/>
      <c r="CP47" s="22"/>
      <c r="CQ47" s="22"/>
      <c r="CR47" s="22"/>
      <c r="CS47" s="22"/>
      <c r="CT47" s="22"/>
      <c r="CU47" s="65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</row>
    <row r="48" spans="1:191" x14ac:dyDescent="0.25">
      <c r="A48" s="79">
        <v>43</v>
      </c>
      <c r="B48" s="90" t="s">
        <v>29</v>
      </c>
      <c r="C48" s="91">
        <v>9</v>
      </c>
      <c r="D48" s="42">
        <v>1</v>
      </c>
      <c r="E48" s="81">
        <v>0.1241</v>
      </c>
      <c r="F48" s="81">
        <v>4.0000000000000001E-3</v>
      </c>
      <c r="G48" s="81">
        <v>7.1099999999999997E-2</v>
      </c>
      <c r="H48" s="81">
        <v>2.2000000000000001E-3</v>
      </c>
      <c r="I48" s="81">
        <v>1.0999999999999999E-2</v>
      </c>
      <c r="J48" s="81">
        <v>3.6600000000000001E-2</v>
      </c>
      <c r="K48" s="81">
        <v>4.3E-3</v>
      </c>
      <c r="L48" s="81">
        <v>7.0000000000000001E-3</v>
      </c>
      <c r="M48" s="81">
        <v>0.1042</v>
      </c>
      <c r="N48" s="81">
        <v>3.85E-2</v>
      </c>
      <c r="O48" s="81">
        <v>5.0000000000000001E-3</v>
      </c>
      <c r="P48" s="81">
        <v>0.1668</v>
      </c>
      <c r="Q48" s="81">
        <v>1.04E-2</v>
      </c>
      <c r="R48" s="81">
        <v>2.3E-3</v>
      </c>
      <c r="S48" s="81">
        <v>1.78E-2</v>
      </c>
      <c r="T48" s="81">
        <v>5.0799999999999998E-2</v>
      </c>
      <c r="U48" s="81">
        <v>3.3999999999999998E-3</v>
      </c>
      <c r="V48" s="81">
        <v>8.8999999999999999E-3</v>
      </c>
      <c r="W48" s="81">
        <v>1E-3</v>
      </c>
      <c r="X48" s="81">
        <v>0.35089999999999999</v>
      </c>
      <c r="Y48" s="81">
        <v>0.26779999999999998</v>
      </c>
      <c r="Z48" s="81">
        <v>1E-3</v>
      </c>
      <c r="AA48" s="81">
        <v>1E-3</v>
      </c>
      <c r="AB48" s="81">
        <v>0.24379999999999999</v>
      </c>
      <c r="AC48" s="81">
        <v>1E-3</v>
      </c>
      <c r="AD48" s="81">
        <v>1.72E-2</v>
      </c>
      <c r="AE48" s="81">
        <v>5.4000000000000003E-3</v>
      </c>
      <c r="AF48" s="81">
        <v>8.0000000000000004E-4</v>
      </c>
      <c r="AG48" s="40">
        <v>581000</v>
      </c>
      <c r="AH48" s="40">
        <v>10800</v>
      </c>
      <c r="AI48" s="82">
        <f t="shared" si="41"/>
        <v>7.4893796435887431E-4</v>
      </c>
      <c r="AJ48" s="41"/>
      <c r="AK48" s="40">
        <v>98000</v>
      </c>
      <c r="AL48" s="41">
        <v>52300</v>
      </c>
      <c r="AM48" s="83">
        <f>((AL48/$AK48/G48/161/$D48)*5*161)/1000</f>
        <v>3.7529779844427215E-2</v>
      </c>
      <c r="AN48" s="41"/>
      <c r="AO48" s="40">
        <v>0</v>
      </c>
      <c r="AP48" s="84">
        <f t="shared" si="37"/>
        <v>0</v>
      </c>
      <c r="AQ48" s="40"/>
      <c r="AR48" s="40">
        <v>8190</v>
      </c>
      <c r="AS48" s="85">
        <f t="shared" si="38"/>
        <v>1.0068846815834767E-2</v>
      </c>
      <c r="AT48" s="40"/>
      <c r="AU48" s="40">
        <v>127000</v>
      </c>
      <c r="AV48" s="40">
        <v>6740</v>
      </c>
      <c r="AW48" s="86">
        <f>((AV48/AU48/M48/210/$D48)*5*210)/1000</f>
        <v>2.5465866670696877E-3</v>
      </c>
      <c r="AX48" s="40"/>
      <c r="AY48" s="41">
        <v>1120000</v>
      </c>
      <c r="AZ48" s="86">
        <f>((AY48/$AU48/$N48/226/$D48)*5*226)/1000</f>
        <v>1.1453113815318541</v>
      </c>
      <c r="BA48" s="41"/>
      <c r="BB48" s="41">
        <v>0</v>
      </c>
      <c r="BC48" s="86">
        <f t="shared" si="42"/>
        <v>0</v>
      </c>
      <c r="BD48" s="41"/>
      <c r="BE48" s="40">
        <v>84100</v>
      </c>
      <c r="BF48" s="40">
        <v>0</v>
      </c>
      <c r="BG48" s="84">
        <f t="shared" si="20"/>
        <v>0</v>
      </c>
      <c r="BH48" s="40"/>
      <c r="BI48" s="40">
        <v>23700</v>
      </c>
      <c r="BJ48" s="40">
        <v>0</v>
      </c>
      <c r="BK48" s="83">
        <f t="shared" si="21"/>
        <v>0</v>
      </c>
      <c r="BL48" s="40"/>
      <c r="BM48" s="40">
        <v>85000</v>
      </c>
      <c r="BN48" s="40">
        <v>0</v>
      </c>
      <c r="BO48" s="87">
        <f t="shared" si="43"/>
        <v>0</v>
      </c>
      <c r="BP48" s="41"/>
      <c r="BQ48" s="41">
        <v>0</v>
      </c>
      <c r="BR48" s="84">
        <f t="shared" si="30"/>
        <v>0</v>
      </c>
      <c r="BS48" s="41"/>
      <c r="BT48" s="40">
        <v>0</v>
      </c>
      <c r="BU48" s="87">
        <f t="shared" si="39"/>
        <v>0</v>
      </c>
      <c r="BV48" s="40"/>
      <c r="BW48" s="22"/>
      <c r="BX48" s="22"/>
      <c r="BY48" s="22"/>
      <c r="BZ48" s="65"/>
      <c r="CA48" s="65"/>
      <c r="CB48" s="65"/>
      <c r="CC48" s="65"/>
      <c r="CD48" s="65"/>
      <c r="CE48" s="65"/>
      <c r="CF48" s="22"/>
      <c r="CG48" s="22"/>
      <c r="CH48" s="22"/>
      <c r="CI48" s="65"/>
      <c r="CJ48" s="65"/>
      <c r="CK48" s="65"/>
      <c r="CL48" s="65"/>
      <c r="CM48" s="65"/>
      <c r="CN48" s="65"/>
      <c r="CO48" s="22"/>
      <c r="CP48" s="22"/>
      <c r="CQ48" s="22"/>
      <c r="CR48" s="22"/>
      <c r="CS48" s="22"/>
      <c r="CT48" s="22"/>
      <c r="CU48" s="65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91" s="41" customFormat="1" x14ac:dyDescent="0.25">
      <c r="A49" s="79">
        <v>44</v>
      </c>
      <c r="B49" s="80" t="s">
        <v>19</v>
      </c>
      <c r="C49" s="91">
        <v>12</v>
      </c>
      <c r="D49" s="42">
        <v>0.01</v>
      </c>
      <c r="E49" s="81">
        <v>0.1241</v>
      </c>
      <c r="F49" s="81">
        <v>4.0000000000000001E-3</v>
      </c>
      <c r="G49" s="81">
        <v>7.1099999999999997E-2</v>
      </c>
      <c r="H49" s="81">
        <v>2.2000000000000001E-3</v>
      </c>
      <c r="I49" s="81">
        <v>1.0999999999999999E-2</v>
      </c>
      <c r="J49" s="81">
        <v>3.6600000000000001E-2</v>
      </c>
      <c r="K49" s="81">
        <v>4.3E-3</v>
      </c>
      <c r="L49" s="81">
        <v>7.0000000000000001E-3</v>
      </c>
      <c r="M49" s="81">
        <v>0.1042</v>
      </c>
      <c r="N49" s="81">
        <v>3.85E-2</v>
      </c>
      <c r="O49" s="81">
        <v>5.0000000000000001E-3</v>
      </c>
      <c r="P49" s="81">
        <v>0.1668</v>
      </c>
      <c r="Q49" s="81">
        <v>1.04E-2</v>
      </c>
      <c r="R49" s="81">
        <v>2.3E-3</v>
      </c>
      <c r="S49" s="81">
        <v>1.78E-2</v>
      </c>
      <c r="T49" s="81">
        <v>5.0799999999999998E-2</v>
      </c>
      <c r="U49" s="81">
        <v>3.3999999999999998E-3</v>
      </c>
      <c r="V49" s="81">
        <v>8.8999999999999999E-3</v>
      </c>
      <c r="W49" s="81">
        <v>1E-3</v>
      </c>
      <c r="X49" s="81">
        <v>0.35089999999999999</v>
      </c>
      <c r="Y49" s="81">
        <v>0.26779999999999998</v>
      </c>
      <c r="Z49" s="81">
        <v>1E-3</v>
      </c>
      <c r="AA49" s="81">
        <v>1E-3</v>
      </c>
      <c r="AB49" s="81">
        <v>0.24379999999999999</v>
      </c>
      <c r="AC49" s="81">
        <v>1E-3</v>
      </c>
      <c r="AD49" s="81">
        <v>1.72E-2</v>
      </c>
      <c r="AE49" s="81">
        <v>5.4000000000000003E-3</v>
      </c>
      <c r="AF49" s="81">
        <v>8.0000000000000004E-4</v>
      </c>
      <c r="AG49" s="40">
        <v>70000</v>
      </c>
      <c r="AH49" s="40">
        <v>1400</v>
      </c>
      <c r="AI49" s="82">
        <f t="shared" ref="AI49:AI54" si="44">(((AH49/AG49/E49/138/$D49)*5*138)/1000)*10</f>
        <v>0.80580177276390008</v>
      </c>
      <c r="AK49" s="40">
        <v>21400</v>
      </c>
      <c r="AL49" s="41">
        <v>667000</v>
      </c>
      <c r="AM49" s="83">
        <f t="shared" ref="AM49:AM54" si="45">((AL49/$AK49/G49/161/$D49)*5*210)/1000*10</f>
        <v>2858.9455420166405</v>
      </c>
      <c r="AO49" s="40">
        <v>0</v>
      </c>
      <c r="AP49" s="84">
        <f t="shared" ref="AP49:AP54" si="46">(((AO49/AK49/I49/175/$D49)*5*210)/1000)*10</f>
        <v>0</v>
      </c>
      <c r="AQ49" s="40"/>
      <c r="AR49" s="40">
        <v>0</v>
      </c>
      <c r="AS49" s="85">
        <f t="shared" ref="AS49:AS54" si="47">((AR49/AG49/L49/226/$D49)*5*210)/1000</f>
        <v>0</v>
      </c>
      <c r="AT49" s="40"/>
      <c r="AU49" s="40">
        <v>23700</v>
      </c>
      <c r="AV49" s="40">
        <v>206000</v>
      </c>
      <c r="AW49" s="86">
        <f t="shared" si="25"/>
        <v>417.08172372182673</v>
      </c>
      <c r="AX49" s="40"/>
      <c r="AY49" s="41">
        <v>17200</v>
      </c>
      <c r="AZ49" s="86">
        <f t="shared" ref="AZ49:AZ54" si="48">(((AY49/$AU49/$N49/226/$D49)*5*226)/1000)*10</f>
        <v>94.251739821360047</v>
      </c>
      <c r="BB49" s="41">
        <v>0</v>
      </c>
      <c r="BC49" s="86">
        <f t="shared" ref="BC49:BC54" si="49">(((BB49/AU49/$O49/238/$D49)*5*238)/1000)*10</f>
        <v>0</v>
      </c>
      <c r="BE49" s="40">
        <v>23400</v>
      </c>
      <c r="BF49" s="40">
        <v>0</v>
      </c>
      <c r="BG49" s="84">
        <f t="shared" si="20"/>
        <v>0</v>
      </c>
      <c r="BH49" s="40"/>
      <c r="BI49" s="40">
        <v>4230</v>
      </c>
      <c r="BJ49" s="40">
        <v>0</v>
      </c>
      <c r="BK49" s="83">
        <f t="shared" si="21"/>
        <v>0</v>
      </c>
      <c r="BL49" s="40"/>
      <c r="BM49" s="40">
        <v>95700</v>
      </c>
      <c r="BN49" s="40">
        <v>0</v>
      </c>
      <c r="BO49" s="87">
        <f t="shared" si="43"/>
        <v>0</v>
      </c>
      <c r="BQ49" s="41">
        <v>0</v>
      </c>
      <c r="BR49" s="84">
        <f t="shared" si="30"/>
        <v>0</v>
      </c>
      <c r="BT49" s="40">
        <v>0</v>
      </c>
      <c r="BU49" s="87">
        <f t="shared" ref="BU49:BU54" si="50">((BT49/$BM49/X49/309/$D49)*5*309)/1000</f>
        <v>0</v>
      </c>
      <c r="BV49" s="40"/>
      <c r="BW49" s="22"/>
      <c r="BX49" s="22"/>
      <c r="BY49" s="22"/>
      <c r="BZ49" s="65"/>
      <c r="CA49" s="65"/>
      <c r="CB49" s="65"/>
      <c r="CC49" s="65"/>
      <c r="CD49" s="65"/>
      <c r="CE49" s="65"/>
      <c r="CF49" s="22"/>
      <c r="CG49" s="22"/>
      <c r="CH49" s="22"/>
      <c r="CI49" s="65"/>
      <c r="CJ49" s="65"/>
      <c r="CK49" s="65"/>
      <c r="CL49" s="65"/>
      <c r="CM49" s="65"/>
      <c r="CN49" s="65"/>
      <c r="CO49" s="22"/>
      <c r="CP49" s="22"/>
      <c r="CQ49" s="22"/>
      <c r="CR49" s="22"/>
      <c r="CS49" s="22"/>
      <c r="CT49" s="22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</row>
    <row r="50" spans="1:191" s="41" customFormat="1" x14ac:dyDescent="0.25">
      <c r="A50" s="79">
        <v>45</v>
      </c>
      <c r="B50" s="80" t="s">
        <v>20</v>
      </c>
      <c r="C50" s="91">
        <v>12</v>
      </c>
      <c r="D50" s="42">
        <v>0.01</v>
      </c>
      <c r="E50" s="81">
        <v>0.1241</v>
      </c>
      <c r="F50" s="81">
        <v>4.0000000000000001E-3</v>
      </c>
      <c r="G50" s="81">
        <v>7.1099999999999997E-2</v>
      </c>
      <c r="H50" s="81">
        <v>2.2000000000000001E-3</v>
      </c>
      <c r="I50" s="81">
        <v>1.0999999999999999E-2</v>
      </c>
      <c r="J50" s="81">
        <v>3.6600000000000001E-2</v>
      </c>
      <c r="K50" s="81">
        <v>4.3E-3</v>
      </c>
      <c r="L50" s="81">
        <v>7.0000000000000001E-3</v>
      </c>
      <c r="M50" s="81">
        <v>0.1042</v>
      </c>
      <c r="N50" s="81">
        <v>3.85E-2</v>
      </c>
      <c r="O50" s="81">
        <v>5.0000000000000001E-3</v>
      </c>
      <c r="P50" s="81">
        <v>0.1668</v>
      </c>
      <c r="Q50" s="81">
        <v>1.04E-2</v>
      </c>
      <c r="R50" s="81">
        <v>2.3E-3</v>
      </c>
      <c r="S50" s="81">
        <v>1.78E-2</v>
      </c>
      <c r="T50" s="81">
        <v>5.0799999999999998E-2</v>
      </c>
      <c r="U50" s="81">
        <v>3.3999999999999998E-3</v>
      </c>
      <c r="V50" s="81">
        <v>8.8999999999999999E-3</v>
      </c>
      <c r="W50" s="81">
        <v>1E-3</v>
      </c>
      <c r="X50" s="81">
        <v>0.35089999999999999</v>
      </c>
      <c r="Y50" s="81">
        <v>0.26779999999999998</v>
      </c>
      <c r="Z50" s="81">
        <v>1E-3</v>
      </c>
      <c r="AA50" s="81">
        <v>1E-3</v>
      </c>
      <c r="AB50" s="81">
        <v>0.24379999999999999</v>
      </c>
      <c r="AC50" s="81">
        <v>1E-3</v>
      </c>
      <c r="AD50" s="81">
        <v>1.72E-2</v>
      </c>
      <c r="AE50" s="81">
        <v>5.4000000000000003E-3</v>
      </c>
      <c r="AF50" s="81">
        <v>8.0000000000000004E-4</v>
      </c>
      <c r="AG50" s="40">
        <v>82200</v>
      </c>
      <c r="AH50" s="40">
        <v>1560</v>
      </c>
      <c r="AI50" s="82">
        <f t="shared" si="44"/>
        <v>0.76462941941099982</v>
      </c>
      <c r="AK50" s="40">
        <v>23500</v>
      </c>
      <c r="AL50" s="41">
        <v>876000</v>
      </c>
      <c r="AM50" s="83">
        <f t="shared" si="45"/>
        <v>3419.2437850560318</v>
      </c>
      <c r="AO50" s="40">
        <v>0</v>
      </c>
      <c r="AP50" s="84">
        <f t="shared" si="46"/>
        <v>0</v>
      </c>
      <c r="AQ50" s="40"/>
      <c r="AR50" s="40">
        <v>0</v>
      </c>
      <c r="AS50" s="85">
        <f t="shared" si="47"/>
        <v>0</v>
      </c>
      <c r="AT50" s="40"/>
      <c r="AU50" s="40">
        <v>22400</v>
      </c>
      <c r="AV50" s="40">
        <v>147000</v>
      </c>
      <c r="AW50" s="86">
        <f t="shared" si="25"/>
        <v>314.89923224568133</v>
      </c>
      <c r="AX50" s="40"/>
      <c r="AY50" s="41">
        <v>22200</v>
      </c>
      <c r="AZ50" s="86">
        <f t="shared" si="48"/>
        <v>128.71057513914656</v>
      </c>
      <c r="BB50" s="41">
        <v>0</v>
      </c>
      <c r="BC50" s="86">
        <f t="shared" si="49"/>
        <v>0</v>
      </c>
      <c r="BE50" s="40">
        <v>23400</v>
      </c>
      <c r="BF50" s="40">
        <v>0</v>
      </c>
      <c r="BG50" s="84">
        <f t="shared" si="20"/>
        <v>0</v>
      </c>
      <c r="BH50" s="40"/>
      <c r="BI50" s="40">
        <v>4020</v>
      </c>
      <c r="BJ50" s="40">
        <v>0</v>
      </c>
      <c r="BK50" s="83">
        <f t="shared" si="21"/>
        <v>0</v>
      </c>
      <c r="BL50" s="40"/>
      <c r="BM50" s="40">
        <v>95000</v>
      </c>
      <c r="BN50" s="40">
        <v>0</v>
      </c>
      <c r="BO50" s="87">
        <f t="shared" si="43"/>
        <v>0</v>
      </c>
      <c r="BQ50" s="41">
        <v>0</v>
      </c>
      <c r="BR50" s="84">
        <f t="shared" si="30"/>
        <v>0</v>
      </c>
      <c r="BT50" s="40">
        <v>0</v>
      </c>
      <c r="BU50" s="87">
        <f t="shared" si="50"/>
        <v>0</v>
      </c>
      <c r="BV50" s="40"/>
      <c r="BW50" s="22"/>
      <c r="BX50" s="22"/>
      <c r="BY50" s="22"/>
      <c r="BZ50" s="65"/>
      <c r="CA50" s="65"/>
      <c r="CB50" s="65"/>
      <c r="CC50" s="65"/>
      <c r="CD50" s="65"/>
      <c r="CE50" s="65"/>
      <c r="CF50" s="22"/>
      <c r="CG50" s="22"/>
      <c r="CH50" s="22"/>
      <c r="CI50" s="65"/>
      <c r="CJ50" s="65"/>
      <c r="CK50" s="65"/>
      <c r="CL50" s="65"/>
      <c r="CM50" s="65"/>
      <c r="CN50" s="65"/>
      <c r="CO50" s="22"/>
      <c r="CP50" s="22"/>
      <c r="CQ50" s="22"/>
      <c r="CR50" s="22"/>
      <c r="CS50" s="22"/>
      <c r="CT50" s="22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</row>
    <row r="51" spans="1:191" s="41" customFormat="1" x14ac:dyDescent="0.25">
      <c r="A51" s="79">
        <v>46</v>
      </c>
      <c r="B51" s="80" t="s">
        <v>21</v>
      </c>
      <c r="C51" s="91">
        <v>12</v>
      </c>
      <c r="D51" s="42">
        <v>0.01</v>
      </c>
      <c r="E51" s="81">
        <v>0.1241</v>
      </c>
      <c r="F51" s="81">
        <v>4.0000000000000001E-3</v>
      </c>
      <c r="G51" s="81">
        <v>7.1099999999999997E-2</v>
      </c>
      <c r="H51" s="81">
        <v>2.2000000000000001E-3</v>
      </c>
      <c r="I51" s="81">
        <v>1.0999999999999999E-2</v>
      </c>
      <c r="J51" s="81">
        <v>3.6600000000000001E-2</v>
      </c>
      <c r="K51" s="81">
        <v>4.3E-3</v>
      </c>
      <c r="L51" s="81">
        <v>7.0000000000000001E-3</v>
      </c>
      <c r="M51" s="81">
        <v>0.1042</v>
      </c>
      <c r="N51" s="81">
        <v>3.85E-2</v>
      </c>
      <c r="O51" s="81">
        <v>5.0000000000000001E-3</v>
      </c>
      <c r="P51" s="81">
        <v>0.1668</v>
      </c>
      <c r="Q51" s="81">
        <v>1.04E-2</v>
      </c>
      <c r="R51" s="81">
        <v>2.3E-3</v>
      </c>
      <c r="S51" s="81">
        <v>1.78E-2</v>
      </c>
      <c r="T51" s="81">
        <v>5.0799999999999998E-2</v>
      </c>
      <c r="U51" s="81">
        <v>3.3999999999999998E-3</v>
      </c>
      <c r="V51" s="81">
        <v>8.8999999999999999E-3</v>
      </c>
      <c r="W51" s="81">
        <v>1E-3</v>
      </c>
      <c r="X51" s="81">
        <v>0.35089999999999999</v>
      </c>
      <c r="Y51" s="81">
        <v>0.26779999999999998</v>
      </c>
      <c r="Z51" s="81">
        <v>1E-3</v>
      </c>
      <c r="AA51" s="81">
        <v>1E-3</v>
      </c>
      <c r="AB51" s="81">
        <v>0.24379999999999999</v>
      </c>
      <c r="AC51" s="81">
        <v>1E-3</v>
      </c>
      <c r="AD51" s="81">
        <v>1.72E-2</v>
      </c>
      <c r="AE51" s="81">
        <v>5.4000000000000003E-3</v>
      </c>
      <c r="AF51" s="81">
        <v>8.0000000000000004E-4</v>
      </c>
      <c r="AG51" s="40">
        <v>80900</v>
      </c>
      <c r="AH51" s="40">
        <v>2020</v>
      </c>
      <c r="AI51" s="82">
        <f t="shared" si="44"/>
        <v>1.0060071575915195</v>
      </c>
      <c r="AK51" s="40">
        <v>19100</v>
      </c>
      <c r="AL51" s="41">
        <v>857000</v>
      </c>
      <c r="AM51" s="83">
        <f t="shared" si="45"/>
        <v>4115.6769352085839</v>
      </c>
      <c r="AO51" s="40">
        <v>0</v>
      </c>
      <c r="AP51" s="84">
        <f t="shared" si="46"/>
        <v>0</v>
      </c>
      <c r="AQ51" s="40"/>
      <c r="AR51" s="40">
        <v>0</v>
      </c>
      <c r="AS51" s="85">
        <f t="shared" si="47"/>
        <v>0</v>
      </c>
      <c r="AT51" s="40"/>
      <c r="AU51" s="40">
        <v>19700</v>
      </c>
      <c r="AV51" s="40">
        <v>238000</v>
      </c>
      <c r="AW51" s="86">
        <f t="shared" si="25"/>
        <v>579.71296900727805</v>
      </c>
      <c r="AX51" s="40"/>
      <c r="AY51" s="41">
        <v>12900</v>
      </c>
      <c r="AZ51" s="86">
        <f t="shared" si="48"/>
        <v>85.041861691607863</v>
      </c>
      <c r="BB51" s="41">
        <v>0</v>
      </c>
      <c r="BC51" s="86">
        <f t="shared" si="49"/>
        <v>0</v>
      </c>
      <c r="BE51" s="40">
        <v>19200</v>
      </c>
      <c r="BF51" s="40">
        <v>0</v>
      </c>
      <c r="BG51" s="84">
        <f t="shared" si="20"/>
        <v>0</v>
      </c>
      <c r="BH51" s="40"/>
      <c r="BI51" s="40">
        <v>3490</v>
      </c>
      <c r="BJ51" s="40">
        <v>0</v>
      </c>
      <c r="BK51" s="83">
        <f t="shared" si="21"/>
        <v>0</v>
      </c>
      <c r="BL51" s="40"/>
      <c r="BM51" s="40">
        <v>82900</v>
      </c>
      <c r="BN51" s="40">
        <v>0</v>
      </c>
      <c r="BO51" s="87">
        <f t="shared" si="43"/>
        <v>0</v>
      </c>
      <c r="BQ51" s="41">
        <v>0</v>
      </c>
      <c r="BR51" s="84">
        <f t="shared" si="30"/>
        <v>0</v>
      </c>
      <c r="BT51" s="40">
        <v>0</v>
      </c>
      <c r="BU51" s="87">
        <f t="shared" si="50"/>
        <v>0</v>
      </c>
      <c r="BV51" s="40"/>
      <c r="BW51" s="22"/>
      <c r="BX51" s="22"/>
      <c r="BY51" s="22"/>
      <c r="BZ51" s="65"/>
      <c r="CA51" s="65"/>
      <c r="CB51" s="65"/>
      <c r="CC51" s="65"/>
      <c r="CD51" s="65"/>
      <c r="CE51" s="65"/>
      <c r="CF51" s="22"/>
      <c r="CG51" s="22"/>
      <c r="CH51" s="22"/>
      <c r="CI51" s="65"/>
      <c r="CJ51" s="65"/>
      <c r="CK51" s="65"/>
      <c r="CL51" s="65"/>
      <c r="CM51" s="65"/>
      <c r="CN51" s="65"/>
      <c r="CO51" s="22"/>
      <c r="CP51" s="22"/>
      <c r="CQ51" s="22"/>
      <c r="CR51" s="22"/>
      <c r="CS51" s="22"/>
      <c r="CT51" s="22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</row>
    <row r="52" spans="1:191" s="41" customFormat="1" x14ac:dyDescent="0.25">
      <c r="A52" s="79">
        <v>47</v>
      </c>
      <c r="B52" s="88" t="s">
        <v>22</v>
      </c>
      <c r="C52" s="91">
        <v>12</v>
      </c>
      <c r="D52" s="42">
        <v>0.01</v>
      </c>
      <c r="E52" s="81">
        <v>0.1241</v>
      </c>
      <c r="F52" s="81">
        <v>4.0000000000000001E-3</v>
      </c>
      <c r="G52" s="81">
        <v>7.1099999999999997E-2</v>
      </c>
      <c r="H52" s="81">
        <v>2.2000000000000001E-3</v>
      </c>
      <c r="I52" s="81">
        <v>1.0999999999999999E-2</v>
      </c>
      <c r="J52" s="81">
        <v>3.6600000000000001E-2</v>
      </c>
      <c r="K52" s="81">
        <v>4.3E-3</v>
      </c>
      <c r="L52" s="81">
        <v>7.0000000000000001E-3</v>
      </c>
      <c r="M52" s="81">
        <v>0.1042</v>
      </c>
      <c r="N52" s="81">
        <v>3.85E-2</v>
      </c>
      <c r="O52" s="81">
        <v>5.0000000000000001E-3</v>
      </c>
      <c r="P52" s="81">
        <v>0.1668</v>
      </c>
      <c r="Q52" s="81">
        <v>1.04E-2</v>
      </c>
      <c r="R52" s="81">
        <v>2.3E-3</v>
      </c>
      <c r="S52" s="81">
        <v>1.78E-2</v>
      </c>
      <c r="T52" s="81">
        <v>5.0799999999999998E-2</v>
      </c>
      <c r="U52" s="81">
        <v>3.3999999999999998E-3</v>
      </c>
      <c r="V52" s="81">
        <v>8.8999999999999999E-3</v>
      </c>
      <c r="W52" s="81">
        <v>1E-3</v>
      </c>
      <c r="X52" s="81">
        <v>0.35089999999999999</v>
      </c>
      <c r="Y52" s="81">
        <v>0.26779999999999998</v>
      </c>
      <c r="Z52" s="81">
        <v>1E-3</v>
      </c>
      <c r="AA52" s="81">
        <v>1E-3</v>
      </c>
      <c r="AB52" s="81">
        <v>0.24379999999999999</v>
      </c>
      <c r="AC52" s="81">
        <v>1E-3</v>
      </c>
      <c r="AD52" s="81">
        <v>1.72E-2</v>
      </c>
      <c r="AE52" s="81">
        <v>5.4000000000000003E-3</v>
      </c>
      <c r="AF52" s="81">
        <v>8.0000000000000004E-4</v>
      </c>
      <c r="AG52" s="40">
        <v>92100</v>
      </c>
      <c r="AH52" s="40">
        <v>1450</v>
      </c>
      <c r="AI52" s="82">
        <f t="shared" si="44"/>
        <v>0.63431735641023623</v>
      </c>
      <c r="AK52" s="40">
        <v>23300</v>
      </c>
      <c r="AL52" s="41">
        <v>413000</v>
      </c>
      <c r="AM52" s="83">
        <f t="shared" si="45"/>
        <v>1625.8779938004054</v>
      </c>
      <c r="AO52" s="40">
        <v>0</v>
      </c>
      <c r="AP52" s="84">
        <f t="shared" si="46"/>
        <v>0</v>
      </c>
      <c r="AQ52" s="40"/>
      <c r="AR52" s="40">
        <v>0</v>
      </c>
      <c r="AS52" s="85">
        <f t="shared" si="47"/>
        <v>0</v>
      </c>
      <c r="AT52" s="40"/>
      <c r="AU52" s="40">
        <v>24000</v>
      </c>
      <c r="AV52" s="40">
        <v>156000</v>
      </c>
      <c r="AW52" s="86">
        <f t="shared" si="25"/>
        <v>311.90019193857967</v>
      </c>
      <c r="AX52" s="40"/>
      <c r="AY52" s="41">
        <v>18100</v>
      </c>
      <c r="AZ52" s="86">
        <f t="shared" si="48"/>
        <v>97.943722943722932</v>
      </c>
      <c r="BB52" s="41">
        <v>0</v>
      </c>
      <c r="BC52" s="86">
        <f t="shared" si="49"/>
        <v>0</v>
      </c>
      <c r="BE52" s="40">
        <v>24100</v>
      </c>
      <c r="BF52" s="40">
        <v>0</v>
      </c>
      <c r="BG52" s="84">
        <f t="shared" si="20"/>
        <v>0</v>
      </c>
      <c r="BH52" s="40"/>
      <c r="BI52" s="40">
        <v>4080</v>
      </c>
      <c r="BJ52" s="40">
        <v>0</v>
      </c>
      <c r="BK52" s="83">
        <f t="shared" si="21"/>
        <v>0</v>
      </c>
      <c r="BL52" s="40"/>
      <c r="BM52" s="40">
        <v>97800</v>
      </c>
      <c r="BN52" s="40">
        <v>0</v>
      </c>
      <c r="BO52" s="87">
        <f t="shared" si="43"/>
        <v>0</v>
      </c>
      <c r="BQ52" s="41">
        <v>0</v>
      </c>
      <c r="BR52" s="84">
        <f t="shared" si="30"/>
        <v>0</v>
      </c>
      <c r="BT52" s="40">
        <v>0</v>
      </c>
      <c r="BU52" s="87">
        <f t="shared" si="50"/>
        <v>0</v>
      </c>
      <c r="BV52" s="40"/>
      <c r="BW52" s="22"/>
      <c r="BX52" s="22"/>
      <c r="BY52" s="22"/>
      <c r="BZ52" s="65"/>
      <c r="CA52" s="65"/>
      <c r="CB52" s="65"/>
      <c r="CC52" s="65"/>
      <c r="CD52" s="65"/>
      <c r="CE52" s="65"/>
      <c r="CF52" s="22"/>
      <c r="CG52" s="22"/>
      <c r="CH52" s="22"/>
      <c r="CI52" s="65"/>
      <c r="CJ52" s="65"/>
      <c r="CK52" s="65"/>
      <c r="CL52" s="65"/>
      <c r="CM52" s="65"/>
      <c r="CN52" s="65"/>
      <c r="CO52" s="22"/>
      <c r="CP52" s="22"/>
      <c r="CQ52" s="22"/>
      <c r="CR52" s="22"/>
      <c r="CS52" s="22"/>
      <c r="CT52" s="22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</row>
    <row r="53" spans="1:191" s="41" customFormat="1" x14ac:dyDescent="0.25">
      <c r="A53" s="79">
        <v>48</v>
      </c>
      <c r="B53" s="88" t="s">
        <v>23</v>
      </c>
      <c r="C53" s="91">
        <v>12</v>
      </c>
      <c r="D53" s="42">
        <v>0.01</v>
      </c>
      <c r="E53" s="81">
        <v>0.1241</v>
      </c>
      <c r="F53" s="81">
        <v>4.0000000000000001E-3</v>
      </c>
      <c r="G53" s="81">
        <v>7.1099999999999997E-2</v>
      </c>
      <c r="H53" s="81">
        <v>2.2000000000000001E-3</v>
      </c>
      <c r="I53" s="81">
        <v>1.0999999999999999E-2</v>
      </c>
      <c r="J53" s="81">
        <v>3.6600000000000001E-2</v>
      </c>
      <c r="K53" s="81">
        <v>4.3E-3</v>
      </c>
      <c r="L53" s="81">
        <v>7.0000000000000001E-3</v>
      </c>
      <c r="M53" s="81">
        <v>0.1042</v>
      </c>
      <c r="N53" s="81">
        <v>3.85E-2</v>
      </c>
      <c r="O53" s="81">
        <v>5.0000000000000001E-3</v>
      </c>
      <c r="P53" s="81">
        <v>0.1668</v>
      </c>
      <c r="Q53" s="81">
        <v>1.04E-2</v>
      </c>
      <c r="R53" s="81">
        <v>2.3E-3</v>
      </c>
      <c r="S53" s="81">
        <v>1.78E-2</v>
      </c>
      <c r="T53" s="81">
        <v>5.0799999999999998E-2</v>
      </c>
      <c r="U53" s="81">
        <v>3.3999999999999998E-3</v>
      </c>
      <c r="V53" s="81">
        <v>8.8999999999999999E-3</v>
      </c>
      <c r="W53" s="81">
        <v>1E-3</v>
      </c>
      <c r="X53" s="81">
        <v>0.35089999999999999</v>
      </c>
      <c r="Y53" s="81">
        <v>0.26779999999999998</v>
      </c>
      <c r="Z53" s="81">
        <v>1E-3</v>
      </c>
      <c r="AA53" s="81">
        <v>1E-3</v>
      </c>
      <c r="AB53" s="81">
        <v>0.24379999999999999</v>
      </c>
      <c r="AC53" s="81">
        <v>1E-3</v>
      </c>
      <c r="AD53" s="81">
        <v>1.72E-2</v>
      </c>
      <c r="AE53" s="81">
        <v>5.4000000000000003E-3</v>
      </c>
      <c r="AF53" s="81">
        <v>8.0000000000000004E-4</v>
      </c>
      <c r="AG53" s="40">
        <v>88200</v>
      </c>
      <c r="AH53" s="40">
        <v>2270</v>
      </c>
      <c r="AI53" s="82">
        <f t="shared" si="44"/>
        <v>1.0369444581485561</v>
      </c>
      <c r="AK53" s="40">
        <v>22400</v>
      </c>
      <c r="AL53" s="41">
        <v>811000</v>
      </c>
      <c r="AM53" s="83">
        <f t="shared" si="45"/>
        <v>3320.9830437403361</v>
      </c>
      <c r="AO53" s="40">
        <v>0</v>
      </c>
      <c r="AP53" s="84">
        <f t="shared" si="46"/>
        <v>0</v>
      </c>
      <c r="AQ53" s="40"/>
      <c r="AR53" s="40">
        <v>0</v>
      </c>
      <c r="AS53" s="85">
        <f t="shared" si="47"/>
        <v>0</v>
      </c>
      <c r="AT53" s="40"/>
      <c r="AU53" s="40">
        <v>21400</v>
      </c>
      <c r="AV53" s="40">
        <v>180000</v>
      </c>
      <c r="AW53" s="86">
        <f t="shared" si="25"/>
        <v>403.60916282490535</v>
      </c>
      <c r="AX53" s="40"/>
      <c r="AY53" s="41">
        <v>27400</v>
      </c>
      <c r="AZ53" s="86">
        <f t="shared" si="48"/>
        <v>166.28231581502607</v>
      </c>
      <c r="BB53" s="41">
        <v>0</v>
      </c>
      <c r="BC53" s="86">
        <f t="shared" si="49"/>
        <v>0</v>
      </c>
      <c r="BE53" s="40">
        <v>24500</v>
      </c>
      <c r="BF53" s="40">
        <v>0</v>
      </c>
      <c r="BG53" s="84">
        <f t="shared" si="20"/>
        <v>0</v>
      </c>
      <c r="BH53" s="40"/>
      <c r="BI53" s="40">
        <v>4020</v>
      </c>
      <c r="BJ53" s="40">
        <v>0</v>
      </c>
      <c r="BK53" s="83">
        <f t="shared" si="21"/>
        <v>0</v>
      </c>
      <c r="BL53" s="40"/>
      <c r="BM53" s="40">
        <v>104000</v>
      </c>
      <c r="BN53" s="40">
        <v>0</v>
      </c>
      <c r="BO53" s="87">
        <f t="shared" si="43"/>
        <v>0</v>
      </c>
      <c r="BQ53" s="41">
        <v>0</v>
      </c>
      <c r="BR53" s="84">
        <f t="shared" si="30"/>
        <v>0</v>
      </c>
      <c r="BT53" s="40">
        <v>0</v>
      </c>
      <c r="BU53" s="87">
        <f t="shared" si="50"/>
        <v>0</v>
      </c>
      <c r="BV53" s="40"/>
      <c r="BW53" s="22"/>
      <c r="BX53" s="22"/>
      <c r="BY53" s="22"/>
      <c r="BZ53" s="65"/>
      <c r="CA53" s="65"/>
      <c r="CB53" s="65"/>
      <c r="CC53" s="65"/>
      <c r="CD53" s="65"/>
      <c r="CE53" s="65"/>
      <c r="CF53" s="22"/>
      <c r="CG53" s="22"/>
      <c r="CH53" s="22"/>
      <c r="CI53" s="65"/>
      <c r="CJ53" s="65"/>
      <c r="CK53" s="65"/>
      <c r="CL53" s="65"/>
      <c r="CM53" s="65"/>
      <c r="CN53" s="65"/>
      <c r="CO53" s="22"/>
      <c r="CP53" s="22"/>
      <c r="CQ53" s="22"/>
      <c r="CR53" s="22"/>
      <c r="CS53" s="22"/>
      <c r="CT53" s="22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</row>
    <row r="54" spans="1:191" s="41" customFormat="1" x14ac:dyDescent="0.25">
      <c r="A54" s="79">
        <v>49</v>
      </c>
      <c r="B54" s="88" t="s">
        <v>28</v>
      </c>
      <c r="C54" s="91">
        <v>12</v>
      </c>
      <c r="D54" s="42">
        <v>0.01</v>
      </c>
      <c r="E54" s="81">
        <v>0.1241</v>
      </c>
      <c r="F54" s="81">
        <v>4.0000000000000001E-3</v>
      </c>
      <c r="G54" s="81">
        <v>7.1099999999999997E-2</v>
      </c>
      <c r="H54" s="81">
        <v>2.2000000000000001E-3</v>
      </c>
      <c r="I54" s="81">
        <v>1.0999999999999999E-2</v>
      </c>
      <c r="J54" s="81">
        <v>3.6600000000000001E-2</v>
      </c>
      <c r="K54" s="81">
        <v>4.3E-3</v>
      </c>
      <c r="L54" s="81">
        <v>7.0000000000000001E-3</v>
      </c>
      <c r="M54" s="81">
        <v>0.1042</v>
      </c>
      <c r="N54" s="81">
        <v>3.85E-2</v>
      </c>
      <c r="O54" s="81">
        <v>5.0000000000000001E-3</v>
      </c>
      <c r="P54" s="81">
        <v>0.1668</v>
      </c>
      <c r="Q54" s="81">
        <v>1.04E-2</v>
      </c>
      <c r="R54" s="81">
        <v>2.3E-3</v>
      </c>
      <c r="S54" s="81">
        <v>1.78E-2</v>
      </c>
      <c r="T54" s="81">
        <v>5.0799999999999998E-2</v>
      </c>
      <c r="U54" s="81">
        <v>3.3999999999999998E-3</v>
      </c>
      <c r="V54" s="81">
        <v>8.8999999999999999E-3</v>
      </c>
      <c r="W54" s="81">
        <v>1E-3</v>
      </c>
      <c r="X54" s="81">
        <v>0.35089999999999999</v>
      </c>
      <c r="Y54" s="81">
        <v>0.26779999999999998</v>
      </c>
      <c r="Z54" s="81">
        <v>1E-3</v>
      </c>
      <c r="AA54" s="81">
        <v>1E-3</v>
      </c>
      <c r="AB54" s="81">
        <v>0.24379999999999999</v>
      </c>
      <c r="AC54" s="81">
        <v>1E-3</v>
      </c>
      <c r="AD54" s="81">
        <v>1.72E-2</v>
      </c>
      <c r="AE54" s="81">
        <v>5.4000000000000003E-3</v>
      </c>
      <c r="AF54" s="81">
        <v>8.0000000000000004E-4</v>
      </c>
      <c r="AG54" s="40">
        <v>74600</v>
      </c>
      <c r="AH54" s="40">
        <v>2150</v>
      </c>
      <c r="AI54" s="82">
        <f t="shared" si="44"/>
        <v>1.1611754768380598</v>
      </c>
      <c r="AK54" s="40">
        <v>21300</v>
      </c>
      <c r="AL54" s="41">
        <v>1240000</v>
      </c>
      <c r="AM54" s="83">
        <f t="shared" si="45"/>
        <v>5339.9341810048199</v>
      </c>
      <c r="AO54" s="40">
        <v>0</v>
      </c>
      <c r="AP54" s="84">
        <f t="shared" si="46"/>
        <v>0</v>
      </c>
      <c r="AQ54" s="40"/>
      <c r="AR54" s="40">
        <v>0</v>
      </c>
      <c r="AS54" s="85">
        <f t="shared" si="47"/>
        <v>0</v>
      </c>
      <c r="AT54" s="40"/>
      <c r="AU54" s="40">
        <v>20800</v>
      </c>
      <c r="AV54" s="40">
        <v>387000</v>
      </c>
      <c r="AW54" s="86">
        <f t="shared" si="25"/>
        <v>892.79122988336053</v>
      </c>
      <c r="AX54" s="40"/>
      <c r="AY54" s="41">
        <v>17600</v>
      </c>
      <c r="AZ54" s="86">
        <f t="shared" si="48"/>
        <v>109.8901098901099</v>
      </c>
      <c r="BB54" s="41">
        <v>5490</v>
      </c>
      <c r="BC54" s="86">
        <f t="shared" si="49"/>
        <v>263.94230769230768</v>
      </c>
      <c r="BE54" s="40">
        <v>24200</v>
      </c>
      <c r="BF54" s="40">
        <v>0</v>
      </c>
      <c r="BG54" s="84">
        <f t="shared" si="20"/>
        <v>0</v>
      </c>
      <c r="BH54" s="40"/>
      <c r="BI54" s="40">
        <v>4340</v>
      </c>
      <c r="BJ54" s="40">
        <v>0</v>
      </c>
      <c r="BK54" s="83">
        <f t="shared" si="21"/>
        <v>0</v>
      </c>
      <c r="BL54" s="40"/>
      <c r="BM54" s="40">
        <v>92200</v>
      </c>
      <c r="BN54" s="40">
        <v>0</v>
      </c>
      <c r="BO54" s="87">
        <f t="shared" si="43"/>
        <v>0</v>
      </c>
      <c r="BQ54" s="41">
        <v>0</v>
      </c>
      <c r="BR54" s="84">
        <f t="shared" si="30"/>
        <v>0</v>
      </c>
      <c r="BT54" s="40">
        <v>0</v>
      </c>
      <c r="BU54" s="87">
        <f t="shared" si="50"/>
        <v>0</v>
      </c>
      <c r="BV54" s="40"/>
      <c r="BW54" s="22"/>
      <c r="BX54" s="22"/>
      <c r="BY54" s="22"/>
      <c r="BZ54" s="65"/>
      <c r="CA54" s="65"/>
      <c r="CB54" s="65"/>
      <c r="CC54" s="65"/>
      <c r="CD54" s="65"/>
      <c r="CE54" s="65"/>
      <c r="CF54" s="22"/>
      <c r="CG54" s="22"/>
      <c r="CH54" s="22"/>
      <c r="CI54" s="65"/>
      <c r="CJ54" s="65"/>
      <c r="CK54" s="65"/>
      <c r="CL54" s="65"/>
      <c r="CM54" s="65"/>
      <c r="CN54" s="65"/>
      <c r="CO54" s="22"/>
      <c r="CP54" s="22"/>
      <c r="CQ54" s="22"/>
      <c r="CR54" s="22"/>
      <c r="CS54" s="22"/>
      <c r="CT54" s="22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</row>
    <row r="55" spans="1:191" s="65" customFormat="1" x14ac:dyDescent="0.25">
      <c r="A55" s="79">
        <v>50</v>
      </c>
      <c r="B55" s="88" t="s">
        <v>31</v>
      </c>
      <c r="C55" s="91">
        <v>12</v>
      </c>
      <c r="D55" s="4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40"/>
      <c r="AH55" s="40"/>
      <c r="AI55" s="82"/>
      <c r="AJ55" s="41"/>
      <c r="AK55" s="40"/>
      <c r="AL55" s="41"/>
      <c r="AM55" s="83"/>
      <c r="AN55" s="41"/>
      <c r="AO55" s="40"/>
      <c r="AP55" s="84"/>
      <c r="AQ55" s="40"/>
      <c r="AR55" s="40"/>
      <c r="AS55" s="85"/>
      <c r="AT55" s="40"/>
      <c r="AU55" s="40"/>
      <c r="AV55" s="40"/>
      <c r="AW55" s="86"/>
      <c r="AX55" s="40"/>
      <c r="AY55" s="41"/>
      <c r="AZ55" s="86"/>
      <c r="BA55" s="41"/>
      <c r="BB55" s="41"/>
      <c r="BC55" s="86"/>
      <c r="BD55" s="41"/>
      <c r="BE55" s="40"/>
      <c r="BF55" s="40"/>
      <c r="BG55" s="84"/>
      <c r="BH55" s="40"/>
      <c r="BI55" s="40"/>
      <c r="BJ55" s="40"/>
      <c r="BK55" s="83"/>
      <c r="BL55" s="40"/>
      <c r="BM55" s="40"/>
      <c r="BN55" s="40"/>
      <c r="BO55" s="87"/>
      <c r="BP55" s="41"/>
      <c r="BQ55" s="41"/>
      <c r="BR55" s="84"/>
      <c r="BS55" s="41"/>
      <c r="BT55" s="40"/>
      <c r="BU55" s="87"/>
      <c r="BV55" s="40"/>
      <c r="BW55" s="22"/>
      <c r="BX55" s="22"/>
      <c r="BY55" s="22"/>
      <c r="CF55" s="22"/>
      <c r="CG55" s="22"/>
      <c r="CH55" s="22"/>
      <c r="CO55" s="22"/>
      <c r="CP55" s="22"/>
      <c r="CQ55" s="22"/>
      <c r="CR55" s="22"/>
      <c r="CS55" s="22"/>
      <c r="CT55" s="22"/>
    </row>
    <row r="56" spans="1:191" x14ac:dyDescent="0.25">
      <c r="A56" s="79">
        <v>51</v>
      </c>
      <c r="B56" s="89" t="s">
        <v>24</v>
      </c>
      <c r="C56" s="91">
        <v>12</v>
      </c>
      <c r="D56" s="42">
        <v>0.01</v>
      </c>
      <c r="E56" s="81">
        <v>0.1241</v>
      </c>
      <c r="F56" s="81">
        <v>4.0000000000000001E-3</v>
      </c>
      <c r="G56" s="81">
        <v>7.1099999999999997E-2</v>
      </c>
      <c r="H56" s="81">
        <v>2.2000000000000001E-3</v>
      </c>
      <c r="I56" s="81">
        <v>1.0999999999999999E-2</v>
      </c>
      <c r="J56" s="81">
        <v>3.6600000000000001E-2</v>
      </c>
      <c r="K56" s="81">
        <v>4.3E-3</v>
      </c>
      <c r="L56" s="81">
        <v>7.0000000000000001E-3</v>
      </c>
      <c r="M56" s="81">
        <v>0.1042</v>
      </c>
      <c r="N56" s="81">
        <v>3.85E-2</v>
      </c>
      <c r="O56" s="81">
        <v>5.0000000000000001E-3</v>
      </c>
      <c r="P56" s="81">
        <v>0.1668</v>
      </c>
      <c r="Q56" s="81">
        <v>1.04E-2</v>
      </c>
      <c r="R56" s="81">
        <v>2.3E-3</v>
      </c>
      <c r="S56" s="81">
        <v>1.78E-2</v>
      </c>
      <c r="T56" s="81">
        <v>5.0799999999999998E-2</v>
      </c>
      <c r="U56" s="81">
        <v>3.3999999999999998E-3</v>
      </c>
      <c r="V56" s="81">
        <v>8.8999999999999999E-3</v>
      </c>
      <c r="W56" s="81">
        <v>1E-3</v>
      </c>
      <c r="X56" s="81">
        <v>0.35089999999999999</v>
      </c>
      <c r="Y56" s="81">
        <v>0.26779999999999998</v>
      </c>
      <c r="Z56" s="81">
        <v>1E-3</v>
      </c>
      <c r="AA56" s="81">
        <v>1E-3</v>
      </c>
      <c r="AB56" s="81">
        <v>0.24379999999999999</v>
      </c>
      <c r="AC56" s="81">
        <v>1E-3</v>
      </c>
      <c r="AD56" s="81">
        <v>1.72E-2</v>
      </c>
      <c r="AE56" s="81">
        <v>5.4000000000000003E-3</v>
      </c>
      <c r="AF56" s="81">
        <v>8.0000000000000004E-4</v>
      </c>
      <c r="AG56" s="40">
        <v>55900</v>
      </c>
      <c r="AH56" s="40">
        <v>1230</v>
      </c>
      <c r="AI56" s="82">
        <f>(((AH56/AG56/E56/138/$A56)*5*138)/1000)*10</f>
        <v>1.7382864718152111E-4</v>
      </c>
      <c r="AJ56" s="41"/>
      <c r="AK56" s="40">
        <v>17600</v>
      </c>
      <c r="AL56" s="41">
        <v>414000</v>
      </c>
      <c r="AM56" s="83">
        <f t="shared" si="0"/>
        <v>215.76524741081704</v>
      </c>
      <c r="AN56" s="41"/>
      <c r="AO56" s="40">
        <v>0</v>
      </c>
      <c r="AP56" s="84">
        <f>((AO56/AK56/I56/175/$A56)*5*175)/1000</f>
        <v>0</v>
      </c>
      <c r="AQ56" s="40"/>
      <c r="AR56" s="40">
        <v>0</v>
      </c>
      <c r="AS56" s="85">
        <f>((AR56/AG56/L56/226/$A56)*5*226)/1000</f>
        <v>0</v>
      </c>
      <c r="AT56" s="40"/>
      <c r="AU56" s="40">
        <v>11500</v>
      </c>
      <c r="AV56" s="40">
        <v>211000</v>
      </c>
      <c r="AW56" s="86">
        <f t="shared" si="25"/>
        <v>880.41391971960263</v>
      </c>
      <c r="AX56" s="40"/>
      <c r="AY56" s="41">
        <v>13500</v>
      </c>
      <c r="AZ56" s="86" t="e">
        <f>(((AY56/$AS56/$L56/226/$A56)*5*226)/1000)*10</f>
        <v>#DIV/0!</v>
      </c>
      <c r="BA56" s="41"/>
      <c r="BB56" s="41">
        <v>0</v>
      </c>
      <c r="BC56" s="86">
        <f>((BB56/AU56/$M56/238/$A56)*5*238)/1000</f>
        <v>0</v>
      </c>
      <c r="BD56" s="41"/>
      <c r="BE56" s="40">
        <v>25300</v>
      </c>
      <c r="BF56" s="40">
        <v>0</v>
      </c>
      <c r="BG56" s="84">
        <f>BF56/BE56/P56/264/$A56</f>
        <v>0</v>
      </c>
      <c r="BH56" s="40"/>
      <c r="BI56" s="40">
        <v>2940</v>
      </c>
      <c r="BJ56" s="40">
        <v>0</v>
      </c>
      <c r="BK56" s="83" t="e">
        <f>((BJ56/$BG56/$Q56/292/$A56)*5*292)/1000</f>
        <v>#DIV/0!</v>
      </c>
      <c r="BL56" s="40"/>
      <c r="BM56" s="40">
        <v>71400</v>
      </c>
      <c r="BN56" s="40">
        <v>0</v>
      </c>
      <c r="BO56" s="87" t="e">
        <f>((BN56/$BK56/T56/293/$A56)*5*293)/1000</f>
        <v>#DIV/0!</v>
      </c>
      <c r="BP56" s="41"/>
      <c r="BQ56" s="41">
        <v>0</v>
      </c>
      <c r="BR56" s="84" t="e">
        <f>((BQ56/$AS56/$U56/306/$A56/35.549055)*5*306)/1000</f>
        <v>#DIV/0!</v>
      </c>
      <c r="BS56" s="41"/>
      <c r="BT56" s="40">
        <v>0</v>
      </c>
      <c r="BU56" s="87" t="e">
        <f>BT56/$BK56/X56/309/$A56</f>
        <v>#DIV/0!</v>
      </c>
      <c r="BV56" s="40"/>
      <c r="BW56" s="22"/>
      <c r="BX56" s="22"/>
      <c r="BY56" s="22"/>
      <c r="BZ56" s="65"/>
      <c r="CA56" s="65"/>
      <c r="CB56" s="65"/>
      <c r="CC56" s="65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</row>
    <row r="57" spans="1:191" x14ac:dyDescent="0.25">
      <c r="A57" s="79">
        <v>52</v>
      </c>
      <c r="B57" s="89" t="s">
        <v>25</v>
      </c>
      <c r="C57" s="91">
        <v>12</v>
      </c>
      <c r="D57" s="42">
        <v>0.01</v>
      </c>
      <c r="E57" s="81">
        <v>0.1241</v>
      </c>
      <c r="F57" s="81">
        <v>4.0000000000000001E-3</v>
      </c>
      <c r="G57" s="81">
        <v>7.1099999999999997E-2</v>
      </c>
      <c r="H57" s="81">
        <v>2.2000000000000001E-3</v>
      </c>
      <c r="I57" s="81">
        <v>1.0999999999999999E-2</v>
      </c>
      <c r="J57" s="81">
        <v>3.6600000000000001E-2</v>
      </c>
      <c r="K57" s="81">
        <v>4.3E-3</v>
      </c>
      <c r="L57" s="81">
        <v>7.0000000000000001E-3</v>
      </c>
      <c r="M57" s="81">
        <v>0.1042</v>
      </c>
      <c r="N57" s="81">
        <v>3.85E-2</v>
      </c>
      <c r="O57" s="81">
        <v>5.0000000000000001E-3</v>
      </c>
      <c r="P57" s="81">
        <v>0.1668</v>
      </c>
      <c r="Q57" s="81">
        <v>1.04E-2</v>
      </c>
      <c r="R57" s="81">
        <v>2.3E-3</v>
      </c>
      <c r="S57" s="81">
        <v>1.78E-2</v>
      </c>
      <c r="T57" s="81">
        <v>5.0799999999999998E-2</v>
      </c>
      <c r="U57" s="81">
        <v>3.3999999999999998E-3</v>
      </c>
      <c r="V57" s="81">
        <v>8.8999999999999999E-3</v>
      </c>
      <c r="W57" s="81">
        <v>1E-3</v>
      </c>
      <c r="X57" s="81">
        <v>0.35089999999999999</v>
      </c>
      <c r="Y57" s="81">
        <v>0.26779999999999998</v>
      </c>
      <c r="Z57" s="81">
        <v>1E-3</v>
      </c>
      <c r="AA57" s="81">
        <v>1E-3</v>
      </c>
      <c r="AB57" s="81">
        <v>0.24379999999999999</v>
      </c>
      <c r="AC57" s="81">
        <v>1E-3</v>
      </c>
      <c r="AD57" s="81">
        <v>1.72E-2</v>
      </c>
      <c r="AE57" s="81">
        <v>5.4000000000000003E-3</v>
      </c>
      <c r="AF57" s="81">
        <v>8.0000000000000004E-4</v>
      </c>
      <c r="AG57" s="40">
        <v>66600</v>
      </c>
      <c r="AH57" s="40">
        <v>7310</v>
      </c>
      <c r="AI57" s="82">
        <f t="shared" ref="AI57:AI58" si="51">(((AH57/AG57/E57/138/$A57)*5*138)/1000)*10</f>
        <v>8.5042893262071337E-4</v>
      </c>
      <c r="AJ57" s="41"/>
      <c r="AK57" s="40">
        <v>17700</v>
      </c>
      <c r="AL57" s="41">
        <v>494000</v>
      </c>
      <c r="AM57" s="83">
        <f t="shared" si="0"/>
        <v>256.00444432006975</v>
      </c>
      <c r="AN57" s="41"/>
      <c r="AO57" s="40">
        <v>0</v>
      </c>
      <c r="AP57" s="84">
        <f>((AO57/AK57/I57/175/$A57)*5*175)/1000</f>
        <v>0</v>
      </c>
      <c r="AQ57" s="40"/>
      <c r="AR57" s="40">
        <v>0</v>
      </c>
      <c r="AS57" s="85">
        <f>((AR57/AG57/L57/226/$A57)*5*226)/1000</f>
        <v>0</v>
      </c>
      <c r="AT57" s="40"/>
      <c r="AU57" s="40">
        <v>14300</v>
      </c>
      <c r="AV57" s="40">
        <v>272000</v>
      </c>
      <c r="AW57" s="86">
        <f t="shared" si="25"/>
        <v>912.71492423123891</v>
      </c>
      <c r="AX57" s="40"/>
      <c r="AY57" s="41">
        <v>18700</v>
      </c>
      <c r="AZ57" s="86" t="e">
        <f>(((AY57/$AS57/$L57/226/$A57)*5*226)/1000)*10</f>
        <v>#DIV/0!</v>
      </c>
      <c r="BA57" s="41"/>
      <c r="BB57" s="41">
        <v>0</v>
      </c>
      <c r="BC57" s="86">
        <f>((BB57/AU57/$M57/238/$A57)*5*238)/1000</f>
        <v>0</v>
      </c>
      <c r="BD57" s="41"/>
      <c r="BE57" s="40">
        <v>24400</v>
      </c>
      <c r="BF57" s="40">
        <v>0</v>
      </c>
      <c r="BG57" s="84">
        <f>BF57/BE57/P57/264/$A57</f>
        <v>0</v>
      </c>
      <c r="BH57" s="40"/>
      <c r="BI57" s="40">
        <v>2700</v>
      </c>
      <c r="BJ57" s="40">
        <v>0</v>
      </c>
      <c r="BK57" s="83" t="e">
        <f>((BJ57/$BG57/$Q57/292/$A57)*5*292)/1000</f>
        <v>#DIV/0!</v>
      </c>
      <c r="BL57" s="40"/>
      <c r="BM57" s="40">
        <v>94200</v>
      </c>
      <c r="BN57" s="40">
        <v>0</v>
      </c>
      <c r="BO57" s="87" t="e">
        <f>((BN57/$BK57/T57/293/$A57)*5*293)/1000</f>
        <v>#DIV/0!</v>
      </c>
      <c r="BP57" s="41"/>
      <c r="BQ57" s="41">
        <v>0</v>
      </c>
      <c r="BR57" s="84" t="e">
        <f>((BQ57/$AS57/$U57/306/$A57/35.549055)*5*306)/1000</f>
        <v>#DIV/0!</v>
      </c>
      <c r="BS57" s="41"/>
      <c r="BT57" s="40">
        <v>0</v>
      </c>
      <c r="BU57" s="87" t="e">
        <f>BT57/$BK57/X57/309/$A57</f>
        <v>#DIV/0!</v>
      </c>
      <c r="BV57" s="40"/>
      <c r="BW57" s="22"/>
      <c r="BX57" s="22"/>
      <c r="BY57" s="22"/>
      <c r="BZ57" s="65"/>
      <c r="CA57" s="65"/>
      <c r="CB57" s="65"/>
      <c r="CC57" s="65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</row>
    <row r="58" spans="1:191" x14ac:dyDescent="0.25">
      <c r="A58" s="79">
        <v>53</v>
      </c>
      <c r="B58" s="89" t="s">
        <v>30</v>
      </c>
      <c r="C58" s="91">
        <v>12</v>
      </c>
      <c r="D58" s="42">
        <v>0.01</v>
      </c>
      <c r="E58" s="81">
        <v>0.1241</v>
      </c>
      <c r="F58" s="81">
        <v>4.0000000000000001E-3</v>
      </c>
      <c r="G58" s="81">
        <v>7.1099999999999997E-2</v>
      </c>
      <c r="H58" s="81">
        <v>2.2000000000000001E-3</v>
      </c>
      <c r="I58" s="81">
        <v>1.0999999999999999E-2</v>
      </c>
      <c r="J58" s="81">
        <v>3.6600000000000001E-2</v>
      </c>
      <c r="K58" s="81">
        <v>4.3E-3</v>
      </c>
      <c r="L58" s="81">
        <v>7.0000000000000001E-3</v>
      </c>
      <c r="M58" s="81">
        <v>0.1042</v>
      </c>
      <c r="N58" s="81">
        <v>3.85E-2</v>
      </c>
      <c r="O58" s="81">
        <v>5.0000000000000001E-3</v>
      </c>
      <c r="P58" s="81">
        <v>0.1668</v>
      </c>
      <c r="Q58" s="81">
        <v>1.04E-2</v>
      </c>
      <c r="R58" s="81">
        <v>2.3E-3</v>
      </c>
      <c r="S58" s="81">
        <v>1.78E-2</v>
      </c>
      <c r="T58" s="81">
        <v>5.0799999999999998E-2</v>
      </c>
      <c r="U58" s="81">
        <v>3.3999999999999998E-3</v>
      </c>
      <c r="V58" s="81">
        <v>8.8999999999999999E-3</v>
      </c>
      <c r="W58" s="81">
        <v>1E-3</v>
      </c>
      <c r="X58" s="81">
        <v>0.35089999999999999</v>
      </c>
      <c r="Y58" s="81">
        <v>0.26779999999999998</v>
      </c>
      <c r="Z58" s="81">
        <v>1E-3</v>
      </c>
      <c r="AA58" s="81">
        <v>1E-3</v>
      </c>
      <c r="AB58" s="81">
        <v>0.24379999999999999</v>
      </c>
      <c r="AC58" s="81">
        <v>1E-3</v>
      </c>
      <c r="AD58" s="81">
        <v>1.72E-2</v>
      </c>
      <c r="AE58" s="81">
        <v>5.4000000000000003E-3</v>
      </c>
      <c r="AF58" s="81">
        <v>8.0000000000000004E-4</v>
      </c>
      <c r="AG58" s="40"/>
      <c r="AH58" s="40">
        <v>9.6300000000000008</v>
      </c>
      <c r="AI58" s="82" t="e">
        <f t="shared" si="51"/>
        <v>#DIV/0!</v>
      </c>
      <c r="AJ58" s="41"/>
      <c r="AK58" s="40">
        <v>9100</v>
      </c>
      <c r="AL58" s="41">
        <v>496000</v>
      </c>
      <c r="AM58" s="83">
        <f t="shared" si="0"/>
        <v>499.95867277100069</v>
      </c>
      <c r="AN58" s="41"/>
      <c r="AO58" s="40">
        <v>0</v>
      </c>
      <c r="AP58" s="84">
        <f>((AO58/AK58/I58/175/$A58)*5*175)/1000</f>
        <v>0</v>
      </c>
      <c r="AQ58" s="40"/>
      <c r="AR58" s="40">
        <v>0</v>
      </c>
      <c r="AS58" s="85" t="e">
        <f>((AR58/AG58/L58/226/$A58)*5*226)/1000</f>
        <v>#DIV/0!</v>
      </c>
      <c r="AT58" s="40"/>
      <c r="AU58" s="40">
        <v>17000</v>
      </c>
      <c r="AV58" s="40">
        <v>301000</v>
      </c>
      <c r="AW58" s="86">
        <f t="shared" si="25"/>
        <v>849.6104775883482</v>
      </c>
      <c r="AX58" s="40"/>
      <c r="AY58" s="41">
        <v>16100</v>
      </c>
      <c r="AZ58" s="86" t="e">
        <f>(((AY58/$AS58/$L58/226/$A58)*5*226)/1000)*10</f>
        <v>#DIV/0!</v>
      </c>
      <c r="BA58" s="41"/>
      <c r="BB58" s="41">
        <v>0</v>
      </c>
      <c r="BC58" s="86">
        <f>((BB58/AU58/$M58/238/$A58)*5*238)/1000</f>
        <v>0</v>
      </c>
      <c r="BD58" s="41"/>
      <c r="BE58" s="40">
        <v>771</v>
      </c>
      <c r="BF58" s="40">
        <v>0</v>
      </c>
      <c r="BG58" s="84">
        <f>BF58/BE58/P58/264/$A58</f>
        <v>0</v>
      </c>
      <c r="BH58" s="40"/>
      <c r="BI58" s="40">
        <v>3260</v>
      </c>
      <c r="BJ58" s="40">
        <v>0</v>
      </c>
      <c r="BK58" s="83" t="e">
        <f>((BJ58/$BG58/$Q58/292/$A58)*5*292)/1000</f>
        <v>#DIV/0!</v>
      </c>
      <c r="BL58" s="40"/>
      <c r="BM58" s="40">
        <v>86400</v>
      </c>
      <c r="BN58" s="40">
        <v>0</v>
      </c>
      <c r="BO58" s="87" t="e">
        <f>((BN58/$BK58/T58/293/$A58)*5*293)/1000</f>
        <v>#DIV/0!</v>
      </c>
      <c r="BP58" s="41"/>
      <c r="BQ58" s="41">
        <v>0</v>
      </c>
      <c r="BR58" s="84" t="e">
        <f>((BQ58/$AS58/$U58/306/$A58/35.549055)*5*306)/1000</f>
        <v>#DIV/0!</v>
      </c>
      <c r="BS58" s="41"/>
      <c r="BT58" s="40">
        <v>0</v>
      </c>
      <c r="BU58" s="87" t="e">
        <f>BT58/$BK58/X58/309/$A58</f>
        <v>#DIV/0!</v>
      </c>
      <c r="BV58" s="40"/>
      <c r="BW58" s="22"/>
      <c r="BX58" s="22"/>
      <c r="BY58" s="22"/>
      <c r="BZ58" s="65"/>
      <c r="CA58" s="65"/>
      <c r="CB58" s="65"/>
      <c r="CC58" s="65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</row>
    <row r="59" spans="1:191" x14ac:dyDescent="0.25">
      <c r="A59" s="79">
        <v>54</v>
      </c>
      <c r="B59" s="89" t="s">
        <v>32</v>
      </c>
      <c r="C59" s="91">
        <v>12</v>
      </c>
      <c r="D59" s="4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40"/>
      <c r="AH59" s="40"/>
      <c r="AI59" s="82"/>
      <c r="AJ59" s="40"/>
      <c r="AK59" s="40"/>
      <c r="AL59" s="40"/>
      <c r="AM59" s="83"/>
      <c r="AN59" s="40"/>
      <c r="AO59" s="40"/>
      <c r="AP59" s="40"/>
      <c r="AQ59" s="40"/>
      <c r="AR59" s="40"/>
      <c r="AS59" s="40"/>
      <c r="AT59" s="40"/>
      <c r="AU59" s="40"/>
      <c r="AV59" s="40"/>
      <c r="AW59" s="86"/>
      <c r="AX59" s="40"/>
      <c r="AY59" s="41"/>
      <c r="AZ59" s="86"/>
      <c r="BA59" s="41"/>
      <c r="BB59" s="41"/>
      <c r="BC59" s="86"/>
      <c r="BD59" s="41"/>
      <c r="BE59" s="40"/>
      <c r="BF59" s="40"/>
      <c r="BG59" s="84"/>
      <c r="BH59" s="40"/>
      <c r="BI59" s="40"/>
      <c r="BJ59" s="40"/>
      <c r="BK59" s="83"/>
      <c r="BL59" s="40"/>
      <c r="BM59" s="40"/>
      <c r="BN59" s="40"/>
      <c r="BO59" s="87"/>
      <c r="BP59" s="40"/>
      <c r="BQ59" s="41"/>
      <c r="BR59" s="84"/>
      <c r="BS59" s="41"/>
      <c r="BT59" s="40"/>
      <c r="BU59" s="87"/>
      <c r="BV59" s="40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</row>
    <row r="60" spans="1:191" x14ac:dyDescent="0.25">
      <c r="A60" s="79">
        <v>55</v>
      </c>
      <c r="B60" s="90" t="s">
        <v>26</v>
      </c>
      <c r="C60" s="91">
        <v>12</v>
      </c>
      <c r="D60" s="42">
        <v>1</v>
      </c>
      <c r="E60" s="81">
        <v>0.1241</v>
      </c>
      <c r="F60" s="81">
        <v>4.0000000000000001E-3</v>
      </c>
      <c r="G60" s="81">
        <v>7.1099999999999997E-2</v>
      </c>
      <c r="H60" s="81">
        <v>2.2000000000000001E-3</v>
      </c>
      <c r="I60" s="81">
        <v>1.0999999999999999E-2</v>
      </c>
      <c r="J60" s="81">
        <v>3.6600000000000001E-2</v>
      </c>
      <c r="K60" s="81">
        <v>4.3E-3</v>
      </c>
      <c r="L60" s="81">
        <v>7.0000000000000001E-3</v>
      </c>
      <c r="M60" s="81">
        <v>0.1042</v>
      </c>
      <c r="N60" s="81">
        <v>3.85E-2</v>
      </c>
      <c r="O60" s="81">
        <v>5.0000000000000001E-3</v>
      </c>
      <c r="P60" s="81">
        <v>0.1668</v>
      </c>
      <c r="Q60" s="81">
        <v>1.04E-2</v>
      </c>
      <c r="R60" s="81">
        <v>2.3E-3</v>
      </c>
      <c r="S60" s="81">
        <v>1.78E-2</v>
      </c>
      <c r="T60" s="81">
        <v>5.0799999999999998E-2</v>
      </c>
      <c r="U60" s="81">
        <v>3.3999999999999998E-3</v>
      </c>
      <c r="V60" s="81">
        <v>8.8999999999999999E-3</v>
      </c>
      <c r="W60" s="81">
        <v>1E-3</v>
      </c>
      <c r="X60" s="81">
        <v>0.35089999999999999</v>
      </c>
      <c r="Y60" s="81">
        <v>0.26779999999999998</v>
      </c>
      <c r="Z60" s="81">
        <v>1E-3</v>
      </c>
      <c r="AA60" s="81">
        <v>1E-3</v>
      </c>
      <c r="AB60" s="81">
        <v>0.24379999999999999</v>
      </c>
      <c r="AC60" s="81">
        <v>1E-3</v>
      </c>
      <c r="AD60" s="81">
        <v>1.72E-2</v>
      </c>
      <c r="AE60" s="81">
        <v>5.4000000000000003E-3</v>
      </c>
      <c r="AF60" s="81">
        <v>8.0000000000000004E-4</v>
      </c>
      <c r="AG60" s="40">
        <v>355000</v>
      </c>
      <c r="AH60" s="40">
        <v>7460</v>
      </c>
      <c r="AI60" s="82">
        <f t="shared" ref="AI60:AI61" si="52">((AH60/AG60/E60/138/$A60)*5*138)/1000</f>
        <v>1.5393805953440958E-5</v>
      </c>
      <c r="AJ60" s="41"/>
      <c r="AK60" s="40">
        <v>0</v>
      </c>
      <c r="AL60" s="41">
        <v>23600</v>
      </c>
      <c r="AM60" s="83" t="e">
        <f t="shared" si="0"/>
        <v>#DIV/0!</v>
      </c>
      <c r="AN60" s="41"/>
      <c r="AO60" s="40">
        <v>0</v>
      </c>
      <c r="AP60" s="84" t="e">
        <f>((AO60/AK60/I60/175/$A60)*5*175)/1000</f>
        <v>#DIV/0!</v>
      </c>
      <c r="AQ60" s="40"/>
      <c r="AR60" s="40">
        <v>0</v>
      </c>
      <c r="AS60" s="85">
        <f>((AR60/AG60/L60/226/$A60)*5*226)/1000</f>
        <v>0</v>
      </c>
      <c r="AT60" s="40"/>
      <c r="AU60" s="40">
        <v>89400</v>
      </c>
      <c r="AV60" s="40">
        <v>1250000</v>
      </c>
      <c r="AW60" s="86">
        <f t="shared" si="25"/>
        <v>6.7092624319949152</v>
      </c>
      <c r="AX60" s="40"/>
      <c r="AY60" s="41">
        <v>3110000</v>
      </c>
      <c r="AZ60" s="86" t="e">
        <f>((AY60/$AS60/$L60/226/$A60)*5*226)/1000</f>
        <v>#DIV/0!</v>
      </c>
      <c r="BA60" s="41"/>
      <c r="BB60" s="41">
        <v>2800</v>
      </c>
      <c r="BC60" s="86">
        <f>((BB60/AU60/$M60/238/$A60)*5*238)/1000</f>
        <v>2.7324996086670203E-5</v>
      </c>
      <c r="BD60" s="41"/>
      <c r="BE60" s="40">
        <v>42600</v>
      </c>
      <c r="BF60" s="40">
        <v>0</v>
      </c>
      <c r="BG60" s="84">
        <f>BF60/BE60/P60/264/$A60</f>
        <v>0</v>
      </c>
      <c r="BH60" s="40"/>
      <c r="BI60" s="40">
        <v>15800</v>
      </c>
      <c r="BJ60" s="40">
        <v>0</v>
      </c>
      <c r="BK60" s="83" t="e">
        <f>((BJ60/$BG60/$Q60/292/$A60)*5*292)/1000</f>
        <v>#DIV/0!</v>
      </c>
      <c r="BL60" s="40"/>
      <c r="BM60" s="40">
        <v>76700</v>
      </c>
      <c r="BN60" s="40">
        <v>0</v>
      </c>
      <c r="BO60" s="87" t="e">
        <f>((BN60/$BK60/T60/293/$A60)*5*293)/1000</f>
        <v>#DIV/0!</v>
      </c>
      <c r="BP60" s="41"/>
      <c r="BQ60" s="41">
        <v>0</v>
      </c>
      <c r="BR60" s="84" t="e">
        <f>((BQ60/$AS60/$U60/306/$A60/35.549055)*5*306)/1000</f>
        <v>#DIV/0!</v>
      </c>
      <c r="BS60" s="41"/>
      <c r="BT60" s="40">
        <v>12500</v>
      </c>
      <c r="BU60" s="87" t="e">
        <f>BT60/$BK60/X60/309/$A60</f>
        <v>#DIV/0!</v>
      </c>
      <c r="BV60" s="40"/>
      <c r="BW60" s="22"/>
      <c r="BX60" s="22"/>
      <c r="BY60" s="22"/>
      <c r="BZ60" s="65"/>
      <c r="CA60" s="65"/>
      <c r="CB60" s="65"/>
      <c r="CC60" s="65"/>
      <c r="CD60" s="65"/>
      <c r="CE60" s="65"/>
      <c r="CF60" s="22"/>
      <c r="CG60" s="22"/>
      <c r="CH60" s="22"/>
      <c r="CI60" s="65"/>
      <c r="CJ60" s="65"/>
      <c r="CK60" s="65"/>
      <c r="CL60" s="65"/>
      <c r="CM60" s="65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</row>
    <row r="61" spans="1:191" x14ac:dyDescent="0.25">
      <c r="A61" s="79">
        <v>56</v>
      </c>
      <c r="B61" s="90" t="s">
        <v>27</v>
      </c>
      <c r="C61" s="91">
        <v>12</v>
      </c>
      <c r="D61" s="42">
        <v>1</v>
      </c>
      <c r="E61" s="81">
        <v>0.1241</v>
      </c>
      <c r="F61" s="81">
        <v>4.0000000000000001E-3</v>
      </c>
      <c r="G61" s="81">
        <v>7.1099999999999997E-2</v>
      </c>
      <c r="H61" s="81">
        <v>2.2000000000000001E-3</v>
      </c>
      <c r="I61" s="81">
        <v>1.0999999999999999E-2</v>
      </c>
      <c r="J61" s="81">
        <v>3.6600000000000001E-2</v>
      </c>
      <c r="K61" s="81">
        <v>4.3E-3</v>
      </c>
      <c r="L61" s="81">
        <v>7.0000000000000001E-3</v>
      </c>
      <c r="M61" s="81">
        <v>0.1042</v>
      </c>
      <c r="N61" s="81">
        <v>3.85E-2</v>
      </c>
      <c r="O61" s="81">
        <v>5.0000000000000001E-3</v>
      </c>
      <c r="P61" s="81">
        <v>0.1668</v>
      </c>
      <c r="Q61" s="81">
        <v>1.04E-2</v>
      </c>
      <c r="R61" s="81">
        <v>2.3E-3</v>
      </c>
      <c r="S61" s="81">
        <v>1.78E-2</v>
      </c>
      <c r="T61" s="81">
        <v>5.0799999999999998E-2</v>
      </c>
      <c r="U61" s="81">
        <v>3.3999999999999998E-3</v>
      </c>
      <c r="V61" s="81">
        <v>8.8999999999999999E-3</v>
      </c>
      <c r="W61" s="81">
        <v>1E-3</v>
      </c>
      <c r="X61" s="81">
        <v>0.35089999999999999</v>
      </c>
      <c r="Y61" s="81">
        <v>0.26779999999999998</v>
      </c>
      <c r="Z61" s="81">
        <v>1E-3</v>
      </c>
      <c r="AA61" s="81">
        <v>1E-3</v>
      </c>
      <c r="AB61" s="81">
        <v>0.24379999999999999</v>
      </c>
      <c r="AC61" s="81">
        <v>1E-3</v>
      </c>
      <c r="AD61" s="81">
        <v>1.72E-2</v>
      </c>
      <c r="AE61" s="81">
        <v>5.4000000000000003E-3</v>
      </c>
      <c r="AF61" s="81">
        <v>8.0000000000000004E-4</v>
      </c>
      <c r="AG61" s="40">
        <v>350000</v>
      </c>
      <c r="AH61" s="40">
        <v>5070</v>
      </c>
      <c r="AI61" s="82">
        <f t="shared" si="52"/>
        <v>1.0421977009982073E-5</v>
      </c>
      <c r="AJ61" s="41"/>
      <c r="AK61" s="40">
        <v>65100</v>
      </c>
      <c r="AL61" s="41">
        <v>16600</v>
      </c>
      <c r="AM61" s="83">
        <f t="shared" si="0"/>
        <v>2.338949912937521E-2</v>
      </c>
      <c r="AN61" s="41"/>
      <c r="AO61" s="40">
        <v>5090</v>
      </c>
      <c r="AP61" s="84">
        <f>((AO61/AK61/I61/175/$A61)*5*175)/1000</f>
        <v>6.3463801943064609E-4</v>
      </c>
      <c r="AQ61" s="40"/>
      <c r="AR61" s="40">
        <v>2920</v>
      </c>
      <c r="AS61" s="85">
        <f>((AR61/AG61/L61/226/$A61)*5*226)/1000</f>
        <v>1.0641399416909621E-4</v>
      </c>
      <c r="AT61" s="40"/>
      <c r="AU61" s="40">
        <v>121000</v>
      </c>
      <c r="AV61" s="40">
        <v>54200</v>
      </c>
      <c r="AW61" s="86">
        <f t="shared" si="25"/>
        <v>0.21493948382798497</v>
      </c>
      <c r="AX61" s="40"/>
      <c r="AY61" s="41">
        <v>1530000</v>
      </c>
      <c r="AZ61" s="86">
        <f>((AY61/$AS61/$L61/226/$A61)*5*226)/1000</f>
        <v>183390410.95890415</v>
      </c>
      <c r="BA61" s="41"/>
      <c r="BB61" s="41">
        <v>0</v>
      </c>
      <c r="BC61" s="86">
        <f>((BB61/AU61/$M61/238/$A61)*5*238)/1000</f>
        <v>0</v>
      </c>
      <c r="BD61" s="41"/>
      <c r="BE61" s="40">
        <v>88100</v>
      </c>
      <c r="BF61" s="40">
        <v>0</v>
      </c>
      <c r="BG61" s="84">
        <f>BF61/BE61/P61/264/$A61</f>
        <v>0</v>
      </c>
      <c r="BH61" s="40"/>
      <c r="BI61" s="40">
        <v>27400</v>
      </c>
      <c r="BJ61" s="40">
        <v>0</v>
      </c>
      <c r="BK61" s="83" t="e">
        <f>((BJ61/$BG61/$Q61/292/$A61)*5*292)/1000</f>
        <v>#DIV/0!</v>
      </c>
      <c r="BL61" s="40"/>
      <c r="BM61" s="40">
        <v>81300</v>
      </c>
      <c r="BN61" s="40">
        <v>0</v>
      </c>
      <c r="BO61" s="87" t="e">
        <f>((BN61/$BK61/T61/293/$A61)*5*293)/1000</f>
        <v>#DIV/0!</v>
      </c>
      <c r="BP61" s="41"/>
      <c r="BQ61" s="41">
        <v>0</v>
      </c>
      <c r="BR61" s="84">
        <f>((BQ61/$AS61/$U61/306/$A61/35.549055)*5*306)/1000</f>
        <v>0</v>
      </c>
      <c r="BS61" s="41"/>
      <c r="BT61" s="40">
        <v>746</v>
      </c>
      <c r="BU61" s="87" t="e">
        <f>BT61/$BK61/X61/309/$A61</f>
        <v>#DIV/0!</v>
      </c>
      <c r="BV61" s="40"/>
      <c r="BW61" s="22"/>
      <c r="BX61" s="22"/>
      <c r="BY61" s="22"/>
      <c r="BZ61" s="65"/>
      <c r="CA61" s="65"/>
      <c r="CB61" s="65"/>
      <c r="CC61" s="65"/>
      <c r="CD61" s="65"/>
      <c r="CE61" s="65"/>
      <c r="CF61" s="22"/>
      <c r="CG61" s="22"/>
      <c r="CH61" s="22"/>
      <c r="CI61" s="65"/>
      <c r="CJ61" s="65"/>
      <c r="CK61" s="65"/>
      <c r="CL61" s="65"/>
      <c r="CM61" s="65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</row>
    <row r="62" spans="1:191" x14ac:dyDescent="0.25">
      <c r="A62" s="79">
        <v>57</v>
      </c>
      <c r="B62" s="90" t="s">
        <v>29</v>
      </c>
      <c r="C62" s="91">
        <v>12</v>
      </c>
      <c r="D62" s="4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40"/>
      <c r="AH62" s="40"/>
      <c r="AI62" s="82"/>
      <c r="AJ62" s="40"/>
      <c r="AK62" s="40"/>
      <c r="AL62" s="40"/>
      <c r="AM62" s="83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1"/>
      <c r="AZ62" s="86"/>
      <c r="BA62" s="41"/>
      <c r="BB62" s="41"/>
      <c r="BC62" s="86"/>
      <c r="BD62" s="41"/>
      <c r="BE62" s="40"/>
      <c r="BF62" s="40"/>
      <c r="BG62" s="84"/>
      <c r="BH62" s="40"/>
      <c r="BI62" s="40"/>
      <c r="BJ62" s="40"/>
      <c r="BK62" s="83"/>
      <c r="BL62" s="40"/>
      <c r="BM62" s="40"/>
      <c r="BN62" s="40"/>
      <c r="BO62" s="87"/>
      <c r="BP62" s="40"/>
      <c r="BQ62" s="41"/>
      <c r="BR62" s="84"/>
      <c r="BS62" s="41"/>
      <c r="BT62" s="40"/>
      <c r="BU62" s="87"/>
      <c r="BV62" s="40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</row>
    <row r="63" spans="1:191" x14ac:dyDescent="0.25">
      <c r="A63" s="79">
        <v>58</v>
      </c>
      <c r="B63" s="90" t="s">
        <v>33</v>
      </c>
      <c r="C63" s="91">
        <v>12</v>
      </c>
      <c r="D63" s="4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40"/>
      <c r="AH63" s="40"/>
      <c r="AI63" s="82"/>
      <c r="AJ63" s="40"/>
      <c r="AK63" s="40"/>
      <c r="AL63" s="40"/>
      <c r="AM63" s="83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1"/>
      <c r="AZ63" s="86"/>
      <c r="BA63" s="41"/>
      <c r="BB63" s="41"/>
      <c r="BC63" s="86"/>
      <c r="BD63" s="41"/>
      <c r="BE63" s="40"/>
      <c r="BF63" s="40"/>
      <c r="BG63" s="84"/>
      <c r="BH63" s="40"/>
      <c r="BI63" s="40"/>
      <c r="BJ63" s="40"/>
      <c r="BK63" s="83"/>
      <c r="BL63" s="40"/>
      <c r="BM63" s="40"/>
      <c r="BN63" s="40"/>
      <c r="BO63" s="87"/>
      <c r="BP63" s="40"/>
      <c r="BQ63" s="41"/>
      <c r="BR63" s="84"/>
      <c r="BS63" s="41"/>
      <c r="BT63" s="40"/>
      <c r="BU63" s="87"/>
      <c r="BV63" s="40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</row>
    <row r="64" spans="1:191" x14ac:dyDescent="0.25"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</row>
    <row r="65" spans="1:191" x14ac:dyDescent="0.25"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</row>
    <row r="66" spans="1:191" x14ac:dyDescent="0.25"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</row>
    <row r="67" spans="1:191" x14ac:dyDescent="0.25"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</row>
    <row r="68" spans="1:191" x14ac:dyDescent="0.25"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</row>
    <row r="69" spans="1:191" x14ac:dyDescent="0.25"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</row>
    <row r="79" spans="1:191" x14ac:dyDescent="0.25">
      <c r="A79" s="64"/>
      <c r="B79" s="64"/>
      <c r="C79" s="64"/>
      <c r="D79" s="65"/>
      <c r="E79" s="66"/>
      <c r="F79" s="65"/>
      <c r="G79" s="65"/>
      <c r="H79" s="66"/>
      <c r="I79" s="65"/>
      <c r="J79" s="65"/>
      <c r="K79" s="66"/>
      <c r="L79" s="65"/>
    </row>
    <row r="80" spans="1:191" x14ac:dyDescent="0.25">
      <c r="A80" s="64"/>
      <c r="B80" s="64"/>
      <c r="C80" s="64"/>
      <c r="D80" s="65"/>
      <c r="E80" s="66"/>
      <c r="F80" s="65"/>
      <c r="G80" s="65"/>
      <c r="H80" s="66"/>
      <c r="I80" s="65"/>
      <c r="J80" s="65"/>
      <c r="K80" s="66"/>
      <c r="L80" s="65"/>
    </row>
    <row r="81" spans="1:12" x14ac:dyDescent="0.25">
      <c r="A81" s="64"/>
      <c r="B81" s="64"/>
      <c r="C81" s="64"/>
      <c r="D81" s="65"/>
      <c r="E81" s="65"/>
      <c r="F81" s="65"/>
      <c r="G81" s="65"/>
      <c r="H81" s="65"/>
      <c r="I81" s="65"/>
      <c r="J81" s="65"/>
      <c r="K81" s="65"/>
      <c r="L81" s="65"/>
    </row>
    <row r="82" spans="1:12" x14ac:dyDescent="0.25">
      <c r="A82" s="64"/>
      <c r="B82" s="64"/>
      <c r="C82" s="64"/>
      <c r="D82" s="65"/>
      <c r="E82" s="65"/>
      <c r="F82" s="65"/>
      <c r="G82" s="65"/>
      <c r="H82" s="65"/>
      <c r="I82" s="65"/>
      <c r="J82" s="65"/>
      <c r="K82" s="65"/>
      <c r="L82" s="65"/>
    </row>
    <row r="83" spans="1:12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Figure_2</vt:lpstr>
      <vt:lpstr>Table_1</vt:lpstr>
      <vt:lpstr>Table_2-5</vt:lpstr>
      <vt:lpstr>Phytohormones_raw data</vt:lpstr>
    </vt:vector>
  </TitlesOfParts>
  <Company>Uni Goettingen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Eng, Felipe</dc:creator>
  <cp:lastModifiedBy>Sven Haroth</cp:lastModifiedBy>
  <cp:lastPrinted>2015-08-26T10:29:18Z</cp:lastPrinted>
  <dcterms:created xsi:type="dcterms:W3CDTF">2015-08-13T12:07:48Z</dcterms:created>
  <dcterms:modified xsi:type="dcterms:W3CDTF">2016-10-28T13:52:56Z</dcterms:modified>
</cp:coreProperties>
</file>