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0" windowWidth="25600" windowHeight="16060"/>
  </bookViews>
  <sheets>
    <sheet name="result" sheetId="1" r:id="rId1"/>
  </sheets>
  <definedNames>
    <definedName name="_xlnm._FilterDatabase" localSheetId="0" hidden="1">result!$B$2:$J$135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6" i="1" l="1"/>
  <c r="C40" i="1"/>
  <c r="B77" i="1"/>
  <c r="C77" i="1"/>
  <c r="B5" i="1"/>
  <c r="C5" i="1"/>
  <c r="B84" i="1"/>
  <c r="C84" i="1"/>
  <c r="B61" i="1"/>
  <c r="C61" i="1"/>
  <c r="B58" i="1"/>
  <c r="C58" i="1"/>
  <c r="B23" i="1"/>
  <c r="C23" i="1"/>
  <c r="B95" i="1"/>
  <c r="C95" i="1"/>
  <c r="B39" i="1"/>
  <c r="C39" i="1"/>
  <c r="B126" i="1"/>
  <c r="C126" i="1"/>
  <c r="B90" i="1"/>
  <c r="C90" i="1"/>
  <c r="B19" i="1"/>
  <c r="C19" i="1"/>
  <c r="B30" i="1"/>
  <c r="C30" i="1"/>
  <c r="B88" i="1"/>
  <c r="C88" i="1"/>
  <c r="B71" i="1"/>
  <c r="C71" i="1"/>
  <c r="B96" i="1"/>
  <c r="C96" i="1"/>
  <c r="B69" i="1"/>
  <c r="C69" i="1"/>
  <c r="B6" i="1"/>
  <c r="C6" i="1"/>
  <c r="B32" i="1"/>
  <c r="C32" i="1"/>
  <c r="B119" i="1"/>
  <c r="C119" i="1"/>
  <c r="B43" i="1"/>
  <c r="C43" i="1"/>
  <c r="B45" i="1"/>
  <c r="C45" i="1"/>
  <c r="B120" i="1"/>
  <c r="C120" i="1"/>
  <c r="B57" i="1"/>
  <c r="C57" i="1"/>
  <c r="B9" i="1"/>
  <c r="C9" i="1"/>
  <c r="B81" i="1"/>
  <c r="C81" i="1"/>
  <c r="B130" i="1"/>
  <c r="C130" i="1"/>
  <c r="B85" i="1"/>
  <c r="C85" i="1"/>
  <c r="B79" i="1"/>
  <c r="C79" i="1"/>
  <c r="B16" i="1"/>
  <c r="C16" i="1"/>
  <c r="B97" i="1"/>
  <c r="C97" i="1"/>
  <c r="B115" i="1"/>
  <c r="C115" i="1"/>
  <c r="B42" i="1"/>
  <c r="C42" i="1"/>
  <c r="B74" i="1"/>
  <c r="C74" i="1"/>
  <c r="B87" i="1"/>
  <c r="C87" i="1"/>
  <c r="B63" i="1"/>
  <c r="C63" i="1"/>
  <c r="B67" i="1"/>
  <c r="C67" i="1"/>
  <c r="B51" i="1"/>
  <c r="C51" i="1"/>
  <c r="B37" i="1"/>
  <c r="C37" i="1"/>
  <c r="B22" i="1"/>
  <c r="C22" i="1"/>
  <c r="B70" i="1"/>
  <c r="C70" i="1"/>
  <c r="B114" i="1"/>
  <c r="C114" i="1"/>
  <c r="B49" i="1"/>
  <c r="C49" i="1"/>
  <c r="B127" i="1"/>
  <c r="C127" i="1"/>
  <c r="B52" i="1"/>
  <c r="C52" i="1"/>
  <c r="B55" i="1"/>
  <c r="C55" i="1"/>
  <c r="B53" i="1"/>
  <c r="C53" i="1"/>
  <c r="B102" i="1"/>
  <c r="C102" i="1"/>
  <c r="B11" i="1"/>
  <c r="C11" i="1"/>
  <c r="B93" i="1"/>
  <c r="C93" i="1"/>
  <c r="B59" i="1"/>
  <c r="C59" i="1"/>
  <c r="B91" i="1"/>
  <c r="C91" i="1"/>
  <c r="B4" i="1"/>
  <c r="C4" i="1"/>
  <c r="B66" i="1"/>
  <c r="C66" i="1"/>
  <c r="B40" i="1"/>
  <c r="B3" i="1"/>
  <c r="C3" i="1"/>
  <c r="B111" i="1"/>
  <c r="C111" i="1"/>
  <c r="B13" i="1"/>
  <c r="C13" i="1"/>
  <c r="B98" i="1"/>
  <c r="C98" i="1"/>
  <c r="B44" i="1"/>
  <c r="C44" i="1"/>
  <c r="B26" i="1"/>
  <c r="C26" i="1"/>
  <c r="B113" i="1"/>
  <c r="C113" i="1"/>
  <c r="B29" i="1"/>
  <c r="C29" i="1"/>
  <c r="B131" i="1"/>
  <c r="C131" i="1"/>
  <c r="B103" i="1"/>
  <c r="C103" i="1"/>
  <c r="B89" i="1"/>
  <c r="C89" i="1"/>
  <c r="B33" i="1"/>
  <c r="C33" i="1"/>
  <c r="B110" i="1"/>
  <c r="C110" i="1"/>
  <c r="B28" i="1"/>
  <c r="C28" i="1"/>
  <c r="B54" i="1"/>
  <c r="C54" i="1"/>
  <c r="B82" i="1"/>
  <c r="C82" i="1"/>
  <c r="B108" i="1"/>
  <c r="C108" i="1"/>
  <c r="B107" i="1"/>
  <c r="C107" i="1"/>
  <c r="B50" i="1"/>
  <c r="C50" i="1"/>
  <c r="B27" i="1"/>
  <c r="C27" i="1"/>
  <c r="B65" i="1"/>
  <c r="C65" i="1"/>
  <c r="B7" i="1"/>
  <c r="C7" i="1"/>
  <c r="B99" i="1"/>
  <c r="C99" i="1"/>
  <c r="B117" i="1"/>
  <c r="C117" i="1"/>
  <c r="B14" i="1"/>
  <c r="C14" i="1"/>
  <c r="B104" i="1"/>
  <c r="C104" i="1"/>
  <c r="B10" i="1"/>
  <c r="C10" i="1"/>
  <c r="B106" i="1"/>
  <c r="C106" i="1"/>
  <c r="B68" i="1"/>
  <c r="C68" i="1"/>
  <c r="B46" i="1"/>
  <c r="C46" i="1"/>
  <c r="B92" i="1"/>
  <c r="C92" i="1"/>
  <c r="B83" i="1"/>
  <c r="C83" i="1"/>
  <c r="B38" i="1"/>
  <c r="C38" i="1"/>
  <c r="B17" i="1"/>
  <c r="C17" i="1"/>
  <c r="B35" i="1"/>
  <c r="C35" i="1"/>
  <c r="B31" i="1"/>
  <c r="C31" i="1"/>
  <c r="B64" i="1"/>
  <c r="C64" i="1"/>
  <c r="B112" i="1"/>
  <c r="C112" i="1"/>
  <c r="B121" i="1"/>
  <c r="C121" i="1"/>
  <c r="B56" i="1"/>
  <c r="C56" i="1"/>
  <c r="B15" i="1"/>
  <c r="C15" i="1"/>
  <c r="B60" i="1"/>
  <c r="C60" i="1"/>
  <c r="B124" i="1"/>
  <c r="C124" i="1"/>
  <c r="B18" i="1"/>
  <c r="C18" i="1"/>
  <c r="B128" i="1"/>
  <c r="C128" i="1"/>
  <c r="B41" i="1"/>
  <c r="C41" i="1"/>
  <c r="B21" i="1"/>
  <c r="C21" i="1"/>
  <c r="B94" i="1"/>
  <c r="C94" i="1"/>
  <c r="B132" i="1"/>
  <c r="C132" i="1"/>
  <c r="B86" i="1"/>
  <c r="C86" i="1"/>
  <c r="B109" i="1"/>
  <c r="C109" i="1"/>
  <c r="B80" i="1"/>
  <c r="C80" i="1"/>
  <c r="B123" i="1"/>
  <c r="C123" i="1"/>
  <c r="B36" i="1"/>
  <c r="C36" i="1"/>
  <c r="B76" i="1"/>
  <c r="B72" i="1"/>
  <c r="C72" i="1"/>
  <c r="B24" i="1"/>
  <c r="C24" i="1"/>
  <c r="B75" i="1"/>
  <c r="C75" i="1"/>
  <c r="B8" i="1"/>
  <c r="C8" i="1"/>
  <c r="B129" i="1"/>
  <c r="C129" i="1"/>
  <c r="B73" i="1"/>
  <c r="C73" i="1"/>
  <c r="B100" i="1"/>
  <c r="C100" i="1"/>
  <c r="B12" i="1"/>
  <c r="C12" i="1"/>
  <c r="B47" i="1"/>
  <c r="C47" i="1"/>
  <c r="B101" i="1"/>
  <c r="C101" i="1"/>
  <c r="B20" i="1"/>
  <c r="C20" i="1"/>
  <c r="B116" i="1"/>
  <c r="C116" i="1"/>
  <c r="B78" i="1"/>
  <c r="C78" i="1"/>
  <c r="B34" i="1"/>
  <c r="C34" i="1"/>
  <c r="B48" i="1"/>
  <c r="C48" i="1"/>
  <c r="B25" i="1"/>
  <c r="C25" i="1"/>
  <c r="B133" i="1"/>
  <c r="C133" i="1"/>
  <c r="B122" i="1"/>
  <c r="C122" i="1"/>
  <c r="B125" i="1"/>
  <c r="C125" i="1"/>
  <c r="B118" i="1"/>
  <c r="C118" i="1"/>
  <c r="B62" i="1"/>
  <c r="C62" i="1"/>
  <c r="B105" i="1"/>
  <c r="C105" i="1"/>
</calcChain>
</file>

<file path=xl/sharedStrings.xml><?xml version="1.0" encoding="utf-8"?>
<sst xmlns="http://schemas.openxmlformats.org/spreadsheetml/2006/main" count="373" uniqueCount="369">
  <si>
    <t>Gm16279</t>
  </si>
  <si>
    <t>predicted gene 16279 [Source:MGI Symbol;Acc:MGI:3826576]</t>
  </si>
  <si>
    <t>RP23</t>
  </si>
  <si>
    <t>Snord15a</t>
  </si>
  <si>
    <t>small nucleolar RNA, C/D box 15A [Source:MGI Symbol;Acc:MGI:3645887]</t>
  </si>
  <si>
    <t>2900052L18Rik</t>
  </si>
  <si>
    <t>RIKEN cDNA 2900052L18 gene [Source:MGI Symbol;Acc:MGI:1924085]</t>
  </si>
  <si>
    <t>Neat1</t>
  </si>
  <si>
    <t>nuclear paraspeckle assembly transcript 1 (non-protein coding) [Source:MGI Symbol;Acc:MGI:1914211]</t>
  </si>
  <si>
    <t>AC114820.1</t>
  </si>
  <si>
    <t>Snhg5</t>
  </si>
  <si>
    <t>small nucleolar RNA host gene 5 [Source:MGI Symbol;Acc:MGI:1919905]</t>
  </si>
  <si>
    <t>AC148981.1</t>
  </si>
  <si>
    <t>Snora73b</t>
  </si>
  <si>
    <t>small nucleolar RNA, H/ACA box 73b [Source:MGI Symbol;Acc:MGI:4360049]</t>
  </si>
  <si>
    <t>Gm21781</t>
  </si>
  <si>
    <t>predicted gene, 21781 [Source:MGI Symbol;Acc:MGI:5433945]</t>
  </si>
  <si>
    <t>2810008D09Rik</t>
  </si>
  <si>
    <t>RIKEN cDNA 2810008D09 gene [Source:MGI Symbol;Acc:MGI:1924222]</t>
  </si>
  <si>
    <t>2610005L07Rik</t>
  </si>
  <si>
    <t>RIKEN cDNA 2610005L07 gene [Source:MGI Symbol;Acc:MGI:1914283]</t>
  </si>
  <si>
    <t>Snora23</t>
  </si>
  <si>
    <t>small nucleolar RNA, H/ACA box 23 [Source:MGI Symbol;Acc:MGI:3819494]</t>
  </si>
  <si>
    <t>4933423P22Rik</t>
  </si>
  <si>
    <t>RIKEN cDNA 4933423P22 gene [Source:MGI Symbol;Acc:MGI:1918408]</t>
  </si>
  <si>
    <t>6820431F20Rik</t>
  </si>
  <si>
    <t>RIKEN cDNA 6820431F20 gene [Source:MGI Symbol;Acc:MGI:3694236]</t>
  </si>
  <si>
    <t>Gm16286</t>
  </si>
  <si>
    <t>predicted gene 16286 [Source:MGI Symbol;Acc:MGI:3833940]</t>
  </si>
  <si>
    <t>Gm25688</t>
  </si>
  <si>
    <t>predicted gene, 25688 [Source:MGI Symbol;Acc:MGI:5455465]</t>
  </si>
  <si>
    <t>Gm16586</t>
  </si>
  <si>
    <t>predicted gene 16586 [Source:MGI Symbol;Acc:MGI:4415006]</t>
  </si>
  <si>
    <t>4930581F22Rik</t>
  </si>
  <si>
    <t>RIKEN cDNA 4930581F22 gene [Source:MGI Symbol;Acc:MGI:1926184]</t>
  </si>
  <si>
    <t>Gm6483</t>
  </si>
  <si>
    <t>predicted gene 6483 [Source:MGI Symbol;Acc:MGI:3644574]</t>
  </si>
  <si>
    <t>Gm25395</t>
  </si>
  <si>
    <t>predicted gene, 25395 [Source:MGI Symbol;Acc:MGI:5455172]</t>
  </si>
  <si>
    <t>Snora74a</t>
  </si>
  <si>
    <t>small nucleolar RNA, H/ACA box 74A [Source:MGI Symbol;Acc:MGI:3646921]</t>
  </si>
  <si>
    <t>9430008C03Rik</t>
  </si>
  <si>
    <t>RIKEN cDNA 9430008C03 gene [Source:MGI Symbol;Acc:MGI:1915358]</t>
  </si>
  <si>
    <t>AC144818.1</t>
  </si>
  <si>
    <t>Gm14391</t>
  </si>
  <si>
    <t>predicted gene 14391 [Source:MGI Symbol;Acc:MGI:3709324]</t>
  </si>
  <si>
    <t>4632427E13Rik</t>
  </si>
  <si>
    <t>RIKEN cDNA 4632427E13 gene [Source:MGI Symbol;Acc:MGI:1915436]</t>
  </si>
  <si>
    <t>Gm16287</t>
  </si>
  <si>
    <t>predicted gene 16287 [Source:MGI Symbol;Acc:MGI:3650322]</t>
  </si>
  <si>
    <t>Gm10430</t>
  </si>
  <si>
    <t>predicted gene 10430 [Source:MGI Symbol;Acc:MGI:3711274]</t>
  </si>
  <si>
    <t>Gm21769</t>
  </si>
  <si>
    <t>predicted gene, 21769 [Source:MGI Symbol;Acc:MGI:5433933]</t>
  </si>
  <si>
    <t>Gm16503</t>
  </si>
  <si>
    <t>predicted gene 16503 [Source:MGI Symbol;Acc:MGI:3642127]</t>
  </si>
  <si>
    <t>Gm23946</t>
  </si>
  <si>
    <t>predicted gene, 23946 [Source:MGI Symbol;Acc:MGI:5453723]</t>
  </si>
  <si>
    <t>Rpph1</t>
  </si>
  <si>
    <t>ribonuclease P RNA component H1 [Source:MGI Symbol;Acc:MGI:1934664]</t>
  </si>
  <si>
    <t>B230314M03Rik</t>
  </si>
  <si>
    <t>RIKEN cDNA B230314M03 gene [Source:MGI Symbol;Acc:MGI:3588233]</t>
  </si>
  <si>
    <t>Gm24407</t>
  </si>
  <si>
    <t>predicted gene, 24407 [Source:MGI Symbol;Acc:MGI:5454184]</t>
  </si>
  <si>
    <t>Gm23238</t>
  </si>
  <si>
    <t>predicted gene, 23238 [Source:MGI Symbol;Acc:MGI:5453015]</t>
  </si>
  <si>
    <t>Gm10277</t>
  </si>
  <si>
    <t>predicted gene 10277 [Source:MGI Symbol;Acc:MGI:3641921]</t>
  </si>
  <si>
    <t>Gm22009</t>
  </si>
  <si>
    <t>predicted gene, 22009 [Source:MGI Symbol;Acc:MGI:5451786]</t>
  </si>
  <si>
    <t>AL772401.1</t>
  </si>
  <si>
    <t>Scarna2</t>
  </si>
  <si>
    <t>small Cajal body-specific RNA 2 [Source:MGI Symbol;Acc:MGI:3819484]</t>
  </si>
  <si>
    <t>Gm9888</t>
  </si>
  <si>
    <t>predicted gene 9888 [Source:MGI Symbol;Acc:MGI:3642202]</t>
  </si>
  <si>
    <t>Terc</t>
  </si>
  <si>
    <t>telomerase RNA component [Source:MGI Symbol;Acc:MGI:109558]</t>
  </si>
  <si>
    <t>AC139063.1</t>
  </si>
  <si>
    <t>C030005K06Rik</t>
  </si>
  <si>
    <t>RIKEN cDNA C030005K06 gene [Source:MGI Symbol;Acc:MGI:1925945]</t>
  </si>
  <si>
    <t>BC039771</t>
  </si>
  <si>
    <t>cDNA sequence BC039771 [Source:MGI Symbol;Acc:MGI:3040676]</t>
  </si>
  <si>
    <t>Ftx</t>
  </si>
  <si>
    <t>Ftx transcript, Xist regulator (non-protein coding) [Source:MGI Symbol;Acc:MGI:1926128]</t>
  </si>
  <si>
    <t>AC122821.1</t>
  </si>
  <si>
    <t>Gm17300</t>
  </si>
  <si>
    <t>predicted gene, 17300 [Source:MGI Symbol;Acc:MGI:4936934]</t>
  </si>
  <si>
    <t>Gm13563</t>
  </si>
  <si>
    <t>predicted gene 13563 [Source:MGI Symbol;Acc:MGI:3652052]</t>
  </si>
  <si>
    <t>Snord118</t>
  </si>
  <si>
    <t>small nucleolar RNA, C/D box 118 [Source:MGI Symbol;Acc:MGI:3819519]</t>
  </si>
  <si>
    <t>Gm7292</t>
  </si>
  <si>
    <t>predicted gene 7292 [Source:MGI Symbol;Acc:MGI:3645786]</t>
  </si>
  <si>
    <t>Rn5s</t>
  </si>
  <si>
    <t>5S RNA [Source:MGI Symbol;Acc:MGI:97949]</t>
  </si>
  <si>
    <t>Gm22182</t>
  </si>
  <si>
    <t>predicted gene, 22182 [Source:MGI Symbol;Acc:MGI:5451959]</t>
  </si>
  <si>
    <t>AC118227.1</t>
  </si>
  <si>
    <t>Gm23418</t>
  </si>
  <si>
    <t>predicted gene, 23418 [Source:MGI Symbol;Acc:MGI:5453195]</t>
  </si>
  <si>
    <t>Gm3550</t>
  </si>
  <si>
    <t>predicted gene 3550 [Source:MGI Symbol;Acc:MGI:3781727]</t>
  </si>
  <si>
    <t>Gm15499</t>
  </si>
  <si>
    <t>predicted gene 15499 [Source:MGI Symbol;Acc:MGI:3782946]</t>
  </si>
  <si>
    <t>AC133578.1</t>
  </si>
  <si>
    <t>Gm24119</t>
  </si>
  <si>
    <t>predicted gene, 24119 [Source:MGI Symbol;Acc:MGI:5453896]</t>
  </si>
  <si>
    <t>AC164105.1</t>
  </si>
  <si>
    <t>Snora73a</t>
  </si>
  <si>
    <t>small nucleolar RNA, H/ACA box 73a [Source:MGI Symbol;Acc:MGI:4360046]</t>
  </si>
  <si>
    <t>AC147987.1</t>
  </si>
  <si>
    <t>Gm21092</t>
  </si>
  <si>
    <t>predicted gene, 21092 [Source:MGI Symbol;Acc:MGI:5434447]</t>
  </si>
  <si>
    <t>Snord17</t>
  </si>
  <si>
    <t>small nucleolar RNA, C/D box 17 [Source:MGI Symbol;Acc:MGI:3819523]</t>
  </si>
  <si>
    <t>1700020I14Rik</t>
  </si>
  <si>
    <t>RIKEN cDNA 1700020I14 gene [Source:MGI Symbol;Acc:MGI:1913852]</t>
  </si>
  <si>
    <t>Scarna6</t>
  </si>
  <si>
    <t>small Cajal body-specific RNA 6 [Source:MGI Symbol;Acc:MGI:3819487]</t>
  </si>
  <si>
    <t>Gm14252</t>
  </si>
  <si>
    <t>predicted gene 14252 [Source:MGI Symbol;Acc:MGI:3649403]</t>
  </si>
  <si>
    <t>Malat1</t>
  </si>
  <si>
    <t>metastasis associated lung adenocarcinoma transcript 1 (non-coding RNA) [Source:MGI Symbol;Acc:MGI:1919539]</t>
  </si>
  <si>
    <t>AL928605.1</t>
  </si>
  <si>
    <t>Rmrp</t>
  </si>
  <si>
    <t>RNA component of mitochondrial RNAase P [Source:MGI Symbol;Acc:MGI:97937]</t>
  </si>
  <si>
    <t>Scarna13</t>
  </si>
  <si>
    <t>small Cajal body-specific RNA 1 [Source:MGI Symbol;Acc:MGI:4360027]</t>
  </si>
  <si>
    <t>Gm22409</t>
  </si>
  <si>
    <t>predicted gene, 22409 [Source:MGI Symbol;Acc:MGI:5452186]</t>
  </si>
  <si>
    <t>AC125483.1</t>
  </si>
  <si>
    <t>A430110C17Rik</t>
  </si>
  <si>
    <t>RIKEN cDNA A430110C17 gene [Source:MGI Symbol;Acc:MGI:2444994]</t>
  </si>
  <si>
    <t>Gm20448</t>
  </si>
  <si>
    <t>predicted gene 20448 [Source:MGI Symbol;Acc:MGI:5141913]</t>
  </si>
  <si>
    <t>Gm12976</t>
  </si>
  <si>
    <t>predicted gene 12976 [Source:MGI Symbol;Acc:MGI:3650499]</t>
  </si>
  <si>
    <t>Gm21992</t>
  </si>
  <si>
    <t>predicted gene 21992 [Source:MGI Symbol;Acc:MGI:5439461]</t>
  </si>
  <si>
    <t>Rn7sk</t>
  </si>
  <si>
    <t>RNA, 7SK, nuclear [Source:MGI Symbol;Acc:MGI:103186]</t>
  </si>
  <si>
    <t>Gm24305</t>
  </si>
  <si>
    <t>predicted gene, 24305 [Source:MGI Symbol;Acc:MGI:5454082]</t>
  </si>
  <si>
    <t>AL731663.1</t>
  </si>
  <si>
    <t>AL592169.1</t>
  </si>
  <si>
    <t>Gm20036</t>
  </si>
  <si>
    <t>predicted gene, 20036 [Source:MGI Symbol;Acc:MGI:5012221]</t>
  </si>
  <si>
    <t>RP23-81C12.1</t>
  </si>
  <si>
    <t>1810059H22Rik</t>
  </si>
  <si>
    <t>RIKEN cDNA 1810059H22 gene [Source:MGI Symbol;Acc:MGI:1917070]</t>
  </si>
  <si>
    <t>AC163355.1</t>
  </si>
  <si>
    <t>Rnu3b3</t>
  </si>
  <si>
    <t>U3B small nuclear RNA 3 [Source:MGI Symbol;Acc:MGI:97987]</t>
  </si>
  <si>
    <t>BX537302.1</t>
  </si>
  <si>
    <t>AC158921.1</t>
  </si>
  <si>
    <t>Gm22988</t>
  </si>
  <si>
    <t>predicted gene, 22988 [Source:MGI Symbol;Acc:MGI:5452765]</t>
  </si>
  <si>
    <t>AC092094.1</t>
  </si>
  <si>
    <t>Gm21887</t>
  </si>
  <si>
    <t>predicted gene, 21887 [Source:MGI Symbol;Acc:MGI:5434051]</t>
  </si>
  <si>
    <t>Gm25043</t>
  </si>
  <si>
    <t>predicted gene, 25043 [Source:MGI Symbol;Acc:MGI:5454820]</t>
  </si>
  <si>
    <t>AC133510.1</t>
  </si>
  <si>
    <t>AC116739.1</t>
  </si>
  <si>
    <t>AC118017.1</t>
  </si>
  <si>
    <t>Rprl3</t>
  </si>
  <si>
    <t>ribonuclease P RNA-like 3 [Source:MGI Symbol;Acc:MGI:105103]</t>
  </si>
  <si>
    <t>Gm16121</t>
  </si>
  <si>
    <t>predicted gene 16121 [Source:MGI Symbol;Acc:MGI:3802131]</t>
  </si>
  <si>
    <t>AC092202.1</t>
  </si>
  <si>
    <t>Gm15825</t>
  </si>
  <si>
    <t>predicted gene 15825 [Source:MGI Symbol;Acc:MGI:3801887]</t>
  </si>
  <si>
    <t>AC087541.1</t>
  </si>
  <si>
    <t>AC152164.1</t>
  </si>
  <si>
    <t>AC027184.1</t>
  </si>
  <si>
    <t>Gm25532</t>
  </si>
  <si>
    <t>predicted gene, 25532 [Source:MGI Symbol;Acc:MGI:5455309]</t>
  </si>
  <si>
    <t>C330006A16Rik</t>
  </si>
  <si>
    <t>RIKEN cDNA C330006A16 gene [Source:MGI Symbol;Acc:MGI:1924939]</t>
  </si>
  <si>
    <t>Gm22220</t>
  </si>
  <si>
    <t>predicted gene, 22220 [Source:MGI Symbol;Acc:MGI:5451997]</t>
  </si>
  <si>
    <t>AY036118</t>
  </si>
  <si>
    <t>cDNA sequence AY036118 [Source:MGI Symbol;Acc:MGI:2158419]</t>
  </si>
  <si>
    <t>8030423F21Rik</t>
  </si>
  <si>
    <t>RIKEN cDNA 8030423F21 gene [Source:MGI Symbol;Acc:MGI:2443206]</t>
  </si>
  <si>
    <t>Gm10612</t>
  </si>
  <si>
    <t>predicted gene 10612 [Source:MGI Symbol;Acc:MGI:3708796]</t>
  </si>
  <si>
    <t>Gm10143</t>
  </si>
  <si>
    <t>predicted gene 10143 [Source:MGI Symbol;Acc:MGI:3704492]</t>
  </si>
  <si>
    <t>AC119189.1</t>
  </si>
  <si>
    <t>AC183097.1</t>
  </si>
  <si>
    <t>2900097C17Rik</t>
  </si>
  <si>
    <t>RIKEN cDNA 2900097C17 gene [Source:MGI Symbol;Acc:MGI:1914767]</t>
  </si>
  <si>
    <t>Rnu3a</t>
  </si>
  <si>
    <t>U3A small nuclear RNA [Source:MGI Symbol;Acc:MGI:97977]</t>
  </si>
  <si>
    <t>Gm23455</t>
  </si>
  <si>
    <t>predicted gene, 23455 [Source:MGI Symbol;Acc:MGI:5453232]</t>
  </si>
  <si>
    <t>C730034F03Rik</t>
  </si>
  <si>
    <t>RIKEN cDNA C730034F03 gene [Source:MGI Symbol;Acc:MGI:2441921]</t>
  </si>
  <si>
    <t>Gm26448</t>
  </si>
  <si>
    <t>predicted gene, 26448 [Source:MGI Symbol;Acc:MGI:5456225]</t>
  </si>
  <si>
    <t>Gm24265</t>
  </si>
  <si>
    <t>predicted gene, 24265 [Source:MGI Symbol;Acc:MGI:5454042]</t>
  </si>
  <si>
    <t>Scarna10</t>
  </si>
  <si>
    <t>small Cajal body-specific RNA 10 [Source:MGI Symbol;Acc:MGI:3819482]</t>
  </si>
  <si>
    <t>Gm9864</t>
  </si>
  <si>
    <t>predicted gene 9864 [Source:MGI Symbol;Acc:MGI:3708663]</t>
  </si>
  <si>
    <t>Gm23973</t>
  </si>
  <si>
    <t>predicted gene, 23973 [Source:MGI Symbol;Acc:MGI:5453750]</t>
  </si>
  <si>
    <t>Gm9821</t>
  </si>
  <si>
    <t>predicted gene 9821 [Source:MGI Symbol;Acc:MGI:3704208]</t>
  </si>
  <si>
    <t>Gm14137</t>
  </si>
  <si>
    <t>predicted gene 14137 [Source:MGI Symbol;Acc:MGI:3651144]</t>
  </si>
  <si>
    <t>Gm3608</t>
  </si>
  <si>
    <t>predicted gene 3608 [Source:MGI Symbol;Acc:MGI:3804932]</t>
  </si>
  <si>
    <t>Gm9929</t>
  </si>
  <si>
    <t>predicted gene 9929 [Source:MGI Symbol;Acc:MGI:3708526]</t>
  </si>
  <si>
    <t>4632433K11Rik</t>
  </si>
  <si>
    <t>RIKEN cDNA 4632433K11 gene [Source:MGI Symbol;Acc:MGI:1924293]</t>
  </si>
  <si>
    <t>Rprl1</t>
  </si>
  <si>
    <t>ribonuclease P RNA-like 1 [Source:MGI Symbol;Acc:MGI:105105]</t>
  </si>
  <si>
    <t>n-R5s193</t>
  </si>
  <si>
    <t>nuclear encoded rRNA 5S 193 [Source:MGI Symbol;Acc:MGI:4422058]</t>
  </si>
  <si>
    <t>Gm24809</t>
  </si>
  <si>
    <t>predicted gene, 24809 [Source:MGI Symbol;Acc:MGI:5454586]</t>
  </si>
  <si>
    <t>B930036N10Rik</t>
  </si>
  <si>
    <t>RIKEN cDNA B930036N10 gene [Source:MGI Symbol;Acc:MGI:3702496]</t>
  </si>
  <si>
    <t>MGI Accession (Link to MGI)</t>
    <phoneticPr fontId="18"/>
  </si>
  <si>
    <t>Gene symbol</t>
    <phoneticPr fontId="18"/>
  </si>
  <si>
    <t>Gene description</t>
    <phoneticPr fontId="18"/>
  </si>
  <si>
    <t>ENSMUST00000158656</t>
  </si>
  <si>
    <t>ENSMUST00000104526</t>
  </si>
  <si>
    <t>ENSMUST00000083888</t>
  </si>
  <si>
    <t>ENSMUST00000157343</t>
  </si>
  <si>
    <t>ENSMUST00000093738</t>
  </si>
  <si>
    <t>ENSMUST00000083936</t>
  </si>
  <si>
    <t>ENSMUST00000104423</t>
  </si>
  <si>
    <t>ENSMUST00000158604</t>
  </si>
  <si>
    <t>ENSMUST00000103979</t>
  </si>
  <si>
    <t>ENSMUST00000082446</t>
  </si>
  <si>
    <t>ENSMUST00000097930</t>
  </si>
  <si>
    <t>ENSMUST00000122759</t>
  </si>
  <si>
    <t>ENSMUST00000133808</t>
  </si>
  <si>
    <t>ENSMUST00000158792</t>
  </si>
  <si>
    <t>ENSMUST00000181605</t>
  </si>
  <si>
    <t>ENSMUST00000149667</t>
  </si>
  <si>
    <t>ENSMUST00000082517</t>
  </si>
  <si>
    <t>ENSMUST00000158992</t>
  </si>
  <si>
    <t>ENSMUST00000182423</t>
  </si>
  <si>
    <t>ENSMUST00000101030</t>
  </si>
  <si>
    <t>ENSMUST00000180563</t>
  </si>
  <si>
    <t>ENSMUST00000183314</t>
  </si>
  <si>
    <t>ENSMUST00000086725</t>
  </si>
  <si>
    <t>ENSMUST00000158164</t>
  </si>
  <si>
    <t>ENSMUST00000182520</t>
  </si>
  <si>
    <t>ENSMUST00000179155</t>
  </si>
  <si>
    <t>ENSMUST00000181002</t>
  </si>
  <si>
    <t>ENSMUST00000126219</t>
  </si>
  <si>
    <t>ENSMUST00000159108</t>
  </si>
  <si>
    <t>ENSMUST00000083715</t>
  </si>
  <si>
    <t>ENSMUST00000006628</t>
  </si>
  <si>
    <t>ENSMUST00000178895</t>
  </si>
  <si>
    <t>ENSMUST00000181809</t>
  </si>
  <si>
    <t>ENSMUST00000150375</t>
  </si>
  <si>
    <t>ENSMUST00000082965</t>
  </si>
  <si>
    <t>ENSMUST00000179760</t>
  </si>
  <si>
    <t>ENSMUST00000083419</t>
  </si>
  <si>
    <t>ENSMUST00000093873</t>
  </si>
  <si>
    <t>ENSMUST00000062783</t>
  </si>
  <si>
    <t>ENSMUST00000150678</t>
  </si>
  <si>
    <t>ENSMUST00000097827</t>
  </si>
  <si>
    <t>ENSMUST00000157463</t>
  </si>
  <si>
    <t>ENSMUST00000086909</t>
  </si>
  <si>
    <t>ENSMUST00000182761</t>
  </si>
  <si>
    <t>ENSMUST00000155660</t>
  </si>
  <si>
    <t>ENSMUST00000069711</t>
  </si>
  <si>
    <t>ENSMUST00000181207</t>
  </si>
  <si>
    <t>ENSMUST00000177547</t>
  </si>
  <si>
    <t>ENSMUST00000172202</t>
  </si>
  <si>
    <t>ENSMUST00000105038</t>
  </si>
  <si>
    <t>ENSMUST00000141390</t>
  </si>
  <si>
    <t>ENSMUST00000181486</t>
  </si>
  <si>
    <t>ENSMUST00000145438</t>
  </si>
  <si>
    <t>ENSMUST00000175368</t>
  </si>
  <si>
    <t>ENSMUST00000104964</t>
  </si>
  <si>
    <t>ENSMUST00000180512</t>
  </si>
  <si>
    <t>ENSMUST00000082453</t>
  </si>
  <si>
    <t>ENSMUST00000082671</t>
  </si>
  <si>
    <t>ENSMUST00000173672</t>
  </si>
  <si>
    <t>ENSMUST00000175318</t>
  </si>
  <si>
    <t>ENSMUST00000129164</t>
  </si>
  <si>
    <t>ENSMUST00000181206</t>
  </si>
  <si>
    <t>ENSMUST00000181113</t>
  </si>
  <si>
    <t>ENSMUST00000130063</t>
  </si>
  <si>
    <t>ENSMUST00000137180</t>
  </si>
  <si>
    <t>ENSMUST00000180691</t>
  </si>
  <si>
    <t>ENSMUST00000133001</t>
  </si>
  <si>
    <t>ENSMUST00000177555</t>
  </si>
  <si>
    <t>ENSMUST00000175441</t>
  </si>
  <si>
    <t>ENSMUST00000181052</t>
  </si>
  <si>
    <t>ENSMUST00000083331</t>
  </si>
  <si>
    <t>ENSMUST00000082862</t>
  </si>
  <si>
    <t>ENSMUST00000088578</t>
  </si>
  <si>
    <t>ENSMUST00000133693</t>
  </si>
  <si>
    <t>ENSMUST00000149452</t>
  </si>
  <si>
    <t>ENSMUST00000083320</t>
  </si>
  <si>
    <t>ENSMUST00000092883</t>
  </si>
  <si>
    <t>ENSMUST00000081739</t>
  </si>
  <si>
    <t>ENSMUST00000175096</t>
  </si>
  <si>
    <t>ENSMUST00000181146</t>
  </si>
  <si>
    <t>ENSMUST00000128520</t>
  </si>
  <si>
    <t>ENSMUST00000139014</t>
  </si>
  <si>
    <t>ENSMUST00000083007</t>
  </si>
  <si>
    <t>ENSMUST00000162198</t>
  </si>
  <si>
    <t>ENSMUST00000181644</t>
  </si>
  <si>
    <t>ENSMUST00000153748</t>
  </si>
  <si>
    <t>ENSMUST00000153817</t>
  </si>
  <si>
    <t>ENSMUST00000140111</t>
  </si>
  <si>
    <t>ENSMUST00000178451</t>
  </si>
  <si>
    <t>ENSMUST00000157400</t>
  </si>
  <si>
    <t>ENSMUST00000181712</t>
  </si>
  <si>
    <t>ENSMUST00000181098</t>
  </si>
  <si>
    <t>ENSMUST00000181501</t>
  </si>
  <si>
    <t>ENSMUST00000159117</t>
  </si>
  <si>
    <t>ENSMUST00000181580</t>
  </si>
  <si>
    <t>ENSMUST00000180666</t>
  </si>
  <si>
    <t>ENSMUST00000180864</t>
  </si>
  <si>
    <t>ENSMUST00000168646</t>
  </si>
  <si>
    <t>ENSMUST00000101833</t>
  </si>
  <si>
    <t>ENSMUST00000025463</t>
  </si>
  <si>
    <t>ENSMUST00000173847</t>
  </si>
  <si>
    <t>ENSMUST00000180958</t>
  </si>
  <si>
    <t>ENSMUST00000181170</t>
  </si>
  <si>
    <t>ENSMUST00000181775</t>
  </si>
  <si>
    <t>ENSMUST00000181045</t>
  </si>
  <si>
    <t>ENSMUST00000180852</t>
  </si>
  <si>
    <t>ENSMUST00000153581</t>
  </si>
  <si>
    <t>ENSMUST00000083103</t>
  </si>
  <si>
    <t>ENSMUST00000131801</t>
  </si>
  <si>
    <t>ENSMUST00000181248</t>
  </si>
  <si>
    <t>ENSMUST00000175460</t>
  </si>
  <si>
    <t>ENSMUST00000175425</t>
  </si>
  <si>
    <t>ENSMUST00000157560</t>
  </si>
  <si>
    <t>ENSMUST00000090043</t>
  </si>
  <si>
    <t>ENSMUST00000181739</t>
  </si>
  <si>
    <t>ENSMUST00000082864</t>
  </si>
  <si>
    <t>ENSMUST00000181842</t>
  </si>
  <si>
    <t>ENSMUST00000092138</t>
  </si>
  <si>
    <t>ENSMUST00000181482</t>
  </si>
  <si>
    <t>ENSMUST00000076791</t>
  </si>
  <si>
    <t>ENSMUST00000181885</t>
  </si>
  <si>
    <t>ENSMUST00000147198</t>
  </si>
  <si>
    <t>ENSMUST00000158050</t>
  </si>
  <si>
    <t>ENSMUST00000178920</t>
  </si>
  <si>
    <t>ENSMUST00000175526</t>
  </si>
  <si>
    <t>ENSMUST00000172812</t>
  </si>
  <si>
    <t>ENSMUST00000151240</t>
  </si>
  <si>
    <t>ENSMUST00000177864</t>
  </si>
  <si>
    <t>ENSMUST00000176366</t>
  </si>
  <si>
    <t>ENSMUST00000064097</t>
  </si>
  <si>
    <t>ENSMUST00000171747</t>
  </si>
  <si>
    <t>Ensembl ID</t>
    <phoneticPr fontId="18"/>
  </si>
  <si>
    <t>Link to Ensembl</t>
    <phoneticPr fontId="18"/>
  </si>
  <si>
    <r>
      <rPr>
        <b/>
        <sz val="11"/>
        <color theme="1"/>
        <rFont val="ＭＳ Ｐゴシック"/>
        <family val="2"/>
        <charset val="128"/>
        <scheme val="minor"/>
      </rPr>
      <t>Table S1.</t>
    </r>
    <r>
      <rPr>
        <sz val="11"/>
        <color theme="1"/>
        <rFont val="ＭＳ Ｐゴシック"/>
        <family val="2"/>
        <charset val="128"/>
        <scheme val="minor"/>
      </rPr>
      <t xml:space="preserve"> Non-coding RNAs associated with telomeres identified by enChIP-RNA-Seq analysis</t>
    </r>
    <phoneticPr fontId="18"/>
  </si>
  <si>
    <r>
      <t xml:space="preserve">3xFNLDD
</t>
    </r>
    <r>
      <rPr>
        <b/>
        <sz val="11"/>
        <color theme="1"/>
        <rFont val="ＭＳ Ｐゴシック"/>
        <family val="3"/>
        <charset val="128"/>
        <scheme val="minor"/>
      </rPr>
      <t>read count</t>
    </r>
    <phoneticPr fontId="18"/>
  </si>
  <si>
    <t>3xFN-Tel-TAL
read count</t>
    <phoneticPr fontId="18"/>
  </si>
  <si>
    <r>
      <rPr>
        <b/>
        <sz val="11"/>
        <color theme="1"/>
        <rFont val="ＭＳ Ｐゴシック"/>
        <family val="2"/>
        <charset val="128"/>
        <scheme val="minor"/>
      </rPr>
      <t xml:space="preserve">3xFNLDD
</t>
    </r>
    <r>
      <rPr>
        <b/>
        <sz val="11"/>
        <color theme="1"/>
        <rFont val="ＭＳ Ｐゴシック"/>
        <family val="3"/>
        <charset val="128"/>
        <scheme val="minor"/>
      </rPr>
      <t>RPM</t>
    </r>
    <phoneticPr fontId="18"/>
  </si>
  <si>
    <r>
      <rPr>
        <b/>
        <sz val="11"/>
        <color theme="1"/>
        <rFont val="ＭＳ Ｐゴシック"/>
        <family val="2"/>
        <charset val="128"/>
        <scheme val="minor"/>
      </rPr>
      <t xml:space="preserve">3xFN-Tel-TAL
</t>
    </r>
    <r>
      <rPr>
        <b/>
        <sz val="11"/>
        <color theme="1"/>
        <rFont val="ＭＳ Ｐゴシック"/>
        <family val="3"/>
        <charset val="128"/>
        <scheme val="minor"/>
      </rPr>
      <t>RPM</t>
    </r>
    <phoneticPr fontId="18"/>
  </si>
  <si>
    <r>
      <rPr>
        <b/>
        <sz val="11"/>
        <color theme="1"/>
        <rFont val="ＭＳ Ｐゴシック"/>
        <family val="2"/>
        <charset val="128"/>
        <scheme val="minor"/>
      </rPr>
      <t>3xFN-Tel-TAL</t>
    </r>
    <r>
      <rPr>
        <b/>
        <sz val="11"/>
        <color theme="1"/>
        <rFont val="ＭＳ Ｐゴシック"/>
        <family val="3"/>
        <charset val="128"/>
        <scheme val="minor"/>
      </rPr>
      <t xml:space="preserve"> RPM / </t>
    </r>
    <r>
      <rPr>
        <b/>
        <sz val="11"/>
        <color theme="1"/>
        <rFont val="ＭＳ Ｐゴシック"/>
        <family val="2"/>
        <charset val="128"/>
        <scheme val="minor"/>
      </rPr>
      <t>3xFNLDD</t>
    </r>
    <r>
      <rPr>
        <b/>
        <sz val="11"/>
        <color theme="1"/>
        <rFont val="ＭＳ Ｐゴシック"/>
        <family val="3"/>
        <charset val="128"/>
        <scheme val="minor"/>
      </rPr>
      <t xml:space="preserve"> RPM)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</si>
</sst>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0" fontId="0" fillId="34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1" fillId="0" borderId="10" xfId="0" applyFont="1" applyFill="1" applyBorder="1">
      <alignment vertical="center"/>
    </xf>
    <xf numFmtId="0" fontId="19" fillId="0" borderId="10" xfId="0" applyFont="1" applyFill="1" applyBorder="1">
      <alignment vertical="center"/>
    </xf>
    <xf numFmtId="49" fontId="0" fillId="0" borderId="10" xfId="0" applyNumberFormat="1" applyFill="1" applyBorder="1">
      <alignment vertical="center"/>
    </xf>
    <xf numFmtId="0" fontId="0" fillId="0" borderId="10" xfId="0" applyFill="1" applyBorder="1">
      <alignment vertical="center"/>
    </xf>
    <xf numFmtId="0" fontId="22" fillId="0" borderId="10" xfId="42" applyFill="1" applyBorder="1">
      <alignment vertical="center"/>
    </xf>
    <xf numFmtId="0" fontId="16" fillId="33" borderId="10" xfId="0" applyFont="1" applyFill="1" applyBorder="1" applyAlignment="1">
      <alignment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J133"/>
  <sheetViews>
    <sheetView tabSelected="1" topLeftCell="C1" zoomScale="125" zoomScaleNormal="125" zoomScalePageLayoutView="125" workbookViewId="0">
      <selection activeCell="J3" sqref="J3"/>
    </sheetView>
  </sheetViews>
  <sheetFormatPr baseColWidth="10" defaultColWidth="8.83203125" defaultRowHeight="17" x14ac:dyDescent="0"/>
  <cols>
    <col min="1" max="2" width="21" customWidth="1"/>
    <col min="3" max="3" width="13.33203125" customWidth="1"/>
    <col min="4" max="4" width="14.6640625" customWidth="1"/>
    <col min="5" max="5" width="47.6640625" customWidth="1"/>
    <col min="6" max="9" width="12.6640625" customWidth="1"/>
    <col min="10" max="10" width="21.83203125" customWidth="1"/>
    <col min="11" max="400" width="8.83203125" style="6"/>
  </cols>
  <sheetData>
    <row r="1" spans="1:400">
      <c r="A1" t="s">
        <v>363</v>
      </c>
    </row>
    <row r="2" spans="1:400" s="1" customFormat="1" ht="42" customHeight="1">
      <c r="A2" s="2" t="s">
        <v>361</v>
      </c>
      <c r="B2" s="2" t="s">
        <v>362</v>
      </c>
      <c r="C2" s="2" t="s">
        <v>227</v>
      </c>
      <c r="D2" s="3" t="s">
        <v>228</v>
      </c>
      <c r="E2" s="3" t="s">
        <v>229</v>
      </c>
      <c r="F2" s="12" t="s">
        <v>364</v>
      </c>
      <c r="G2" s="12" t="s">
        <v>365</v>
      </c>
      <c r="H2" s="12" t="s">
        <v>366</v>
      </c>
      <c r="I2" s="12" t="s">
        <v>367</v>
      </c>
      <c r="J2" s="12" t="s">
        <v>368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</row>
    <row r="3" spans="1:400" s="4" customFormat="1">
      <c r="A3" s="7" t="s">
        <v>230</v>
      </c>
      <c r="B3" s="8" t="str">
        <f>HYPERLINK("http://asia.ensembl.org/Mus_musculus/Transcript/Summary?t=ENSMUST00000158656","ENSMUST00000158656")</f>
        <v>ENSMUST00000158656</v>
      </c>
      <c r="C3" s="8" t="str">
        <f>HYPERLINK("http://www.informatics.jax.org/marker/MGI:3819487","MGI:3819487")</f>
        <v>MGI:3819487</v>
      </c>
      <c r="D3" s="9" t="s">
        <v>117</v>
      </c>
      <c r="E3" s="9" t="s">
        <v>118</v>
      </c>
      <c r="F3" s="10">
        <v>40</v>
      </c>
      <c r="G3" s="10">
        <v>312</v>
      </c>
      <c r="H3" s="10">
        <v>5.5507888156601073</v>
      </c>
      <c r="I3" s="10">
        <v>31.918667960327554</v>
      </c>
      <c r="J3" s="10">
        <v>2.5236357350899676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</row>
    <row r="4" spans="1:400" s="4" customFormat="1">
      <c r="A4" s="7" t="s">
        <v>231</v>
      </c>
      <c r="B4" s="8" t="str">
        <f>HYPERLINK("http://asia.ensembl.org/Mus_musculus/Transcript/Summary?t=ENSMUST00000104526","ENSMUST00000104526")</f>
        <v>ENSMUST00000104526</v>
      </c>
      <c r="C4" s="8" t="str">
        <f>HYPERLINK("http://www.informatics.jax.org/marker/MGI:3819523","MGI:3819523")</f>
        <v>MGI:3819523</v>
      </c>
      <c r="D4" s="9" t="s">
        <v>113</v>
      </c>
      <c r="E4" s="9" t="s">
        <v>114</v>
      </c>
      <c r="F4" s="10">
        <v>215</v>
      </c>
      <c r="G4" s="10">
        <v>1512</v>
      </c>
      <c r="H4" s="10">
        <v>29.835489884173075</v>
      </c>
      <c r="I4" s="10">
        <v>154.6827755000489</v>
      </c>
      <c r="J4" s="10">
        <v>2.3742111857466939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</row>
    <row r="5" spans="1:400" s="4" customFormat="1">
      <c r="A5" s="7" t="s">
        <v>232</v>
      </c>
      <c r="B5" s="8" t="str">
        <f>HYPERLINK("http://asia.ensembl.org/Mus_musculus/Transcript/Summary?t=ENSMUST00000083888","ENSMUST00000083888")</f>
        <v>ENSMUST00000083888</v>
      </c>
      <c r="C5" s="8" t="str">
        <f>HYPERLINK("http://www.informatics.jax.org/marker/MGI:3645887","MGI:3645887")</f>
        <v>MGI:3645887</v>
      </c>
      <c r="D5" s="9" t="s">
        <v>3</v>
      </c>
      <c r="E5" s="9" t="s">
        <v>4</v>
      </c>
      <c r="F5" s="10">
        <v>26</v>
      </c>
      <c r="G5" s="10">
        <v>162</v>
      </c>
      <c r="H5" s="10">
        <v>3.6080127301790696</v>
      </c>
      <c r="I5" s="10">
        <v>16.573154517862385</v>
      </c>
      <c r="J5" s="10">
        <v>2.1995718958586146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</row>
    <row r="6" spans="1:400" s="4" customFormat="1">
      <c r="A6" s="7" t="s">
        <v>233</v>
      </c>
      <c r="B6" s="8" t="str">
        <f>HYPERLINK("http://asia.ensembl.org/Mus_musculus/Transcript/Summary?t=ENSMUST00000157343","ENSMUST00000157343")</f>
        <v>ENSMUST00000157343</v>
      </c>
      <c r="C6" s="8" t="str">
        <f>HYPERLINK("http://www.informatics.jax.org/marker/MGI:5455172","MGI:5455172")</f>
        <v>MGI:5455172</v>
      </c>
      <c r="D6" s="9" t="s">
        <v>37</v>
      </c>
      <c r="E6" s="9" t="s">
        <v>38</v>
      </c>
      <c r="F6" s="10">
        <v>58</v>
      </c>
      <c r="G6" s="10">
        <v>338</v>
      </c>
      <c r="H6" s="10">
        <v>8.0486437827071544</v>
      </c>
      <c r="I6" s="10">
        <v>34.578556957021519</v>
      </c>
      <c r="J6" s="10">
        <v>2.1030600522696941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</row>
    <row r="7" spans="1:400" s="4" customFormat="1">
      <c r="A7" s="7" t="s">
        <v>234</v>
      </c>
      <c r="B7" s="8" t="str">
        <f>HYPERLINK("http://asia.ensembl.org/Mus_musculus/Transcript/Summary?t=ENSMUST00000093738","ENSMUST00000093738")</f>
        <v>ENSMUST00000093738</v>
      </c>
      <c r="C7" s="8" t="str">
        <f>HYPERLINK("http://www.informatics.jax.org/marker/MGI:97987","MGI:97987")</f>
        <v>MGI:97987</v>
      </c>
      <c r="D7" s="9" t="s">
        <v>151</v>
      </c>
      <c r="E7" s="9" t="s">
        <v>152</v>
      </c>
      <c r="F7" s="10">
        <v>12369</v>
      </c>
      <c r="G7" s="10">
        <v>71578</v>
      </c>
      <c r="H7" s="10">
        <v>1716.4426715224965</v>
      </c>
      <c r="I7" s="10">
        <v>7322.6744078984793</v>
      </c>
      <c r="J7" s="10">
        <v>2.0929489772425138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</row>
    <row r="8" spans="1:400" s="4" customFormat="1">
      <c r="A8" s="7" t="s">
        <v>235</v>
      </c>
      <c r="B8" s="8" t="str">
        <f>HYPERLINK("http://asia.ensembl.org/Mus_musculus/Transcript/Summary?t=ENSMUST00000083936","ENSMUST00000083936")</f>
        <v>ENSMUST00000083936</v>
      </c>
      <c r="C8" s="8" t="str">
        <f>HYPERLINK("http://www.informatics.jax.org/marker/MGI:97977","MGI:97977")</f>
        <v>MGI:97977</v>
      </c>
      <c r="D8" s="9" t="s">
        <v>193</v>
      </c>
      <c r="E8" s="9" t="s">
        <v>194</v>
      </c>
      <c r="F8" s="10">
        <v>1142</v>
      </c>
      <c r="G8" s="10">
        <v>6400</v>
      </c>
      <c r="H8" s="10">
        <v>158.47502068709605</v>
      </c>
      <c r="I8" s="10">
        <v>654.74190687851387</v>
      </c>
      <c r="J8" s="10">
        <v>2.0466708655269636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</row>
    <row r="9" spans="1:400" s="4" customFormat="1">
      <c r="A9" s="7" t="s">
        <v>236</v>
      </c>
      <c r="B9" s="8" t="str">
        <f>HYPERLINK("http://asia.ensembl.org/Mus_musculus/Transcript/Summary?t=ENSMUST00000104423","ENSMUST00000104423")</f>
        <v>ENSMUST00000104423</v>
      </c>
      <c r="C9" s="8" t="str">
        <f>HYPERLINK("http://www.informatics.jax.org/marker/MGI:5453723","MGI:5453723")</f>
        <v>MGI:5453723</v>
      </c>
      <c r="D9" s="9" t="s">
        <v>56</v>
      </c>
      <c r="E9" s="9" t="s">
        <v>57</v>
      </c>
      <c r="F9" s="10">
        <v>19</v>
      </c>
      <c r="G9" s="10">
        <v>103</v>
      </c>
      <c r="H9" s="10">
        <v>2.6366246874385508</v>
      </c>
      <c r="I9" s="10">
        <v>10.537252563826083</v>
      </c>
      <c r="J9" s="10">
        <v>1.9987346248547146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</row>
    <row r="10" spans="1:400" s="4" customFormat="1">
      <c r="A10" s="7" t="s">
        <v>237</v>
      </c>
      <c r="B10" s="8" t="str">
        <f>HYPERLINK("http://asia.ensembl.org/Mus_musculus/Transcript/Summary?t=ENSMUST00000158604","ENSMUST00000158604")</f>
        <v>ENSMUST00000158604</v>
      </c>
      <c r="C10" s="8" t="str">
        <f>HYPERLINK("http://www.informatics.jax.org/marker/MGI:5454820","MGI:5454820")</f>
        <v>MGI:5454820</v>
      </c>
      <c r="D10" s="9" t="s">
        <v>160</v>
      </c>
      <c r="E10" s="9" t="s">
        <v>161</v>
      </c>
      <c r="F10" s="10">
        <v>31</v>
      </c>
      <c r="G10" s="10">
        <v>168</v>
      </c>
      <c r="H10" s="10">
        <v>4.3018613321365828</v>
      </c>
      <c r="I10" s="10">
        <v>17.186975055560989</v>
      </c>
      <c r="J10" s="10">
        <v>1.9982827235069667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</row>
    <row r="11" spans="1:400" s="4" customFormat="1">
      <c r="A11" s="7" t="s">
        <v>238</v>
      </c>
      <c r="B11" s="8" t="str">
        <f>HYPERLINK("http://asia.ensembl.org/Mus_musculus/Transcript/Summary?t=ENSMUST00000103979","ENSMUST00000103979")</f>
        <v>ENSMUST00000103979</v>
      </c>
      <c r="C11" s="8" t="str">
        <f>HYPERLINK("http://www.informatics.jax.org/marker/MGI:5453896","MGI:5453896")</f>
        <v>MGI:5453896</v>
      </c>
      <c r="D11" s="9" t="s">
        <v>105</v>
      </c>
      <c r="E11" s="9" t="s">
        <v>106</v>
      </c>
      <c r="F11" s="10">
        <v>31</v>
      </c>
      <c r="G11" s="10">
        <v>152</v>
      </c>
      <c r="H11" s="10">
        <v>4.3018613321365828</v>
      </c>
      <c r="I11" s="10">
        <v>15.550120288364706</v>
      </c>
      <c r="J11" s="10">
        <v>1.8538928141717923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</row>
    <row r="12" spans="1:400" s="4" customFormat="1">
      <c r="A12" s="7" t="s">
        <v>239</v>
      </c>
      <c r="B12" s="8" t="str">
        <f>HYPERLINK("http://asia.ensembl.org/Mus_musculus/Transcript/Summary?t=ENSMUST00000082446","ENSMUST00000082446")</f>
        <v>ENSMUST00000082446</v>
      </c>
      <c r="C12" s="8" t="str">
        <f>HYPERLINK("http://www.informatics.jax.org/marker/MGI:5456225","MGI:5456225")</f>
        <v>MGI:5456225</v>
      </c>
      <c r="D12" s="9" t="s">
        <v>199</v>
      </c>
      <c r="E12" s="9" t="s">
        <v>200</v>
      </c>
      <c r="F12" s="10">
        <v>271</v>
      </c>
      <c r="G12" s="10">
        <v>1192</v>
      </c>
      <c r="H12" s="10">
        <v>37.606594226097222</v>
      </c>
      <c r="I12" s="10">
        <v>121.94568015612322</v>
      </c>
      <c r="J12" s="10">
        <v>1.6971810902233719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</row>
    <row r="13" spans="1:400" s="4" customFormat="1">
      <c r="A13" s="7" t="s">
        <v>240</v>
      </c>
      <c r="B13" s="8" t="str">
        <f>HYPERLINK("http://asia.ensembl.org/Mus_musculus/Transcript/Summary?t=ENSMUST00000097930","ENSMUST00000097930")</f>
        <v>ENSMUST00000097930</v>
      </c>
      <c r="C13" s="8" t="str">
        <f>HYPERLINK("http://www.informatics.jax.org/marker/MGI:3588233","MGI:3588233")</f>
        <v>MGI:3588233</v>
      </c>
      <c r="D13" s="9" t="s">
        <v>60</v>
      </c>
      <c r="E13" s="9" t="s">
        <v>61</v>
      </c>
      <c r="F13" s="10">
        <v>25</v>
      </c>
      <c r="G13" s="10">
        <v>101</v>
      </c>
      <c r="H13" s="10">
        <v>3.4692430097875668</v>
      </c>
      <c r="I13" s="10">
        <v>10.332645717926548</v>
      </c>
      <c r="J13" s="10">
        <v>1.5745169040921516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</row>
    <row r="14" spans="1:400" s="4" customFormat="1">
      <c r="A14" s="7" t="s">
        <v>241</v>
      </c>
      <c r="B14" s="8" t="str">
        <f>HYPERLINK("http://asia.ensembl.org/Mus_musculus/Transcript/Summary?t=ENSMUST00000122759","ENSMUST00000122759")</f>
        <v>ENSMUST00000122759</v>
      </c>
      <c r="C14" s="8" t="str">
        <f>HYPERLINK("http://www.informatics.jax.org/marker/MGI:5452765","MGI:5452765")</f>
        <v>MGI:5452765</v>
      </c>
      <c r="D14" s="9" t="s">
        <v>155</v>
      </c>
      <c r="E14" s="9" t="s">
        <v>156</v>
      </c>
      <c r="F14" s="10">
        <v>27</v>
      </c>
      <c r="G14" s="10">
        <v>104</v>
      </c>
      <c r="H14" s="10">
        <v>3.7467824505705725</v>
      </c>
      <c r="I14" s="10">
        <v>10.63955598677585</v>
      </c>
      <c r="J14" s="10">
        <v>1.5057138270927048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</row>
    <row r="15" spans="1:400" s="4" customFormat="1">
      <c r="A15" s="7" t="s">
        <v>242</v>
      </c>
      <c r="B15" s="8" t="str">
        <f>HYPERLINK("http://asia.ensembl.org/Mus_musculus/Transcript/Summary?t=ENSMUST00000133808","ENSMUST00000133808")</f>
        <v>ENSMUST00000133808</v>
      </c>
      <c r="C15" s="8" t="str">
        <f>HYPERLINK("http://www.informatics.jax.org/marker/MGI:1924939","MGI:1924939")</f>
        <v>MGI:1924939</v>
      </c>
      <c r="D15" s="9" t="s">
        <v>177</v>
      </c>
      <c r="E15" s="9" t="s">
        <v>178</v>
      </c>
      <c r="F15" s="10">
        <v>58</v>
      </c>
      <c r="G15" s="10">
        <v>223</v>
      </c>
      <c r="H15" s="10">
        <v>8.0486437827071544</v>
      </c>
      <c r="I15" s="10">
        <v>22.81366331779822</v>
      </c>
      <c r="J15" s="10">
        <v>1.5030805159078147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</row>
    <row r="16" spans="1:400" s="4" customFormat="1">
      <c r="A16" s="7" t="s">
        <v>243</v>
      </c>
      <c r="B16" s="8" t="str">
        <f>HYPERLINK("http://asia.ensembl.org/Mus_musculus/Transcript/Summary?t=ENSMUST00000158792","ENSMUST00000158792")</f>
        <v>ENSMUST00000158792</v>
      </c>
      <c r="C16" s="8" t="str">
        <f>HYPERLINK("http://www.informatics.jax.org/marker/MGI:5451786","MGI:5451786")</f>
        <v>MGI:5451786</v>
      </c>
      <c r="D16" s="9" t="s">
        <v>68</v>
      </c>
      <c r="E16" s="9" t="s">
        <v>69</v>
      </c>
      <c r="F16" s="10">
        <v>33</v>
      </c>
      <c r="G16" s="10">
        <v>126</v>
      </c>
      <c r="H16" s="10">
        <v>4.5794007729195885</v>
      </c>
      <c r="I16" s="10">
        <v>12.890231291670743</v>
      </c>
      <c r="J16" s="10">
        <v>1.4930474152565449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</row>
    <row r="17" spans="1:400" s="4" customFormat="1">
      <c r="A17" s="7" t="s">
        <v>244</v>
      </c>
      <c r="B17" s="8" t="str">
        <f>HYPERLINK("http://asia.ensembl.org/Mus_musculus/Transcript/Summary?t=ENSMUST00000181605","ENSMUST00000181605")</f>
        <v>ENSMUST00000181605</v>
      </c>
      <c r="C17" s="8" t="str">
        <f>HYPERLINK("http://www.informatics.jax.org/marker/","")</f>
        <v/>
      </c>
      <c r="D17" s="9" t="s">
        <v>84</v>
      </c>
      <c r="E17" s="10"/>
      <c r="F17" s="10">
        <v>42</v>
      </c>
      <c r="G17" s="10">
        <v>154</v>
      </c>
      <c r="H17" s="10">
        <v>5.828328256443112</v>
      </c>
      <c r="I17" s="10">
        <v>15.754727134264241</v>
      </c>
      <c r="J17" s="10">
        <v>1.4346307290312228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</row>
    <row r="18" spans="1:400" s="4" customFormat="1">
      <c r="A18" s="7" t="s">
        <v>245</v>
      </c>
      <c r="B18" s="8" t="str">
        <f>HYPERLINK("http://asia.ensembl.org/Mus_musculus/Transcript/Summary?t=ENSMUST00000149667","ENSMUST00000149667")</f>
        <v>ENSMUST00000149667</v>
      </c>
      <c r="C18" s="8" t="str">
        <f>HYPERLINK("http://www.informatics.jax.org/marker/MGI:1915358","MGI:1915358")</f>
        <v>MGI:1915358</v>
      </c>
      <c r="D18" s="9" t="s">
        <v>41</v>
      </c>
      <c r="E18" s="9" t="s">
        <v>42</v>
      </c>
      <c r="F18" s="10">
        <v>88</v>
      </c>
      <c r="G18" s="10">
        <v>305</v>
      </c>
      <c r="H18" s="10">
        <v>12.211735394452235</v>
      </c>
      <c r="I18" s="10">
        <v>31.202543999679179</v>
      </c>
      <c r="J18" s="10">
        <v>1.3533954249280331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</row>
    <row r="19" spans="1:400" s="4" customFormat="1">
      <c r="A19" s="7" t="s">
        <v>246</v>
      </c>
      <c r="B19" s="8" t="str">
        <f>HYPERLINK("http://asia.ensembl.org/Mus_musculus/Transcript/Summary?t=ENSMUST00000082517","ENSMUST00000082517")</f>
        <v>ENSMUST00000082517</v>
      </c>
      <c r="C19" s="8" t="str">
        <f>HYPERLINK("http://www.informatics.jax.org/marker/MGI:3819494","MGI:3819494")</f>
        <v>MGI:3819494</v>
      </c>
      <c r="D19" s="9" t="s">
        <v>21</v>
      </c>
      <c r="E19" s="9" t="s">
        <v>22</v>
      </c>
      <c r="F19" s="10">
        <v>71</v>
      </c>
      <c r="G19" s="10">
        <v>244</v>
      </c>
      <c r="H19" s="10">
        <v>9.8526501477966892</v>
      </c>
      <c r="I19" s="10">
        <v>24.962035199743344</v>
      </c>
      <c r="J19" s="10">
        <v>1.341151829173286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</row>
    <row r="20" spans="1:400" s="4" customFormat="1">
      <c r="A20" s="7" t="s">
        <v>247</v>
      </c>
      <c r="B20" s="8" t="str">
        <f>HYPERLINK("http://asia.ensembl.org/Mus_musculus/Transcript/Summary?t=ENSMUST00000158992","ENSMUST00000158992")</f>
        <v>ENSMUST00000158992</v>
      </c>
      <c r="C20" s="8" t="str">
        <f>HYPERLINK("http://www.informatics.jax.org/marker/MGI:3819482","MGI:3819482")</f>
        <v>MGI:3819482</v>
      </c>
      <c r="D20" s="9" t="s">
        <v>203</v>
      </c>
      <c r="E20" s="9" t="s">
        <v>204</v>
      </c>
      <c r="F20" s="10">
        <v>93</v>
      </c>
      <c r="G20" s="10">
        <v>315</v>
      </c>
      <c r="H20" s="10">
        <v>12.905583996409749</v>
      </c>
      <c r="I20" s="10">
        <v>32.225578229176854</v>
      </c>
      <c r="J20" s="10">
        <v>1.3202108183943291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</row>
    <row r="21" spans="1:400" s="4" customFormat="1">
      <c r="A21" s="7" t="s">
        <v>248</v>
      </c>
      <c r="B21" s="8" t="str">
        <f>HYPERLINK("http://asia.ensembl.org/Mus_musculus/Transcript/Summary?t=ENSMUST00000182423","ENSMUST00000182423")</f>
        <v>ENSMUST00000182423</v>
      </c>
      <c r="C21" s="8" t="str">
        <f>HYPERLINK("http://www.informatics.jax.org/marker/","")</f>
        <v/>
      </c>
      <c r="D21" s="9" t="s">
        <v>2</v>
      </c>
      <c r="E21" s="10"/>
      <c r="F21" s="10">
        <v>35</v>
      </c>
      <c r="G21" s="10">
        <v>118</v>
      </c>
      <c r="H21" s="10">
        <v>4.8569402137025941</v>
      </c>
      <c r="I21" s="10">
        <v>12.071803908072599</v>
      </c>
      <c r="J21" s="10">
        <v>1.3135216435319563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</row>
    <row r="22" spans="1:400">
      <c r="A22" s="7" t="s">
        <v>249</v>
      </c>
      <c r="B22" s="8" t="str">
        <f>HYPERLINK("http://asia.ensembl.org/Mus_musculus/Transcript/Summary?t=ENSMUST00000101030","ENSMUST00000101030")</f>
        <v>ENSMUST00000101030</v>
      </c>
      <c r="C22" s="8" t="str">
        <f>HYPERLINK("http://www.informatics.jax.org/marker/MGI:3645786","MGI:3645786")</f>
        <v>MGI:3645786</v>
      </c>
      <c r="D22" s="9" t="s">
        <v>91</v>
      </c>
      <c r="E22" s="9" t="s">
        <v>92</v>
      </c>
      <c r="F22" s="10">
        <v>58</v>
      </c>
      <c r="G22" s="10">
        <v>190</v>
      </c>
      <c r="H22" s="10">
        <v>8.0486437827071544</v>
      </c>
      <c r="I22" s="10">
        <v>19.43765036045588</v>
      </c>
      <c r="J22" s="10">
        <v>1.2720362243184573</v>
      </c>
    </row>
    <row r="23" spans="1:400">
      <c r="A23" s="7" t="s">
        <v>250</v>
      </c>
      <c r="B23" s="8" t="str">
        <f>HYPERLINK("http://asia.ensembl.org/Mus_musculus/Transcript/Summary?t=ENSMUST00000180563","ENSMUST00000180563")</f>
        <v>ENSMUST00000180563</v>
      </c>
      <c r="C23" s="8" t="str">
        <f>HYPERLINK("http://www.informatics.jax.org/marker/MGI:1919905","MGI:1919905")</f>
        <v>MGI:1919905</v>
      </c>
      <c r="D23" s="9" t="s">
        <v>10</v>
      </c>
      <c r="E23" s="9" t="s">
        <v>11</v>
      </c>
      <c r="F23" s="10">
        <v>40</v>
      </c>
      <c r="G23" s="10">
        <v>131</v>
      </c>
      <c r="H23" s="10">
        <v>5.5507888156601073</v>
      </c>
      <c r="I23" s="10">
        <v>13.401748406419582</v>
      </c>
      <c r="J23" s="10">
        <v>1.2716565177651695</v>
      </c>
    </row>
    <row r="24" spans="1:400">
      <c r="A24" s="7" t="s">
        <v>251</v>
      </c>
      <c r="B24" s="8" t="str">
        <f>HYPERLINK("http://asia.ensembl.org/Mus_musculus/Transcript/Summary?t=ENSMUST00000183314","ENSMUST00000183314")</f>
        <v>ENSMUST00000183314</v>
      </c>
      <c r="C24" s="8" t="str">
        <f>HYPERLINK("http://www.informatics.jax.org/marker/","")</f>
        <v/>
      </c>
      <c r="D24" s="9" t="s">
        <v>147</v>
      </c>
      <c r="E24" s="10"/>
      <c r="F24" s="10">
        <v>377835</v>
      </c>
      <c r="G24" s="10">
        <v>1218185</v>
      </c>
      <c r="H24" s="10">
        <v>52432.057304123417</v>
      </c>
      <c r="I24" s="10">
        <v>124624.49528606288</v>
      </c>
      <c r="J24" s="10">
        <v>1.2490666020378864</v>
      </c>
    </row>
    <row r="25" spans="1:400">
      <c r="A25" s="7" t="s">
        <v>252</v>
      </c>
      <c r="B25" s="8" t="str">
        <f>HYPERLINK("http://asia.ensembl.org/Mus_musculus/Transcript/Summary?t=ENSMUST00000086725","ENSMUST00000086725")</f>
        <v>ENSMUST00000086725</v>
      </c>
      <c r="C25" s="8" t="str">
        <f>HYPERLINK("http://www.informatics.jax.org/marker/MGI:3804932","MGI:3804932")</f>
        <v>MGI:3804932</v>
      </c>
      <c r="D25" s="9" t="s">
        <v>213</v>
      </c>
      <c r="E25" s="9" t="s">
        <v>214</v>
      </c>
      <c r="F25" s="10">
        <v>37</v>
      </c>
      <c r="G25" s="10">
        <v>119</v>
      </c>
      <c r="H25" s="10">
        <v>5.1344796544855988</v>
      </c>
      <c r="I25" s="10">
        <v>12.174107331022368</v>
      </c>
      <c r="J25" s="10">
        <v>1.2455260087940754</v>
      </c>
    </row>
    <row r="26" spans="1:400">
      <c r="A26" s="7" t="s">
        <v>253</v>
      </c>
      <c r="B26" s="8" t="str">
        <f>HYPERLINK("http://asia.ensembl.org/Mus_musculus/Transcript/Summary?t=ENSMUST00000158164","ENSMUST00000158164")</f>
        <v>ENSMUST00000158164</v>
      </c>
      <c r="C26" s="8" t="str">
        <f>HYPERLINK("http://www.informatics.jax.org/marker/MGI:4360027","MGI:4360027")</f>
        <v>MGI:4360027</v>
      </c>
      <c r="D26" s="9" t="s">
        <v>126</v>
      </c>
      <c r="E26" s="9" t="s">
        <v>127</v>
      </c>
      <c r="F26" s="10">
        <v>82</v>
      </c>
      <c r="G26" s="10">
        <v>262</v>
      </c>
      <c r="H26" s="10">
        <v>11.37911707210322</v>
      </c>
      <c r="I26" s="10">
        <v>26.803496812839164</v>
      </c>
      <c r="J26" s="10">
        <v>1.2360326080344481</v>
      </c>
    </row>
    <row r="27" spans="1:400">
      <c r="A27" s="7" t="s">
        <v>254</v>
      </c>
      <c r="B27" s="8" t="str">
        <f>HYPERLINK("http://asia.ensembl.org/Mus_musculus/Transcript/Summary?t=ENSMUST00000182520","ENSMUST00000182520")</f>
        <v>ENSMUST00000182520</v>
      </c>
      <c r="C27" s="8" t="str">
        <f>HYPERLINK("http://www.informatics.jax.org/marker/","")</f>
        <v/>
      </c>
      <c r="D27" s="9" t="s">
        <v>147</v>
      </c>
      <c r="E27" s="10"/>
      <c r="F27" s="10">
        <v>109071</v>
      </c>
      <c r="G27" s="10">
        <v>347206</v>
      </c>
      <c r="H27" s="10">
        <v>15135.752172821589</v>
      </c>
      <c r="I27" s="10">
        <v>35520.362268697078</v>
      </c>
      <c r="J27" s="10">
        <v>1.2306859238373771</v>
      </c>
    </row>
    <row r="28" spans="1:400">
      <c r="A28" s="7" t="s">
        <v>255</v>
      </c>
      <c r="B28" s="8" t="str">
        <f>HYPERLINK("http://asia.ensembl.org/Mus_musculus/Transcript/Summary?t=ENSMUST00000179155","ENSMUST00000179155")</f>
        <v>ENSMUST00000179155</v>
      </c>
      <c r="C28" s="8" t="str">
        <f>HYPERLINK("http://www.informatics.jax.org/marker/MGI:5454082","MGI:5454082")</f>
        <v>MGI:5454082</v>
      </c>
      <c r="D28" s="9" t="s">
        <v>141</v>
      </c>
      <c r="E28" s="9" t="s">
        <v>142</v>
      </c>
      <c r="F28" s="10">
        <v>40</v>
      </c>
      <c r="G28" s="10">
        <v>127</v>
      </c>
      <c r="H28" s="10">
        <v>5.5507888156601073</v>
      </c>
      <c r="I28" s="10">
        <v>12.992534714620509</v>
      </c>
      <c r="J28" s="10">
        <v>1.2269182029998851</v>
      </c>
    </row>
    <row r="29" spans="1:400">
      <c r="A29" s="7" t="s">
        <v>256</v>
      </c>
      <c r="B29" s="8" t="str">
        <f>HYPERLINK("http://asia.ensembl.org/Mus_musculus/Transcript/Summary?t=ENSMUST00000181002","ENSMUST00000181002")</f>
        <v>ENSMUST00000181002</v>
      </c>
      <c r="C29" s="8" t="str">
        <f>HYPERLINK("http://www.informatics.jax.org/marker/","")</f>
        <v/>
      </c>
      <c r="D29" s="9" t="s">
        <v>130</v>
      </c>
      <c r="E29" s="10"/>
      <c r="F29" s="10">
        <v>35</v>
      </c>
      <c r="G29" s="10">
        <v>110</v>
      </c>
      <c r="H29" s="10">
        <v>4.8569402137025941</v>
      </c>
      <c r="I29" s="10">
        <v>11.253376524474458</v>
      </c>
      <c r="J29" s="10">
        <v>1.2122383076947747</v>
      </c>
    </row>
    <row r="30" spans="1:400">
      <c r="A30" s="7" t="s">
        <v>257</v>
      </c>
      <c r="B30" s="8" t="str">
        <f>HYPERLINK("http://asia.ensembl.org/Mus_musculus/Transcript/Summary?t=ENSMUST00000126219","ENSMUST00000126219")</f>
        <v>ENSMUST00000126219</v>
      </c>
      <c r="C30" s="8" t="str">
        <f>HYPERLINK("http://www.informatics.jax.org/marker/MGI:1918408","MGI:1918408")</f>
        <v>MGI:1918408</v>
      </c>
      <c r="D30" s="9" t="s">
        <v>23</v>
      </c>
      <c r="E30" s="9" t="s">
        <v>24</v>
      </c>
      <c r="F30" s="10">
        <v>43</v>
      </c>
      <c r="G30" s="10">
        <v>134</v>
      </c>
      <c r="H30" s="10">
        <v>5.9670979768346148</v>
      </c>
      <c r="I30" s="10">
        <v>13.708658675268884</v>
      </c>
      <c r="J30" s="10">
        <v>1.1999860468707562</v>
      </c>
    </row>
    <row r="31" spans="1:400">
      <c r="A31" s="7" t="s">
        <v>258</v>
      </c>
      <c r="B31" s="8" t="str">
        <f>HYPERLINK("http://asia.ensembl.org/Mus_musculus/Transcript/Summary?t=ENSMUST00000159108","ENSMUST00000159108")</f>
        <v>ENSMUST00000159108</v>
      </c>
      <c r="C31" s="8" t="str">
        <f>HYPERLINK("http://www.informatics.jax.org/marker/MGI:3801887","MGI:3801887")</f>
        <v>MGI:3801887</v>
      </c>
      <c r="D31" s="9" t="s">
        <v>170</v>
      </c>
      <c r="E31" s="9" t="s">
        <v>171</v>
      </c>
      <c r="F31" s="10">
        <v>37</v>
      </c>
      <c r="G31" s="10">
        <v>113</v>
      </c>
      <c r="H31" s="10">
        <v>5.1344796544855988</v>
      </c>
      <c r="I31" s="10">
        <v>11.560286793323762</v>
      </c>
      <c r="J31" s="10">
        <v>1.1708872079013197</v>
      </c>
    </row>
    <row r="32" spans="1:400">
      <c r="A32" s="7" t="s">
        <v>259</v>
      </c>
      <c r="B32" s="8" t="str">
        <f>HYPERLINK("http://asia.ensembl.org/Mus_musculus/Transcript/Summary?t=ENSMUST00000083715","ENSMUST00000083715")</f>
        <v>ENSMUST00000083715</v>
      </c>
      <c r="C32" s="8" t="str">
        <f>HYPERLINK("http://www.informatics.jax.org/marker/MGI:3646921","MGI:3646921")</f>
        <v>MGI:3646921</v>
      </c>
      <c r="D32" s="9" t="s">
        <v>39</v>
      </c>
      <c r="E32" s="9" t="s">
        <v>40</v>
      </c>
      <c r="F32" s="10">
        <v>60</v>
      </c>
      <c r="G32" s="10">
        <v>183</v>
      </c>
      <c r="H32" s="10">
        <v>8.32618322349016</v>
      </c>
      <c r="I32" s="10">
        <v>18.721526399807505</v>
      </c>
      <c r="J32" s="10">
        <v>1.1689708537906056</v>
      </c>
    </row>
    <row r="33" spans="1:10">
      <c r="A33" s="7" t="s">
        <v>260</v>
      </c>
      <c r="B33" s="8" t="str">
        <f>HYPERLINK("http://asia.ensembl.org/Mus_musculus/Transcript/Summary?t=ENSMUST00000006628","ENSMUST00000006628")</f>
        <v>ENSMUST00000006628</v>
      </c>
      <c r="C33" s="8" t="str">
        <f>HYPERLINK("http://www.informatics.jax.org/marker/MGI:5439461","MGI:5439461")</f>
        <v>MGI:5439461</v>
      </c>
      <c r="D33" s="9" t="s">
        <v>137</v>
      </c>
      <c r="E33" s="9" t="s">
        <v>138</v>
      </c>
      <c r="F33" s="10">
        <v>70</v>
      </c>
      <c r="G33" s="10">
        <v>211</v>
      </c>
      <c r="H33" s="10">
        <v>9.7138804274051882</v>
      </c>
      <c r="I33" s="10">
        <v>21.586022242401004</v>
      </c>
      <c r="J33" s="10">
        <v>1.1519777828773001</v>
      </c>
    </row>
    <row r="34" spans="1:10">
      <c r="A34" s="7" t="s">
        <v>261</v>
      </c>
      <c r="B34" s="8" t="str">
        <f>HYPERLINK("http://asia.ensembl.org/Mus_musculus/Transcript/Summary?t=ENSMUST00000178895","ENSMUST00000178895")</f>
        <v>ENSMUST00000178895</v>
      </c>
      <c r="C34" s="8" t="str">
        <f>HYPERLINK("http://www.informatics.jax.org/marker/MGI:3704208","MGI:3704208")</f>
        <v>MGI:3704208</v>
      </c>
      <c r="D34" s="9" t="s">
        <v>209</v>
      </c>
      <c r="E34" s="9" t="s">
        <v>210</v>
      </c>
      <c r="F34" s="10">
        <v>84</v>
      </c>
      <c r="G34" s="10">
        <v>253</v>
      </c>
      <c r="H34" s="10">
        <v>11.656656512886224</v>
      </c>
      <c r="I34" s="10">
        <v>25.882766006291252</v>
      </c>
      <c r="J34" s="10">
        <v>1.1508377630306317</v>
      </c>
    </row>
    <row r="35" spans="1:10">
      <c r="A35" s="7" t="s">
        <v>262</v>
      </c>
      <c r="B35" s="8" t="str">
        <f>HYPERLINK("http://asia.ensembl.org/Mus_musculus/Transcript/Summary?t=ENSMUST00000181809","ENSMUST00000181809")</f>
        <v>ENSMUST00000181809</v>
      </c>
      <c r="C35" s="8" t="str">
        <f>HYPERLINK("http://www.informatics.jax.org/marker/","")</f>
        <v/>
      </c>
      <c r="D35" s="9" t="s">
        <v>169</v>
      </c>
      <c r="E35" s="10"/>
      <c r="F35" s="10">
        <v>35</v>
      </c>
      <c r="G35" s="10">
        <v>104</v>
      </c>
      <c r="H35" s="10">
        <v>4.8569402137025941</v>
      </c>
      <c r="I35" s="10">
        <v>10.63955598677585</v>
      </c>
      <c r="J35" s="10">
        <v>1.1313183123112072</v>
      </c>
    </row>
    <row r="36" spans="1:10">
      <c r="A36" s="7" t="s">
        <v>263</v>
      </c>
      <c r="B36" s="8" t="str">
        <f>HYPERLINK("http://asia.ensembl.org/Mus_musculus/Transcript/Summary?t=ENSMUST00000150375","ENSMUST00000150375")</f>
        <v>ENSMUST00000150375</v>
      </c>
      <c r="C36" s="8" t="str">
        <f>HYPERLINK("http://www.informatics.jax.org/marker/MGI:3652052","MGI:3652052")</f>
        <v>MGI:3652052</v>
      </c>
      <c r="D36" s="9" t="s">
        <v>87</v>
      </c>
      <c r="E36" s="9" t="s">
        <v>88</v>
      </c>
      <c r="F36" s="10">
        <v>39</v>
      </c>
      <c r="G36" s="10">
        <v>115</v>
      </c>
      <c r="H36" s="10">
        <v>5.4120190952686045</v>
      </c>
      <c r="I36" s="10">
        <v>11.764893639223297</v>
      </c>
      <c r="J36" s="10">
        <v>1.1202494431972085</v>
      </c>
    </row>
    <row r="37" spans="1:10">
      <c r="A37" s="7" t="s">
        <v>264</v>
      </c>
      <c r="B37" s="8" t="str">
        <f>HYPERLINK("http://asia.ensembl.org/Mus_musculus/Transcript/Summary?t=ENSMUST00000082965","ENSMUST00000082965")</f>
        <v>ENSMUST00000082965</v>
      </c>
      <c r="C37" s="8" t="str">
        <f>HYPERLINK("http://www.informatics.jax.org/marker/MGI:3819519","MGI:3819519")</f>
        <v>MGI:3819519</v>
      </c>
      <c r="D37" s="9" t="s">
        <v>89</v>
      </c>
      <c r="E37" s="9" t="s">
        <v>90</v>
      </c>
      <c r="F37" s="10">
        <v>41</v>
      </c>
      <c r="G37" s="10">
        <v>120</v>
      </c>
      <c r="H37" s="10">
        <v>5.6895585360516101</v>
      </c>
      <c r="I37" s="10">
        <v>12.276410753972137</v>
      </c>
      <c r="J37" s="10">
        <v>1.1095002021055165</v>
      </c>
    </row>
    <row r="38" spans="1:10">
      <c r="A38" s="7" t="s">
        <v>265</v>
      </c>
      <c r="B38" s="8" t="str">
        <f>HYPERLINK("http://asia.ensembl.org/Mus_musculus/Transcript/Summary?t=ENSMUST00000179760","ENSMUST00000179760")</f>
        <v>ENSMUST00000179760</v>
      </c>
      <c r="C38" s="8" t="str">
        <f>HYPERLINK("http://www.informatics.jax.org/marker/MGI:5434051","MGI:5434051")</f>
        <v>MGI:5434051</v>
      </c>
      <c r="D38" s="9" t="s">
        <v>158</v>
      </c>
      <c r="E38" s="9" t="s">
        <v>159</v>
      </c>
      <c r="F38" s="10">
        <v>46</v>
      </c>
      <c r="G38" s="10">
        <v>134</v>
      </c>
      <c r="H38" s="10">
        <v>6.3834071380091233</v>
      </c>
      <c r="I38" s="10">
        <v>13.708658675268884</v>
      </c>
      <c r="J38" s="10">
        <v>1.1026888455158412</v>
      </c>
    </row>
    <row r="39" spans="1:10">
      <c r="A39" s="7" t="s">
        <v>266</v>
      </c>
      <c r="B39" s="8" t="str">
        <f>HYPERLINK("http://asia.ensembl.org/Mus_musculus/Transcript/Summary?t=ENSMUST00000083419","ENSMUST00000083419")</f>
        <v>ENSMUST00000083419</v>
      </c>
      <c r="C39" s="8" t="str">
        <f>HYPERLINK("http://www.informatics.jax.org/marker/MGI:4360049","MGI:4360049")</f>
        <v>MGI:4360049</v>
      </c>
      <c r="D39" s="9" t="s">
        <v>13</v>
      </c>
      <c r="E39" s="9" t="s">
        <v>14</v>
      </c>
      <c r="F39" s="10">
        <v>488</v>
      </c>
      <c r="G39" s="10">
        <v>1417</v>
      </c>
      <c r="H39" s="10">
        <v>67.719623551053303</v>
      </c>
      <c r="I39" s="10">
        <v>144.96395031982098</v>
      </c>
      <c r="J39" s="10">
        <v>1.0980483164702142</v>
      </c>
    </row>
    <row r="40" spans="1:10">
      <c r="A40" s="7" t="s">
        <v>267</v>
      </c>
      <c r="B40" s="8" t="str">
        <f>HYPERLINK("http://asia.ensembl.org/Mus_musculus/Transcript/Summary?t=ENSMUST00000093873","ENSMUST00000093873")</f>
        <v>ENSMUST00000093873</v>
      </c>
      <c r="C40" s="11" t="str">
        <f>HYPERLINK("http://www.informatics.jax.org/mar+ker/MGI:1926184","MGI:1926184")</f>
        <v>MGI:1926184</v>
      </c>
      <c r="D40" s="9" t="s">
        <v>33</v>
      </c>
      <c r="E40" s="9" t="s">
        <v>34</v>
      </c>
      <c r="F40" s="10">
        <v>35</v>
      </c>
      <c r="G40" s="10">
        <v>101</v>
      </c>
      <c r="H40" s="10">
        <v>4.8569402137025941</v>
      </c>
      <c r="I40" s="10">
        <v>10.332645717926548</v>
      </c>
      <c r="J40" s="10">
        <v>1.0890900769219098</v>
      </c>
    </row>
    <row r="41" spans="1:10">
      <c r="A41" s="7" t="s">
        <v>268</v>
      </c>
      <c r="B41" s="8" t="str">
        <f>HYPERLINK("http://asia.ensembl.org/Mus_musculus/Transcript/Summary?t=ENSMUST00000062783","ENSMUST00000062783")</f>
        <v>ENSMUST00000062783</v>
      </c>
      <c r="C41" s="8" t="str">
        <f>HYPERLINK("http://www.informatics.jax.org/marker/MGI:2158419","MGI:2158419")</f>
        <v>MGI:2158419</v>
      </c>
      <c r="D41" s="9" t="s">
        <v>181</v>
      </c>
      <c r="E41" s="9" t="s">
        <v>182</v>
      </c>
      <c r="F41" s="10">
        <v>72829</v>
      </c>
      <c r="G41" s="10">
        <v>209508</v>
      </c>
      <c r="H41" s="10">
        <v>10106.459966392749</v>
      </c>
      <c r="I41" s="10">
        <v>21433.38553535995</v>
      </c>
      <c r="J41" s="10">
        <v>1.0845820039196903</v>
      </c>
    </row>
    <row r="42" spans="1:10">
      <c r="A42" s="7" t="s">
        <v>269</v>
      </c>
      <c r="B42" s="8" t="str">
        <f>HYPERLINK("http://asia.ensembl.org/Mus_musculus/Transcript/Summary?t=ENSMUST00000150678","ENSMUST00000150678")</f>
        <v>ENSMUST00000150678</v>
      </c>
      <c r="C42" s="8" t="str">
        <f>HYPERLINK("http://www.informatics.jax.org/marker/MGI:3642202","MGI:3642202")</f>
        <v>MGI:3642202</v>
      </c>
      <c r="D42" s="9" t="s">
        <v>73</v>
      </c>
      <c r="E42" s="9" t="s">
        <v>74</v>
      </c>
      <c r="F42" s="10">
        <v>37</v>
      </c>
      <c r="G42" s="10">
        <v>105</v>
      </c>
      <c r="H42" s="10">
        <v>5.1344796544855988</v>
      </c>
      <c r="I42" s="10">
        <v>10.741859409725619</v>
      </c>
      <c r="J42" s="10">
        <v>1.0649537631522548</v>
      </c>
    </row>
    <row r="43" spans="1:10">
      <c r="A43" s="7" t="s">
        <v>270</v>
      </c>
      <c r="B43" s="8" t="str">
        <f>HYPERLINK("http://asia.ensembl.org/Mus_musculus/Transcript/Summary?t=ENSMUST00000097827","ENSMUST00000097827")</f>
        <v>ENSMUST00000097827</v>
      </c>
      <c r="C43" s="8" t="str">
        <f>HYPERLINK("http://www.informatics.jax.org/marker/MGI:3650322","MGI:3650322")</f>
        <v>MGI:3650322</v>
      </c>
      <c r="D43" s="9" t="s">
        <v>48</v>
      </c>
      <c r="E43" s="9" t="s">
        <v>49</v>
      </c>
      <c r="F43" s="10">
        <v>39</v>
      </c>
      <c r="G43" s="10">
        <v>110</v>
      </c>
      <c r="H43" s="10">
        <v>5.4120190952686045</v>
      </c>
      <c r="I43" s="10">
        <v>11.253376524474458</v>
      </c>
      <c r="J43" s="10">
        <v>1.0561191057774928</v>
      </c>
    </row>
    <row r="44" spans="1:10">
      <c r="A44" s="7" t="s">
        <v>271</v>
      </c>
      <c r="B44" s="8" t="str">
        <f>HYPERLINK("http://asia.ensembl.org/Mus_musculus/Transcript/Summary?t=ENSMUST00000157463","ENSMUST00000157463")</f>
        <v>ENSMUST00000157463</v>
      </c>
      <c r="C44" s="8" t="str">
        <f>HYPERLINK("http://www.informatics.jax.org/marker/MGI:97937","MGI:97937")</f>
        <v>MGI:97937</v>
      </c>
      <c r="D44" s="9" t="s">
        <v>124</v>
      </c>
      <c r="E44" s="9" t="s">
        <v>125</v>
      </c>
      <c r="F44" s="10">
        <v>14692</v>
      </c>
      <c r="G44" s="10">
        <v>41257</v>
      </c>
      <c r="H44" s="10">
        <v>2038.8047319919574</v>
      </c>
      <c r="I44" s="10">
        <v>4220.7323206385699</v>
      </c>
      <c r="J44" s="10">
        <v>1.0497697294976234</v>
      </c>
    </row>
    <row r="45" spans="1:10">
      <c r="A45" s="7" t="s">
        <v>272</v>
      </c>
      <c r="B45" s="8" t="str">
        <f>HYPERLINK("http://asia.ensembl.org/Mus_musculus/Transcript/Summary?t=ENSMUST00000086909","ENSMUST00000086909")</f>
        <v>ENSMUST00000086909</v>
      </c>
      <c r="C45" s="8" t="str">
        <f>HYPERLINK("http://www.informatics.jax.org/marker/MGI:3711274","MGI:3711274")</f>
        <v>MGI:3711274</v>
      </c>
      <c r="D45" s="9" t="s">
        <v>50</v>
      </c>
      <c r="E45" s="9" t="s">
        <v>51</v>
      </c>
      <c r="F45" s="10">
        <v>50</v>
      </c>
      <c r="G45" s="10">
        <v>140</v>
      </c>
      <c r="H45" s="10">
        <v>6.9384860195751337</v>
      </c>
      <c r="I45" s="10">
        <v>14.322479212967492</v>
      </c>
      <c r="J45" s="10">
        <v>1.0455884382853233</v>
      </c>
    </row>
    <row r="46" spans="1:10">
      <c r="A46" s="7" t="s">
        <v>273</v>
      </c>
      <c r="B46" s="8" t="str">
        <f>HYPERLINK("http://asia.ensembl.org/Mus_musculus/Transcript/Summary?t=ENSMUST00000182761","ENSMUST00000182761")</f>
        <v>ENSMUST00000182761</v>
      </c>
      <c r="C46" s="8" t="str">
        <f>HYPERLINK("http://www.informatics.jax.org/marker/","")</f>
        <v/>
      </c>
      <c r="D46" s="9" t="s">
        <v>2</v>
      </c>
      <c r="E46" s="10"/>
      <c r="F46" s="10">
        <v>58</v>
      </c>
      <c r="G46" s="10">
        <v>161</v>
      </c>
      <c r="H46" s="10">
        <v>8.0486437827071544</v>
      </c>
      <c r="I46" s="10">
        <v>16.470851094912614</v>
      </c>
      <c r="J46" s="10">
        <v>1.0330974941021267</v>
      </c>
    </row>
    <row r="47" spans="1:10">
      <c r="A47" s="7" t="s">
        <v>274</v>
      </c>
      <c r="B47" s="8" t="str">
        <f>HYPERLINK("http://asia.ensembl.org/Mus_musculus/Transcript/Summary?t=ENSMUST00000155660","ENSMUST00000155660")</f>
        <v>ENSMUST00000155660</v>
      </c>
      <c r="C47" s="8" t="str">
        <f>HYPERLINK("http://www.informatics.jax.org/marker/MGI:3644574","MGI:3644574")</f>
        <v>MGI:3644574</v>
      </c>
      <c r="D47" s="9" t="s">
        <v>35</v>
      </c>
      <c r="E47" s="9" t="s">
        <v>36</v>
      </c>
      <c r="F47" s="10">
        <v>55</v>
      </c>
      <c r="G47" s="10">
        <v>151</v>
      </c>
      <c r="H47" s="10">
        <v>7.6323346215326469</v>
      </c>
      <c r="I47" s="10">
        <v>15.447816865414937</v>
      </c>
      <c r="J47" s="10">
        <v>1.0172066369155008</v>
      </c>
    </row>
    <row r="48" spans="1:10">
      <c r="A48" s="7" t="s">
        <v>275</v>
      </c>
      <c r="B48" s="8" t="str">
        <f>HYPERLINK("http://asia.ensembl.org/Mus_musculus/Transcript/Summary?t=ENSMUST00000069711","ENSMUST00000069711")</f>
        <v>ENSMUST00000069711</v>
      </c>
      <c r="C48" s="8" t="str">
        <f>HYPERLINK("http://www.informatics.jax.org/marker/MGI:3651144","MGI:3651144")</f>
        <v>MGI:3651144</v>
      </c>
      <c r="D48" s="9" t="s">
        <v>211</v>
      </c>
      <c r="E48" s="9" t="s">
        <v>212</v>
      </c>
      <c r="F48" s="10">
        <v>37</v>
      </c>
      <c r="G48" s="10">
        <v>101</v>
      </c>
      <c r="H48" s="10">
        <v>5.1344796544855988</v>
      </c>
      <c r="I48" s="10">
        <v>10.332645717926548</v>
      </c>
      <c r="J48" s="10">
        <v>1.0089197282379267</v>
      </c>
    </row>
    <row r="49" spans="1:10">
      <c r="A49" s="7" t="s">
        <v>276</v>
      </c>
      <c r="B49" s="8" t="str">
        <f>HYPERLINK("http://asia.ensembl.org/Mus_musculus/Transcript/Summary?t=ENSMUST00000181207","ENSMUST00000181207")</f>
        <v>ENSMUST00000181207</v>
      </c>
      <c r="C49" s="8" t="str">
        <f>HYPERLINK("http://www.informatics.jax.org/marker/","")</f>
        <v/>
      </c>
      <c r="D49" s="9" t="s">
        <v>97</v>
      </c>
      <c r="E49" s="10"/>
      <c r="F49" s="10">
        <v>51</v>
      </c>
      <c r="G49" s="10">
        <v>139</v>
      </c>
      <c r="H49" s="10">
        <v>7.0772557399666365</v>
      </c>
      <c r="I49" s="10">
        <v>14.220175790017723</v>
      </c>
      <c r="J49" s="10">
        <v>1.0066773418670933</v>
      </c>
    </row>
    <row r="50" spans="1:10">
      <c r="A50" s="7" t="s">
        <v>277</v>
      </c>
      <c r="B50" s="8" t="str">
        <f>HYPERLINK("http://asia.ensembl.org/Mus_musculus/Transcript/Summary?t=ENSMUST00000177547","ENSMUST00000177547")</f>
        <v>ENSMUST00000177547</v>
      </c>
      <c r="C50" s="8" t="str">
        <f>HYPERLINK("http://www.informatics.jax.org/marker/MGI:5012221","MGI:5012221")</f>
        <v>MGI:5012221</v>
      </c>
      <c r="D50" s="9" t="s">
        <v>145</v>
      </c>
      <c r="E50" s="9" t="s">
        <v>146</v>
      </c>
      <c r="F50" s="10">
        <v>51</v>
      </c>
      <c r="G50" s="10">
        <v>136</v>
      </c>
      <c r="H50" s="10">
        <v>7.0772557399666365</v>
      </c>
      <c r="I50" s="10">
        <v>13.91326552116842</v>
      </c>
      <c r="J50" s="10">
        <v>0.97519911039392526</v>
      </c>
    </row>
    <row r="51" spans="1:10">
      <c r="A51" s="7" t="s">
        <v>278</v>
      </c>
      <c r="B51" s="8" t="str">
        <f>HYPERLINK("http://asia.ensembl.org/Mus_musculus/Transcript/Summary?t=ENSMUST00000172202","ENSMUST00000172202")</f>
        <v>ENSMUST00000172202</v>
      </c>
      <c r="C51" s="8" t="str">
        <f>HYPERLINK("http://www.informatics.jax.org/marker/MGI:4936934","MGI:4936934")</f>
        <v>MGI:4936934</v>
      </c>
      <c r="D51" s="9" t="s">
        <v>85</v>
      </c>
      <c r="E51" s="9" t="s">
        <v>86</v>
      </c>
      <c r="F51" s="10">
        <v>843</v>
      </c>
      <c r="G51" s="10">
        <v>2245</v>
      </c>
      <c r="H51" s="10">
        <v>116.98287429003676</v>
      </c>
      <c r="I51" s="10">
        <v>229.67118452222871</v>
      </c>
      <c r="J51" s="10">
        <v>0.97327251980150853</v>
      </c>
    </row>
    <row r="52" spans="1:10">
      <c r="A52" s="7" t="s">
        <v>279</v>
      </c>
      <c r="B52" s="8" t="str">
        <f>HYPERLINK("http://asia.ensembl.org/Mus_musculus/Transcript/Summary?t=ENSMUST00000105038","ENSMUST00000105038")</f>
        <v>ENSMUST00000105038</v>
      </c>
      <c r="C52" s="8" t="str">
        <f>HYPERLINK("http://www.informatics.jax.org/marker/MGI:3781727","MGI:3781727")</f>
        <v>MGI:3781727</v>
      </c>
      <c r="D52" s="9" t="s">
        <v>100</v>
      </c>
      <c r="E52" s="9" t="s">
        <v>101</v>
      </c>
      <c r="F52" s="10">
        <v>49</v>
      </c>
      <c r="G52" s="10">
        <v>130</v>
      </c>
      <c r="H52" s="10">
        <v>6.7997162991836309</v>
      </c>
      <c r="I52" s="10">
        <v>13.299444983469813</v>
      </c>
      <c r="J52" s="10">
        <v>0.96781958002832802</v>
      </c>
    </row>
    <row r="53" spans="1:10">
      <c r="A53" s="7" t="s">
        <v>280</v>
      </c>
      <c r="B53" s="8" t="str">
        <f>HYPERLINK("http://asia.ensembl.org/Mus_musculus/Transcript/Summary?t=ENSMUST00000141390","ENSMUST00000141390")</f>
        <v>ENSMUST00000141390</v>
      </c>
      <c r="C53" s="8" t="str">
        <f>HYPERLINK("http://www.informatics.jax.org/marker/MGI:3782946","MGI:3782946")</f>
        <v>MGI:3782946</v>
      </c>
      <c r="D53" s="9" t="s">
        <v>102</v>
      </c>
      <c r="E53" s="9" t="s">
        <v>103</v>
      </c>
      <c r="F53" s="10">
        <v>72</v>
      </c>
      <c r="G53" s="10">
        <v>191</v>
      </c>
      <c r="H53" s="10">
        <v>9.9914198681881921</v>
      </c>
      <c r="I53" s="10">
        <v>19.53995378340565</v>
      </c>
      <c r="J53" s="10">
        <v>0.96766543770851809</v>
      </c>
    </row>
    <row r="54" spans="1:10">
      <c r="A54" s="7" t="s">
        <v>281</v>
      </c>
      <c r="B54" s="8" t="str">
        <f>HYPERLINK("http://asia.ensembl.org/Mus_musculus/Transcript/Summary?t=ENSMUST00000181486","ENSMUST00000181486")</f>
        <v>ENSMUST00000181486</v>
      </c>
      <c r="C54" s="8" t="str">
        <f>HYPERLINK("http://www.informatics.jax.org/marker/","")</f>
        <v/>
      </c>
      <c r="D54" s="9" t="s">
        <v>143</v>
      </c>
      <c r="E54" s="10"/>
      <c r="F54" s="10">
        <v>119</v>
      </c>
      <c r="G54" s="10">
        <v>312</v>
      </c>
      <c r="H54" s="10">
        <v>16.513596726588819</v>
      </c>
      <c r="I54" s="10">
        <v>31.918667960327554</v>
      </c>
      <c r="J54" s="10">
        <v>0.95074606666938644</v>
      </c>
    </row>
    <row r="55" spans="1:10">
      <c r="A55" s="7" t="s">
        <v>282</v>
      </c>
      <c r="B55" s="8" t="str">
        <f>HYPERLINK("http://asia.ensembl.org/Mus_musculus/Transcript/Summary?t=ENSMUST00000145438","ENSMUST00000145438")</f>
        <v>ENSMUST00000145438</v>
      </c>
      <c r="C55" s="8" t="str">
        <f>HYPERLINK("http://www.informatics.jax.org/marker/MGI:1924222","MGI:1924222")</f>
        <v>MGI:1924222</v>
      </c>
      <c r="D55" s="9" t="s">
        <v>17</v>
      </c>
      <c r="E55" s="9" t="s">
        <v>18</v>
      </c>
      <c r="F55" s="10">
        <v>98</v>
      </c>
      <c r="G55" s="10">
        <v>256</v>
      </c>
      <c r="H55" s="10">
        <v>13.599432598367262</v>
      </c>
      <c r="I55" s="10">
        <v>26.189676275140556</v>
      </c>
      <c r="J55" s="10">
        <v>0.94545176699987366</v>
      </c>
    </row>
    <row r="56" spans="1:10">
      <c r="A56" s="7" t="s">
        <v>283</v>
      </c>
      <c r="B56" s="8" t="str">
        <f>HYPERLINK("http://asia.ensembl.org/Mus_musculus/Transcript/Summary?t=ENSMUST00000175368","ENSMUST00000175368")</f>
        <v>ENSMUST00000175368</v>
      </c>
      <c r="C56" s="8" t="str">
        <f>HYPERLINK("http://www.informatics.jax.org/marker/MGI:5455309","MGI:5455309")</f>
        <v>MGI:5455309</v>
      </c>
      <c r="D56" s="9" t="s">
        <v>175</v>
      </c>
      <c r="E56" s="9" t="s">
        <v>176</v>
      </c>
      <c r="F56" s="10">
        <v>43</v>
      </c>
      <c r="G56" s="10">
        <v>112</v>
      </c>
      <c r="H56" s="10">
        <v>5.9670979768346148</v>
      </c>
      <c r="I56" s="10">
        <v>11.457983370373993</v>
      </c>
      <c r="J56" s="10">
        <v>0.94125177847058783</v>
      </c>
    </row>
    <row r="57" spans="1:10">
      <c r="A57" s="7" t="s">
        <v>284</v>
      </c>
      <c r="B57" s="8" t="str">
        <f>HYPERLINK("http://asia.ensembl.org/Mus_musculus/Transcript/Summary?t=ENSMUST00000104964","ENSMUST00000104964")</f>
        <v>ENSMUST00000104964</v>
      </c>
      <c r="C57" s="8" t="str">
        <f>HYPERLINK("http://www.informatics.jax.org/marker/MGI:3642127","MGI:3642127")</f>
        <v>MGI:3642127</v>
      </c>
      <c r="D57" s="9" t="s">
        <v>54</v>
      </c>
      <c r="E57" s="9" t="s">
        <v>55</v>
      </c>
      <c r="F57" s="10">
        <v>44</v>
      </c>
      <c r="G57" s="10">
        <v>114</v>
      </c>
      <c r="H57" s="10">
        <v>6.1058676972261177</v>
      </c>
      <c r="I57" s="10">
        <v>11.662590216273529</v>
      </c>
      <c r="J57" s="10">
        <v>0.93362000664252598</v>
      </c>
    </row>
    <row r="58" spans="1:10">
      <c r="A58" s="7" t="s">
        <v>285</v>
      </c>
      <c r="B58" s="8" t="str">
        <f>HYPERLINK("http://asia.ensembl.org/Mus_musculus/Transcript/Summary?t=ENSMUST00000180512","ENSMUST00000180512")</f>
        <v>ENSMUST00000180512</v>
      </c>
      <c r="C58" s="8" t="str">
        <f>HYPERLINK("http://www.informatics.jax.org/marker/","")</f>
        <v/>
      </c>
      <c r="D58" s="9" t="s">
        <v>9</v>
      </c>
      <c r="E58" s="10"/>
      <c r="F58" s="10">
        <v>102</v>
      </c>
      <c r="G58" s="10">
        <v>264</v>
      </c>
      <c r="H58" s="10">
        <v>14.154511479933273</v>
      </c>
      <c r="I58" s="10">
        <v>27.008103658738698</v>
      </c>
      <c r="J58" s="10">
        <v>0.93213038850203955</v>
      </c>
    </row>
    <row r="59" spans="1:10">
      <c r="A59" s="7" t="s">
        <v>286</v>
      </c>
      <c r="B59" s="8" t="str">
        <f>HYPERLINK("http://asia.ensembl.org/Mus_musculus/Transcript/Summary?t=ENSMUST00000082453","ENSMUST00000082453")</f>
        <v>ENSMUST00000082453</v>
      </c>
      <c r="C59" s="8" t="str">
        <f>HYPERLINK("http://www.informatics.jax.org/marker/MGI:4360046","MGI:4360046")</f>
        <v>MGI:4360046</v>
      </c>
      <c r="D59" s="9" t="s">
        <v>108</v>
      </c>
      <c r="E59" s="9" t="s">
        <v>109</v>
      </c>
      <c r="F59" s="10">
        <v>356</v>
      </c>
      <c r="G59" s="10">
        <v>906</v>
      </c>
      <c r="H59" s="10">
        <v>49.402020459374953</v>
      </c>
      <c r="I59" s="10">
        <v>92.686901192489628</v>
      </c>
      <c r="J59" s="10">
        <v>0.9077954201949191</v>
      </c>
    </row>
    <row r="60" spans="1:10">
      <c r="A60" s="7" t="s">
        <v>287</v>
      </c>
      <c r="B60" s="8" t="str">
        <f>HYPERLINK("http://asia.ensembl.org/Mus_musculus/Transcript/Summary?t=ENSMUST00000082671","ENSMUST00000082671")</f>
        <v>ENSMUST00000082671</v>
      </c>
      <c r="C60" s="8" t="str">
        <f>HYPERLINK("http://www.informatics.jax.org/marker/MGI:5451997","MGI:5451997")</f>
        <v>MGI:5451997</v>
      </c>
      <c r="D60" s="9" t="s">
        <v>179</v>
      </c>
      <c r="E60" s="9" t="s">
        <v>180</v>
      </c>
      <c r="F60" s="10">
        <v>398</v>
      </c>
      <c r="G60" s="10">
        <v>999</v>
      </c>
      <c r="H60" s="10">
        <v>55.230348715818067</v>
      </c>
      <c r="I60" s="10">
        <v>102.20111952681803</v>
      </c>
      <c r="J60" s="10">
        <v>0.88787785836385102</v>
      </c>
    </row>
    <row r="61" spans="1:10">
      <c r="A61" s="7" t="s">
        <v>288</v>
      </c>
      <c r="B61" s="8" t="str">
        <f>HYPERLINK("http://asia.ensembl.org/Mus_musculus/Transcript/Summary?t=ENSMUST00000173672","ENSMUST00000173672")</f>
        <v>ENSMUST00000173672</v>
      </c>
      <c r="C61" s="8" t="str">
        <f>HYPERLINK("http://www.informatics.jax.org/marker/MGI:1914211","MGI:1914211")</f>
        <v>MGI:1914211</v>
      </c>
      <c r="D61" s="9" t="s">
        <v>7</v>
      </c>
      <c r="E61" s="9" t="s">
        <v>8</v>
      </c>
      <c r="F61" s="10">
        <v>585</v>
      </c>
      <c r="G61" s="10">
        <v>1464</v>
      </c>
      <c r="H61" s="10">
        <v>81.180286429029067</v>
      </c>
      <c r="I61" s="10">
        <v>149.77221119846004</v>
      </c>
      <c r="J61" s="10">
        <v>0.88356863492835702</v>
      </c>
    </row>
    <row r="62" spans="1:10">
      <c r="A62" s="7" t="s">
        <v>289</v>
      </c>
      <c r="B62" s="8" t="str">
        <f>HYPERLINK("http://asia.ensembl.org/Mus_musculus/Transcript/Summary?t=ENSMUST00000175318","ENSMUST00000175318")</f>
        <v>ENSMUST00000175318</v>
      </c>
      <c r="C62" s="8" t="str">
        <f>HYPERLINK("http://www.informatics.jax.org/marker/MGI:5454586","MGI:5454586")</f>
        <v>MGI:5454586</v>
      </c>
      <c r="D62" s="9" t="s">
        <v>223</v>
      </c>
      <c r="E62" s="9" t="s">
        <v>224</v>
      </c>
      <c r="F62" s="10">
        <v>48</v>
      </c>
      <c r="G62" s="10">
        <v>120</v>
      </c>
      <c r="H62" s="10">
        <v>6.660946578792128</v>
      </c>
      <c r="I62" s="10">
        <v>12.276410753972137</v>
      </c>
      <c r="J62" s="10">
        <v>0.88208970600244407</v>
      </c>
    </row>
    <row r="63" spans="1:10">
      <c r="A63" s="7" t="s">
        <v>290</v>
      </c>
      <c r="B63" s="8" t="str">
        <f>HYPERLINK("http://asia.ensembl.org/Mus_musculus/Transcript/Summary?t=ENSMUST00000129164","ENSMUST00000129164")</f>
        <v>ENSMUST00000129164</v>
      </c>
      <c r="C63" s="8" t="str">
        <f>HYPERLINK("http://www.informatics.jax.org/marker/MGI:1925945","MGI:1925945")</f>
        <v>MGI:1925945</v>
      </c>
      <c r="D63" s="9" t="s">
        <v>78</v>
      </c>
      <c r="E63" s="9" t="s">
        <v>79</v>
      </c>
      <c r="F63" s="10">
        <v>44</v>
      </c>
      <c r="G63" s="10">
        <v>110</v>
      </c>
      <c r="H63" s="10">
        <v>6.1058676972261177</v>
      </c>
      <c r="I63" s="10">
        <v>11.253376524474458</v>
      </c>
      <c r="J63" s="10">
        <v>0.88208970600244396</v>
      </c>
    </row>
    <row r="64" spans="1:10">
      <c r="A64" s="7" t="s">
        <v>291</v>
      </c>
      <c r="B64" s="8" t="str">
        <f>HYPERLINK("http://asia.ensembl.org/Mus_musculus/Transcript/Summary?t=ENSMUST00000181206","ENSMUST00000181206")</f>
        <v>ENSMUST00000181206</v>
      </c>
      <c r="C64" s="8" t="str">
        <f>HYPERLINK("http://www.informatics.jax.org/marker/","")</f>
        <v/>
      </c>
      <c r="D64" s="9" t="s">
        <v>172</v>
      </c>
      <c r="E64" s="10"/>
      <c r="F64" s="10">
        <v>140</v>
      </c>
      <c r="G64" s="10">
        <v>347</v>
      </c>
      <c r="H64" s="10">
        <v>19.427760854810376</v>
      </c>
      <c r="I64" s="10">
        <v>35.499287763569427</v>
      </c>
      <c r="J64" s="10">
        <v>0.8696704467483759</v>
      </c>
    </row>
    <row r="65" spans="1:10">
      <c r="A65" s="7" t="s">
        <v>292</v>
      </c>
      <c r="B65" s="8" t="str">
        <f>HYPERLINK("http://asia.ensembl.org/Mus_musculus/Transcript/Summary?t=ENSMUST00000181113","ENSMUST00000181113")</f>
        <v>ENSMUST00000181113</v>
      </c>
      <c r="C65" s="8" t="str">
        <f>HYPERLINK("http://www.informatics.jax.org/marker/","")</f>
        <v/>
      </c>
      <c r="D65" s="9" t="s">
        <v>150</v>
      </c>
      <c r="E65" s="10"/>
      <c r="F65" s="10">
        <v>77</v>
      </c>
      <c r="G65" s="10">
        <v>188</v>
      </c>
      <c r="H65" s="10">
        <v>10.685268470145706</v>
      </c>
      <c r="I65" s="10">
        <v>19.233043514556346</v>
      </c>
      <c r="J65" s="10">
        <v>0.84796392209781768</v>
      </c>
    </row>
    <row r="66" spans="1:10">
      <c r="A66" s="7" t="s">
        <v>293</v>
      </c>
      <c r="B66" s="8" t="str">
        <f>HYPERLINK("http://asia.ensembl.org/Mus_musculus/Transcript/Summary?t=ENSMUST00000130063","ENSMUST00000130063")</f>
        <v>ENSMUST00000130063</v>
      </c>
      <c r="C66" s="8" t="str">
        <f>HYPERLINK("http://www.informatics.jax.org/marker/MGI:1926128","MGI:1926128")</f>
        <v>MGI:1926128</v>
      </c>
      <c r="D66" s="9" t="s">
        <v>82</v>
      </c>
      <c r="E66" s="9" t="s">
        <v>83</v>
      </c>
      <c r="F66" s="10">
        <v>41</v>
      </c>
      <c r="G66" s="10">
        <v>100</v>
      </c>
      <c r="H66" s="10">
        <v>5.6895585360516101</v>
      </c>
      <c r="I66" s="10">
        <v>10.230342294976779</v>
      </c>
      <c r="J66" s="10">
        <v>0.84646579627172247</v>
      </c>
    </row>
    <row r="67" spans="1:10">
      <c r="A67" s="7" t="s">
        <v>294</v>
      </c>
      <c r="B67" s="8" t="str">
        <f>HYPERLINK("http://asia.ensembl.org/Mus_musculus/Transcript/Summary?t=ENSMUST00000137180","ENSMUST00000137180")</f>
        <v>ENSMUST00000137180</v>
      </c>
      <c r="C67" s="8" t="str">
        <f>HYPERLINK("http://www.informatics.jax.org/marker/MGI:3040676","MGI:3040676")</f>
        <v>MGI:3040676</v>
      </c>
      <c r="D67" s="9" t="s">
        <v>80</v>
      </c>
      <c r="E67" s="9" t="s">
        <v>81</v>
      </c>
      <c r="F67" s="10">
        <v>49</v>
      </c>
      <c r="G67" s="10">
        <v>118</v>
      </c>
      <c r="H67" s="10">
        <v>6.7997162991836309</v>
      </c>
      <c r="I67" s="10">
        <v>12.071803908072599</v>
      </c>
      <c r="J67" s="10">
        <v>0.82809481636171467</v>
      </c>
    </row>
    <row r="68" spans="1:10">
      <c r="A68" s="7" t="s">
        <v>295</v>
      </c>
      <c r="B68" s="8" t="str">
        <f>HYPERLINK("http://asia.ensembl.org/Mus_musculus/Transcript/Summary?t=ENSMUST00000180691","ENSMUST00000180691")</f>
        <v>ENSMUST00000180691</v>
      </c>
      <c r="C68" s="8" t="str">
        <f>HYPERLINK("http://www.informatics.jax.org/marker/","")</f>
        <v/>
      </c>
      <c r="D68" s="9" t="s">
        <v>164</v>
      </c>
      <c r="E68" s="10"/>
      <c r="F68" s="10">
        <v>43</v>
      </c>
      <c r="G68" s="10">
        <v>103</v>
      </c>
      <c r="H68" s="10">
        <v>5.9670979768346148</v>
      </c>
      <c r="I68" s="10">
        <v>10.537252563826083</v>
      </c>
      <c r="J68" s="10">
        <v>0.82039738359620218</v>
      </c>
    </row>
    <row r="69" spans="1:10">
      <c r="A69" s="7" t="s">
        <v>296</v>
      </c>
      <c r="B69" s="8" t="str">
        <f>HYPERLINK("http://asia.ensembl.org/Mus_musculus/Transcript/Summary?t=ENSMUST00000133001","ENSMUST00000133001")</f>
        <v>ENSMUST00000133001</v>
      </c>
      <c r="C69" s="8" t="str">
        <f>HYPERLINK("http://www.informatics.jax.org/marker/MGI:3644574","MGI:3644574")</f>
        <v>MGI:3644574</v>
      </c>
      <c r="D69" s="9" t="s">
        <v>35</v>
      </c>
      <c r="E69" s="9" t="s">
        <v>36</v>
      </c>
      <c r="F69" s="10">
        <v>42</v>
      </c>
      <c r="G69" s="10">
        <v>100</v>
      </c>
      <c r="H69" s="10">
        <v>5.828328256443112</v>
      </c>
      <c r="I69" s="10">
        <v>10.230342294976779</v>
      </c>
      <c r="J69" s="10">
        <v>0.81170037811104612</v>
      </c>
    </row>
    <row r="70" spans="1:10">
      <c r="A70" s="7" t="s">
        <v>297</v>
      </c>
      <c r="B70" s="8" t="str">
        <f>HYPERLINK("http://asia.ensembl.org/Mus_musculus/Transcript/Summary?t=ENSMUST00000177555","ENSMUST00000177555")</f>
        <v>ENSMUST00000177555</v>
      </c>
      <c r="C70" s="8" t="str">
        <f>HYPERLINK("http://www.informatics.jax.org/marker/MGI:97949","MGI:97949")</f>
        <v>MGI:97949</v>
      </c>
      <c r="D70" s="9" t="s">
        <v>93</v>
      </c>
      <c r="E70" s="9" t="s">
        <v>94</v>
      </c>
      <c r="F70" s="10">
        <v>901</v>
      </c>
      <c r="G70" s="10">
        <v>2145</v>
      </c>
      <c r="H70" s="10">
        <v>125.03151807274391</v>
      </c>
      <c r="I70" s="10">
        <v>219.44084222725192</v>
      </c>
      <c r="J70" s="10">
        <v>0.81154024768845112</v>
      </c>
    </row>
    <row r="71" spans="1:10">
      <c r="A71" s="7" t="s">
        <v>298</v>
      </c>
      <c r="B71" s="8" t="str">
        <f>HYPERLINK("http://asia.ensembl.org/Mus_musculus/Transcript/Summary?t=ENSMUST00000175441","ENSMUST00000175441")</f>
        <v>ENSMUST00000175441</v>
      </c>
      <c r="C71" s="8" t="str">
        <f>HYPERLINK("http://www.informatics.jax.org/marker/MGI:5455465","MGI:5455465")</f>
        <v>MGI:5455465</v>
      </c>
      <c r="D71" s="9" t="s">
        <v>29</v>
      </c>
      <c r="E71" s="9" t="s">
        <v>30</v>
      </c>
      <c r="F71" s="10">
        <v>79</v>
      </c>
      <c r="G71" s="10">
        <v>185</v>
      </c>
      <c r="H71" s="10">
        <v>10.962807910928712</v>
      </c>
      <c r="I71" s="10">
        <v>18.926133245707042</v>
      </c>
      <c r="J71" s="10">
        <v>0.78776232345429076</v>
      </c>
    </row>
    <row r="72" spans="1:10">
      <c r="A72" s="7" t="s">
        <v>299</v>
      </c>
      <c r="B72" s="8" t="str">
        <f>HYPERLINK("http://asia.ensembl.org/Mus_musculus/Transcript/Summary?t=ENSMUST00000181052","ENSMUST00000181052")</f>
        <v>ENSMUST00000181052</v>
      </c>
      <c r="C72" s="8" t="str">
        <f>HYPERLINK("http://www.informatics.jax.org/marker/","")</f>
        <v/>
      </c>
      <c r="D72" s="9" t="s">
        <v>190</v>
      </c>
      <c r="E72" s="10"/>
      <c r="F72" s="10">
        <v>72</v>
      </c>
      <c r="G72" s="10">
        <v>168</v>
      </c>
      <c r="H72" s="10">
        <v>9.9914198681881921</v>
      </c>
      <c r="I72" s="10">
        <v>17.186975055560989</v>
      </c>
      <c r="J72" s="10">
        <v>0.78255403245152955</v>
      </c>
    </row>
    <row r="73" spans="1:10">
      <c r="A73" s="7" t="s">
        <v>300</v>
      </c>
      <c r="B73" s="8" t="str">
        <f>HYPERLINK("http://asia.ensembl.org/Mus_musculus/Transcript/Summary?t=ENSMUST00000083331","ENSMUST00000083331")</f>
        <v>ENSMUST00000083331</v>
      </c>
      <c r="C73" s="8" t="str">
        <f>HYPERLINK("http://www.informatics.jax.org/marker/MGI:5453232","MGI:5453232")</f>
        <v>MGI:5453232</v>
      </c>
      <c r="D73" s="9" t="s">
        <v>195</v>
      </c>
      <c r="E73" s="9" t="s">
        <v>196</v>
      </c>
      <c r="F73" s="10">
        <v>104</v>
      </c>
      <c r="G73" s="10">
        <v>242</v>
      </c>
      <c r="H73" s="10">
        <v>14.432050920716279</v>
      </c>
      <c r="I73" s="10">
        <v>24.757428353843807</v>
      </c>
      <c r="J73" s="10">
        <v>0.77858513024858378</v>
      </c>
    </row>
    <row r="74" spans="1:10">
      <c r="A74" s="7" t="s">
        <v>301</v>
      </c>
      <c r="B74" s="8" t="str">
        <f>HYPERLINK("http://asia.ensembl.org/Mus_musculus/Transcript/Summary?t=ENSMUST00000082862","ENSMUST00000082862")</f>
        <v>ENSMUST00000082862</v>
      </c>
      <c r="C74" s="8" t="str">
        <f>HYPERLINK("http://www.informatics.jax.org/marker/MGI:109558","MGI:109558")</f>
        <v>MGI:109558</v>
      </c>
      <c r="D74" s="9" t="s">
        <v>75</v>
      </c>
      <c r="E74" s="9" t="s">
        <v>76</v>
      </c>
      <c r="F74" s="10">
        <v>292</v>
      </c>
      <c r="G74" s="10">
        <v>679</v>
      </c>
      <c r="H74" s="10">
        <v>40.520758354318779</v>
      </c>
      <c r="I74" s="10">
        <v>69.464024182892331</v>
      </c>
      <c r="J74" s="10">
        <v>0.77760481647979629</v>
      </c>
    </row>
    <row r="75" spans="1:10">
      <c r="A75" s="7" t="s">
        <v>302</v>
      </c>
      <c r="B75" s="8" t="str">
        <f>HYPERLINK("http://asia.ensembl.org/Mus_musculus/Transcript/Summary?t=ENSMUST00000088578","ENSMUST00000088578")</f>
        <v>ENSMUST00000088578</v>
      </c>
      <c r="C75" s="8" t="str">
        <f>HYPERLINK("http://www.informatics.jax.org/marker/MGI:1914767","MGI:1914767")</f>
        <v>MGI:1914767</v>
      </c>
      <c r="D75" s="9" t="s">
        <v>191</v>
      </c>
      <c r="E75" s="9" t="s">
        <v>192</v>
      </c>
      <c r="F75" s="10">
        <v>44</v>
      </c>
      <c r="G75" s="10">
        <v>102</v>
      </c>
      <c r="H75" s="10">
        <v>6.1058676972261177</v>
      </c>
      <c r="I75" s="10">
        <v>10.434949140876315</v>
      </c>
      <c r="J75" s="10">
        <v>0.77315533444927997</v>
      </c>
    </row>
    <row r="76" spans="1:10">
      <c r="A76" s="7" t="s">
        <v>303</v>
      </c>
      <c r="B76" s="8" t="str">
        <f>HYPERLINK("http://asia.ensembl.org/Mus_musculus/Transcript/Summary?t=ENSMUST00000133693","ENSMUST00000133693")</f>
        <v>ENSMUST00000133693</v>
      </c>
      <c r="C76" s="11" t="str">
        <f>HYPERLINK("http://www.informatics.jax.org/marker/MGI:1917070","MGI:1917070")</f>
        <v>MGI:1917070</v>
      </c>
      <c r="D76" s="9" t="s">
        <v>148</v>
      </c>
      <c r="E76" s="9" t="s">
        <v>149</v>
      </c>
      <c r="F76" s="10">
        <v>78</v>
      </c>
      <c r="G76" s="10">
        <v>180</v>
      </c>
      <c r="H76" s="10">
        <v>10.824038190537209</v>
      </c>
      <c r="I76" s="10">
        <v>18.414616130958205</v>
      </c>
      <c r="J76" s="10">
        <v>0.76661248858250808</v>
      </c>
    </row>
    <row r="77" spans="1:10">
      <c r="A77" s="7" t="s">
        <v>304</v>
      </c>
      <c r="B77" s="8" t="str">
        <f>HYPERLINK("http://asia.ensembl.org/Mus_musculus/Transcript/Summary?t=ENSMUST00000149452","ENSMUST00000149452")</f>
        <v>ENSMUST00000149452</v>
      </c>
      <c r="C77" s="8" t="str">
        <f>HYPERLINK("http://www.informatics.jax.org/marker/MGI:3826576","MGI:3826576")</f>
        <v>MGI:3826576</v>
      </c>
      <c r="D77" s="9" t="s">
        <v>0</v>
      </c>
      <c r="E77" s="9" t="s">
        <v>1</v>
      </c>
      <c r="F77" s="10">
        <v>49</v>
      </c>
      <c r="G77" s="10">
        <v>113</v>
      </c>
      <c r="H77" s="10">
        <v>6.7997162991836309</v>
      </c>
      <c r="I77" s="10">
        <v>11.560286793323762</v>
      </c>
      <c r="J77" s="10">
        <v>0.76563072941506127</v>
      </c>
    </row>
    <row r="78" spans="1:10">
      <c r="A78" s="7" t="s">
        <v>305</v>
      </c>
      <c r="B78" s="8" t="str">
        <f>HYPERLINK("http://asia.ensembl.org/Mus_musculus/Transcript/Summary?t=ENSMUST00000083320","ENSMUST00000083320")</f>
        <v>ENSMUST00000083320</v>
      </c>
      <c r="C78" s="8" t="str">
        <f>HYPERLINK("http://www.informatics.jax.org/marker/MGI:5453750","MGI:5453750")</f>
        <v>MGI:5453750</v>
      </c>
      <c r="D78" s="9" t="s">
        <v>207</v>
      </c>
      <c r="E78" s="9" t="s">
        <v>208</v>
      </c>
      <c r="F78" s="10">
        <v>49</v>
      </c>
      <c r="G78" s="10">
        <v>113</v>
      </c>
      <c r="H78" s="10">
        <v>6.7997162991836309</v>
      </c>
      <c r="I78" s="10">
        <v>11.560286793323762</v>
      </c>
      <c r="J78" s="10">
        <v>0.76563072941506127</v>
      </c>
    </row>
    <row r="79" spans="1:10">
      <c r="A79" s="7" t="s">
        <v>306</v>
      </c>
      <c r="B79" s="8" t="str">
        <f>HYPERLINK("http://asia.ensembl.org/Mus_musculus/Transcript/Summary?t=ENSMUST00000092883","ENSMUST00000092883")</f>
        <v>ENSMUST00000092883</v>
      </c>
      <c r="C79" s="8" t="str">
        <f>HYPERLINK("http://www.informatics.jax.org/marker/MGI:3641921","MGI:3641921")</f>
        <v>MGI:3641921</v>
      </c>
      <c r="D79" s="9" t="s">
        <v>66</v>
      </c>
      <c r="E79" s="9" t="s">
        <v>67</v>
      </c>
      <c r="F79" s="10">
        <v>44</v>
      </c>
      <c r="G79" s="10">
        <v>101</v>
      </c>
      <c r="H79" s="10">
        <v>6.1058676972261177</v>
      </c>
      <c r="I79" s="10">
        <v>10.332645717926548</v>
      </c>
      <c r="J79" s="10">
        <v>0.75894147522957922</v>
      </c>
    </row>
    <row r="80" spans="1:10">
      <c r="A80" s="7" t="s">
        <v>307</v>
      </c>
      <c r="B80" s="8" t="str">
        <f>HYPERLINK("http://asia.ensembl.org/Mus_musculus/Transcript/Summary?t=ENSMUST00000081739","ENSMUST00000081739")</f>
        <v>ENSMUST00000081739</v>
      </c>
      <c r="C80" s="8" t="str">
        <f>HYPERLINK("http://www.informatics.jax.org/marker/MGI:3704492","MGI:3704492")</f>
        <v>MGI:3704492</v>
      </c>
      <c r="D80" s="9" t="s">
        <v>187</v>
      </c>
      <c r="E80" s="9" t="s">
        <v>188</v>
      </c>
      <c r="F80" s="10">
        <v>58</v>
      </c>
      <c r="G80" s="10">
        <v>133</v>
      </c>
      <c r="H80" s="10">
        <v>8.0486437827071544</v>
      </c>
      <c r="I80" s="10">
        <v>13.606355252319117</v>
      </c>
      <c r="J80" s="10">
        <v>0.7574630514886993</v>
      </c>
    </row>
    <row r="81" spans="1:10">
      <c r="A81" s="7" t="s">
        <v>308</v>
      </c>
      <c r="B81" s="8" t="str">
        <f>HYPERLINK("http://asia.ensembl.org/Mus_musculus/Transcript/Summary?t=ENSMUST00000175096","ENSMUST00000175096")</f>
        <v>ENSMUST00000175096</v>
      </c>
      <c r="C81" s="8" t="str">
        <f>HYPERLINK("http://www.informatics.jax.org/marker/MGI:1934664","MGI:1934664")</f>
        <v>MGI:1934664</v>
      </c>
      <c r="D81" s="9" t="s">
        <v>58</v>
      </c>
      <c r="E81" s="9" t="s">
        <v>59</v>
      </c>
      <c r="F81" s="10">
        <v>13219</v>
      </c>
      <c r="G81" s="10">
        <v>30279</v>
      </c>
      <c r="H81" s="10">
        <v>1834.3969338552738</v>
      </c>
      <c r="I81" s="10">
        <v>3097.645343496019</v>
      </c>
      <c r="J81" s="10">
        <v>0.7558661275181352</v>
      </c>
    </row>
    <row r="82" spans="1:10">
      <c r="A82" s="7" t="s">
        <v>309</v>
      </c>
      <c r="B82" s="8" t="str">
        <f>HYPERLINK("http://asia.ensembl.org/Mus_musculus/Transcript/Summary?t=ENSMUST00000181146","ENSMUST00000181146")</f>
        <v>ENSMUST00000181146</v>
      </c>
      <c r="C82" s="8" t="str">
        <f>HYPERLINK("http://www.informatics.jax.org/marker/","")</f>
        <v/>
      </c>
      <c r="D82" s="9" t="s">
        <v>144</v>
      </c>
      <c r="E82" s="10"/>
      <c r="F82" s="10">
        <v>101</v>
      </c>
      <c r="G82" s="10">
        <v>230</v>
      </c>
      <c r="H82" s="10">
        <v>14.01574175954177</v>
      </c>
      <c r="I82" s="10">
        <v>23.529787278446594</v>
      </c>
      <c r="J82" s="10">
        <v>0.74744017930766227</v>
      </c>
    </row>
    <row r="83" spans="1:10">
      <c r="A83" s="7" t="s">
        <v>310</v>
      </c>
      <c r="B83" s="8" t="str">
        <f>HYPERLINK("http://asia.ensembl.org/Mus_musculus/Transcript/Summary?t=ENSMUST00000128520","ENSMUST00000128520")</f>
        <v>ENSMUST00000128520</v>
      </c>
      <c r="C83" s="8" t="str">
        <f>HYPERLINK("http://www.informatics.jax.org/marker/MGI:3802131","MGI:3802131")</f>
        <v>MGI:3802131</v>
      </c>
      <c r="D83" s="9" t="s">
        <v>167</v>
      </c>
      <c r="E83" s="9" t="s">
        <v>168</v>
      </c>
      <c r="F83" s="10">
        <v>55</v>
      </c>
      <c r="G83" s="10">
        <v>125</v>
      </c>
      <c r="H83" s="10">
        <v>7.6323346215326469</v>
      </c>
      <c r="I83" s="10">
        <v>12.787927868720974</v>
      </c>
      <c r="J83" s="10">
        <v>0.74458618225250905</v>
      </c>
    </row>
    <row r="84" spans="1:10">
      <c r="A84" s="7" t="s">
        <v>311</v>
      </c>
      <c r="B84" s="8" t="str">
        <f>HYPERLINK("http://asia.ensembl.org/Mus_musculus/Transcript/Summary?t=ENSMUST00000139014","ENSMUST00000139014")</f>
        <v>ENSMUST00000139014</v>
      </c>
      <c r="C84" s="8" t="str">
        <f>HYPERLINK("http://www.informatics.jax.org/marker/MGI:1924085","MGI:1924085")</f>
        <v>MGI:1924085</v>
      </c>
      <c r="D84" s="9" t="s">
        <v>5</v>
      </c>
      <c r="E84" s="9" t="s">
        <v>6</v>
      </c>
      <c r="F84" s="10">
        <v>85</v>
      </c>
      <c r="G84" s="10">
        <v>192</v>
      </c>
      <c r="H84" s="10">
        <v>11.795426233277727</v>
      </c>
      <c r="I84" s="10">
        <v>19.642257206355417</v>
      </c>
      <c r="J84" s="10">
        <v>0.73573317569853625</v>
      </c>
    </row>
    <row r="85" spans="1:10">
      <c r="A85" s="7" t="s">
        <v>312</v>
      </c>
      <c r="B85" s="8" t="str">
        <f>HYPERLINK("http://asia.ensembl.org/Mus_musculus/Transcript/Summary?t=ENSMUST00000083007","ENSMUST00000083007")</f>
        <v>ENSMUST00000083007</v>
      </c>
      <c r="C85" s="8" t="str">
        <f>HYPERLINK("http://www.informatics.jax.org/marker/MGI:5453015","MGI:5453015")</f>
        <v>MGI:5453015</v>
      </c>
      <c r="D85" s="9" t="s">
        <v>64</v>
      </c>
      <c r="E85" s="9" t="s">
        <v>65</v>
      </c>
      <c r="F85" s="10">
        <v>184</v>
      </c>
      <c r="G85" s="10">
        <v>413</v>
      </c>
      <c r="H85" s="10">
        <v>25.533628552036493</v>
      </c>
      <c r="I85" s="10">
        <v>42.2513136782541</v>
      </c>
      <c r="J85" s="10">
        <v>0.72659762647751414</v>
      </c>
    </row>
    <row r="86" spans="1:10">
      <c r="A86" s="7" t="s">
        <v>313</v>
      </c>
      <c r="B86" s="8" t="str">
        <f>HYPERLINK("http://asia.ensembl.org/Mus_musculus/Transcript/Summary?t=ENSMUST00000162198","ENSMUST00000162198")</f>
        <v>ENSMUST00000162198</v>
      </c>
      <c r="C86" s="8" t="str">
        <f>HYPERLINK("http://www.informatics.jax.org/marker/MGI:3708796","MGI:3708796")</f>
        <v>MGI:3708796</v>
      </c>
      <c r="D86" s="9" t="s">
        <v>185</v>
      </c>
      <c r="E86" s="9" t="s">
        <v>186</v>
      </c>
      <c r="F86" s="10">
        <v>91</v>
      </c>
      <c r="G86" s="10">
        <v>204</v>
      </c>
      <c r="H86" s="10">
        <v>12.628044555626744</v>
      </c>
      <c r="I86" s="10">
        <v>20.869898281752629</v>
      </c>
      <c r="J86" s="10">
        <v>0.72479231288788082</v>
      </c>
    </row>
    <row r="87" spans="1:10">
      <c r="A87" s="7" t="s">
        <v>314</v>
      </c>
      <c r="B87" s="8" t="str">
        <f>HYPERLINK("http://asia.ensembl.org/Mus_musculus/Transcript/Summary?t=ENSMUST00000181644","ENSMUST00000181644")</f>
        <v>ENSMUST00000181644</v>
      </c>
      <c r="C87" s="8" t="str">
        <f>HYPERLINK("http://www.informatics.jax.org/marker/","")</f>
        <v/>
      </c>
      <c r="D87" s="9" t="s">
        <v>77</v>
      </c>
      <c r="E87" s="10"/>
      <c r="F87" s="10">
        <v>62</v>
      </c>
      <c r="G87" s="10">
        <v>138</v>
      </c>
      <c r="H87" s="10">
        <v>8.6037226642731657</v>
      </c>
      <c r="I87" s="10">
        <v>14.117872367067957</v>
      </c>
      <c r="J87" s="10">
        <v>0.71448975750637556</v>
      </c>
    </row>
    <row r="88" spans="1:10">
      <c r="A88" s="7" t="s">
        <v>315</v>
      </c>
      <c r="B88" s="8" t="str">
        <f>HYPERLINK("http://asia.ensembl.org/Mus_musculus/Transcript/Summary?t=ENSMUST00000153748","ENSMUST00000153748")</f>
        <v>ENSMUST00000153748</v>
      </c>
      <c r="C88" s="8" t="str">
        <f>HYPERLINK("http://www.informatics.jax.org/marker/MGI:3694236","MGI:3694236")</f>
        <v>MGI:3694236</v>
      </c>
      <c r="D88" s="9" t="s">
        <v>25</v>
      </c>
      <c r="E88" s="9" t="s">
        <v>26</v>
      </c>
      <c r="F88" s="10">
        <v>156</v>
      </c>
      <c r="G88" s="10">
        <v>347</v>
      </c>
      <c r="H88" s="10">
        <v>21.648076381074418</v>
      </c>
      <c r="I88" s="10">
        <v>35.499287763569427</v>
      </c>
      <c r="J88" s="10">
        <v>0.71355124483109422</v>
      </c>
    </row>
    <row r="89" spans="1:10">
      <c r="A89" s="7" t="s">
        <v>316</v>
      </c>
      <c r="B89" s="8" t="str">
        <f>HYPERLINK("http://asia.ensembl.org/Mus_musculus/Transcript/Summary?t=ENSMUST00000153817","ENSMUST00000153817")</f>
        <v>ENSMUST00000153817</v>
      </c>
      <c r="C89" s="8" t="str">
        <f>HYPERLINK("http://www.informatics.jax.org/marker/MGI:3650499","MGI:3650499")</f>
        <v>MGI:3650499</v>
      </c>
      <c r="D89" s="9" t="s">
        <v>135</v>
      </c>
      <c r="E89" s="9" t="s">
        <v>136</v>
      </c>
      <c r="F89" s="10">
        <v>55</v>
      </c>
      <c r="G89" s="10">
        <v>121</v>
      </c>
      <c r="H89" s="10">
        <v>7.6323346215326469</v>
      </c>
      <c r="I89" s="10">
        <v>12.378714176921903</v>
      </c>
      <c r="J89" s="10">
        <v>0.69766513486501647</v>
      </c>
    </row>
    <row r="90" spans="1:10">
      <c r="A90" s="7" t="s">
        <v>317</v>
      </c>
      <c r="B90" s="8" t="str">
        <f>HYPERLINK("http://asia.ensembl.org/Mus_musculus/Transcript/Summary?t=ENSMUST00000140111","ENSMUST00000140111")</f>
        <v>ENSMUST00000140111</v>
      </c>
      <c r="C90" s="8" t="str">
        <f>HYPERLINK("http://www.informatics.jax.org/marker/MGI:1914283","MGI:1914283")</f>
        <v>MGI:1914283</v>
      </c>
      <c r="D90" s="9" t="s">
        <v>19</v>
      </c>
      <c r="E90" s="9" t="s">
        <v>20</v>
      </c>
      <c r="F90" s="10">
        <v>187</v>
      </c>
      <c r="G90" s="10">
        <v>411</v>
      </c>
      <c r="H90" s="10">
        <v>25.949937713211</v>
      </c>
      <c r="I90" s="10">
        <v>42.046706832354566</v>
      </c>
      <c r="J90" s="10">
        <v>0.69626173490912802</v>
      </c>
    </row>
    <row r="91" spans="1:10">
      <c r="A91" s="7" t="s">
        <v>318</v>
      </c>
      <c r="B91" s="8" t="str">
        <f>HYPERLINK("http://asia.ensembl.org/Mus_musculus/Transcript/Summary?t=ENSMUST00000178451","ENSMUST00000178451")</f>
        <v>ENSMUST00000178451</v>
      </c>
      <c r="C91" s="8" t="str">
        <f>HYPERLINK("http://www.informatics.jax.org/marker/MGI:5434447","MGI:5434447")</f>
        <v>MGI:5434447</v>
      </c>
      <c r="D91" s="9" t="s">
        <v>111</v>
      </c>
      <c r="E91" s="9" t="s">
        <v>112</v>
      </c>
      <c r="F91" s="10">
        <v>184</v>
      </c>
      <c r="G91" s="10">
        <v>403</v>
      </c>
      <c r="H91" s="10">
        <v>25.533628552036493</v>
      </c>
      <c r="I91" s="10">
        <v>41.228279448756425</v>
      </c>
      <c r="J91" s="10">
        <v>0.69123568358603615</v>
      </c>
    </row>
    <row r="92" spans="1:10">
      <c r="A92" s="7" t="s">
        <v>319</v>
      </c>
      <c r="B92" s="8" t="str">
        <f>HYPERLINK("http://asia.ensembl.org/Mus_musculus/Transcript/Summary?t=ENSMUST00000157400","ENSMUST00000157400")</f>
        <v>ENSMUST00000157400</v>
      </c>
      <c r="C92" s="8" t="str">
        <f>HYPERLINK("http://www.informatics.jax.org/marker/MGI:105103","MGI:105103")</f>
        <v>MGI:105103</v>
      </c>
      <c r="D92" s="9" t="s">
        <v>165</v>
      </c>
      <c r="E92" s="9" t="s">
        <v>166</v>
      </c>
      <c r="F92" s="10">
        <v>7933</v>
      </c>
      <c r="G92" s="10">
        <v>17347</v>
      </c>
      <c r="H92" s="10">
        <v>1100.8601918657907</v>
      </c>
      <c r="I92" s="10">
        <v>1774.657477909622</v>
      </c>
      <c r="J92" s="10">
        <v>0.68890934089358125</v>
      </c>
    </row>
    <row r="93" spans="1:10">
      <c r="A93" s="7" t="s">
        <v>320</v>
      </c>
      <c r="B93" s="8" t="str">
        <f>HYPERLINK("http://asia.ensembl.org/Mus_musculus/Transcript/Summary?t=ENSMUST00000181712","ENSMUST00000181712")</f>
        <v>ENSMUST00000181712</v>
      </c>
      <c r="C93" s="8" t="str">
        <f>HYPERLINK("http://www.informatics.jax.org/marker/","")</f>
        <v/>
      </c>
      <c r="D93" s="9" t="s">
        <v>107</v>
      </c>
      <c r="E93" s="10"/>
      <c r="F93" s="10">
        <v>46</v>
      </c>
      <c r="G93" s="10">
        <v>100</v>
      </c>
      <c r="H93" s="10">
        <v>6.3834071380091233</v>
      </c>
      <c r="I93" s="10">
        <v>10.230342294976779</v>
      </c>
      <c r="J93" s="10">
        <v>0.6804558448327932</v>
      </c>
    </row>
    <row r="94" spans="1:10">
      <c r="A94" s="7" t="s">
        <v>321</v>
      </c>
      <c r="B94" s="8" t="str">
        <f>HYPERLINK("http://asia.ensembl.org/Mus_musculus/Transcript/Summary?t=ENSMUST00000181098","ENSMUST00000181098")</f>
        <v>ENSMUST00000181098</v>
      </c>
      <c r="C94" s="8" t="str">
        <f>HYPERLINK("http://www.informatics.jax.org/marker/","")</f>
        <v/>
      </c>
      <c r="D94" s="9" t="s">
        <v>162</v>
      </c>
      <c r="E94" s="10"/>
      <c r="F94" s="10">
        <v>52</v>
      </c>
      <c r="G94" s="10">
        <v>113</v>
      </c>
      <c r="H94" s="10">
        <v>7.2160254603581393</v>
      </c>
      <c r="I94" s="10">
        <v>11.560286793323762</v>
      </c>
      <c r="J94" s="10">
        <v>0.67990085538917722</v>
      </c>
    </row>
    <row r="95" spans="1:10">
      <c r="A95" s="7" t="s">
        <v>322</v>
      </c>
      <c r="B95" s="8" t="str">
        <f>HYPERLINK("http://asia.ensembl.org/Mus_musculus/Transcript/Summary?t=ENSMUST00000181501","ENSMUST00000181501")</f>
        <v>ENSMUST00000181501</v>
      </c>
      <c r="C95" s="8" t="str">
        <f>HYPERLINK("http://www.informatics.jax.org/marker/","")</f>
        <v/>
      </c>
      <c r="D95" s="9" t="s">
        <v>12</v>
      </c>
      <c r="E95" s="10"/>
      <c r="F95" s="10">
        <v>80</v>
      </c>
      <c r="G95" s="10">
        <v>173</v>
      </c>
      <c r="H95" s="10">
        <v>11.101577631320215</v>
      </c>
      <c r="I95" s="10">
        <v>17.69849217030983</v>
      </c>
      <c r="J95" s="10">
        <v>0.67286174386444397</v>
      </c>
    </row>
    <row r="96" spans="1:10">
      <c r="A96" s="7" t="s">
        <v>323</v>
      </c>
      <c r="B96" s="8" t="str">
        <f>HYPERLINK("http://asia.ensembl.org/Mus_musculus/Transcript/Summary?t=ENSMUST00000159117","ENSMUST00000159117")</f>
        <v>ENSMUST00000159117</v>
      </c>
      <c r="C96" s="8" t="str">
        <f>HYPERLINK("http://www.informatics.jax.org/marker/MGI:4415006","MGI:4415006")</f>
        <v>MGI:4415006</v>
      </c>
      <c r="D96" s="9" t="s">
        <v>31</v>
      </c>
      <c r="E96" s="9" t="s">
        <v>32</v>
      </c>
      <c r="F96" s="10">
        <v>73</v>
      </c>
      <c r="G96" s="10">
        <v>157</v>
      </c>
      <c r="H96" s="10">
        <v>10.130189588579695</v>
      </c>
      <c r="I96" s="10">
        <v>16.061637403113544</v>
      </c>
      <c r="J96" s="10">
        <v>0.66495780112669134</v>
      </c>
    </row>
    <row r="97" spans="1:10">
      <c r="A97" s="7" t="s">
        <v>324</v>
      </c>
      <c r="B97" s="8" t="str">
        <f>HYPERLINK("http://asia.ensembl.org/Mus_musculus/Transcript/Summary?t=ENSMUST00000181580","ENSMUST00000181580")</f>
        <v>ENSMUST00000181580</v>
      </c>
      <c r="C97" s="8" t="str">
        <f>HYPERLINK("http://www.informatics.jax.org/marker/","")</f>
        <v/>
      </c>
      <c r="D97" s="9" t="s">
        <v>70</v>
      </c>
      <c r="E97" s="10"/>
      <c r="F97" s="10">
        <v>82</v>
      </c>
      <c r="G97" s="10">
        <v>173</v>
      </c>
      <c r="H97" s="10">
        <v>11.37911707210322</v>
      </c>
      <c r="I97" s="10">
        <v>17.69849217030983</v>
      </c>
      <c r="J97" s="10">
        <v>0.63723783413372259</v>
      </c>
    </row>
    <row r="98" spans="1:10">
      <c r="A98" s="7" t="s">
        <v>325</v>
      </c>
      <c r="B98" s="8" t="str">
        <f>HYPERLINK("http://asia.ensembl.org/Mus_musculus/Transcript/Summary?t=ENSMUST00000180666","ENSMUST00000180666")</f>
        <v>ENSMUST00000180666</v>
      </c>
      <c r="C98" s="8" t="str">
        <f>HYPERLINK("http://www.informatics.jax.org/marker/","")</f>
        <v/>
      </c>
      <c r="D98" s="9" t="s">
        <v>123</v>
      </c>
      <c r="E98" s="10"/>
      <c r="F98" s="10">
        <v>194</v>
      </c>
      <c r="G98" s="10">
        <v>408</v>
      </c>
      <c r="H98" s="10">
        <v>26.921325755951518</v>
      </c>
      <c r="I98" s="10">
        <v>41.739796563505259</v>
      </c>
      <c r="J98" s="10">
        <v>0.63267411089944958</v>
      </c>
    </row>
    <row r="99" spans="1:10">
      <c r="A99" s="7" t="s">
        <v>326</v>
      </c>
      <c r="B99" s="8" t="str">
        <f>HYPERLINK("http://asia.ensembl.org/Mus_musculus/Transcript/Summary?t=ENSMUST00000180864","ENSMUST00000180864")</f>
        <v>ENSMUST00000180864</v>
      </c>
      <c r="C99" s="8" t="str">
        <f>HYPERLINK("http://www.informatics.jax.org/marker/","")</f>
        <v/>
      </c>
      <c r="D99" s="9" t="s">
        <v>153</v>
      </c>
      <c r="E99" s="10"/>
      <c r="F99" s="10">
        <v>68</v>
      </c>
      <c r="G99" s="10">
        <v>143</v>
      </c>
      <c r="H99" s="10">
        <v>9.4363409866221826</v>
      </c>
      <c r="I99" s="10">
        <v>14.629389481816794</v>
      </c>
      <c r="J99" s="10">
        <v>0.63257010664313151</v>
      </c>
    </row>
    <row r="100" spans="1:10">
      <c r="A100" s="7" t="s">
        <v>327</v>
      </c>
      <c r="B100" s="8" t="str">
        <f>HYPERLINK("http://asia.ensembl.org/Mus_musculus/Transcript/Summary?t=ENSMUST00000168646","ENSMUST00000168646")</f>
        <v>ENSMUST00000168646</v>
      </c>
      <c r="C100" s="8" t="str">
        <f>HYPERLINK("http://www.informatics.jax.org/marker/MGI:2441921","MGI:2441921")</f>
        <v>MGI:2441921</v>
      </c>
      <c r="D100" s="9" t="s">
        <v>197</v>
      </c>
      <c r="E100" s="9" t="s">
        <v>198</v>
      </c>
      <c r="F100" s="10">
        <v>86</v>
      </c>
      <c r="G100" s="10">
        <v>180</v>
      </c>
      <c r="H100" s="10">
        <v>11.93419595366923</v>
      </c>
      <c r="I100" s="10">
        <v>18.414616130958205</v>
      </c>
      <c r="J100" s="10">
        <v>0.62574995274265865</v>
      </c>
    </row>
    <row r="101" spans="1:10">
      <c r="A101" s="7" t="s">
        <v>328</v>
      </c>
      <c r="B101" s="8" t="str">
        <f>HYPERLINK("http://asia.ensembl.org/Mus_musculus/Transcript/Summary?t=ENSMUST00000101833","ENSMUST00000101833")</f>
        <v>ENSMUST00000101833</v>
      </c>
      <c r="C101" s="8" t="str">
        <f>HYPERLINK("http://www.informatics.jax.org/marker/MGI:5454042","MGI:5454042")</f>
        <v>MGI:5454042</v>
      </c>
      <c r="D101" s="9" t="s">
        <v>201</v>
      </c>
      <c r="E101" s="9" t="s">
        <v>202</v>
      </c>
      <c r="F101" s="10">
        <v>1406</v>
      </c>
      <c r="G101" s="10">
        <v>2941</v>
      </c>
      <c r="H101" s="10">
        <v>195.11022687045278</v>
      </c>
      <c r="I101" s="10">
        <v>300.87436689526709</v>
      </c>
      <c r="J101" s="10">
        <v>0.62487180092961014</v>
      </c>
    </row>
    <row r="102" spans="1:10">
      <c r="A102" s="7" t="s">
        <v>329</v>
      </c>
      <c r="B102" s="8" t="str">
        <f>HYPERLINK("http://asia.ensembl.org/Mus_musculus/Transcript/Summary?t=ENSMUST00000025463","ENSMUST00000025463")</f>
        <v>ENSMUST00000025463</v>
      </c>
      <c r="C102" s="8" t="str">
        <f>HYPERLINK("http://www.informatics.jax.org/marker/MGI:3833940","MGI:3833940")</f>
        <v>MGI:3833940</v>
      </c>
      <c r="D102" s="9" t="s">
        <v>27</v>
      </c>
      <c r="E102" s="9" t="s">
        <v>28</v>
      </c>
      <c r="F102" s="10">
        <v>78</v>
      </c>
      <c r="G102" s="10">
        <v>163</v>
      </c>
      <c r="H102" s="10">
        <v>10.824038190537209</v>
      </c>
      <c r="I102" s="10">
        <v>16.675457940812151</v>
      </c>
      <c r="J102" s="10">
        <v>0.6234875464839108</v>
      </c>
    </row>
    <row r="103" spans="1:10">
      <c r="A103" s="7" t="s">
        <v>330</v>
      </c>
      <c r="B103" s="8" t="str">
        <f>HYPERLINK("http://asia.ensembl.org/Mus_musculus/Transcript/Summary?t=ENSMUST00000173847","ENSMUST00000173847")</f>
        <v>ENSMUST00000173847</v>
      </c>
      <c r="C103" s="8" t="str">
        <f>HYPERLINK("http://www.informatics.jax.org/marker/MGI:5141913","MGI:5141913")</f>
        <v>MGI:5141913</v>
      </c>
      <c r="D103" s="9" t="s">
        <v>133</v>
      </c>
      <c r="E103" s="9" t="s">
        <v>134</v>
      </c>
      <c r="F103" s="10">
        <v>57</v>
      </c>
      <c r="G103" s="10">
        <v>119</v>
      </c>
      <c r="H103" s="10">
        <v>7.9098740623156525</v>
      </c>
      <c r="I103" s="10">
        <v>12.174107331022368</v>
      </c>
      <c r="J103" s="10">
        <v>0.62208936025828343</v>
      </c>
    </row>
    <row r="104" spans="1:10">
      <c r="A104" s="7" t="s">
        <v>331</v>
      </c>
      <c r="B104" s="8" t="str">
        <f>HYPERLINK("http://asia.ensembl.org/Mus_musculus/Transcript/Summary?t=ENSMUST00000180958","ENSMUST00000180958")</f>
        <v>ENSMUST00000180958</v>
      </c>
      <c r="C104" s="8" t="str">
        <f>HYPERLINK("http://www.informatics.jax.org/marker/","")</f>
        <v/>
      </c>
      <c r="D104" s="9" t="s">
        <v>157</v>
      </c>
      <c r="E104" s="10"/>
      <c r="F104" s="10">
        <v>85</v>
      </c>
      <c r="G104" s="10">
        <v>177</v>
      </c>
      <c r="H104" s="10">
        <v>11.795426233277727</v>
      </c>
      <c r="I104" s="10">
        <v>18.107705862108901</v>
      </c>
      <c r="J104" s="10">
        <v>0.61837622506037737</v>
      </c>
    </row>
    <row r="105" spans="1:10">
      <c r="A105" s="7" t="s">
        <v>332</v>
      </c>
      <c r="B105" s="8" t="str">
        <f>HYPERLINK("http://asia.ensembl.org/Mus_musculus/Transcript/Summary?t=ENSMUST00000181170","ENSMUST00000181170")</f>
        <v>ENSMUST00000181170</v>
      </c>
      <c r="C105" s="8" t="str">
        <f>HYPERLINK("http://www.informatics.jax.org/marker/MGI:3702496","MGI:3702496")</f>
        <v>MGI:3702496</v>
      </c>
      <c r="D105" s="9" t="s">
        <v>225</v>
      </c>
      <c r="E105" s="9" t="s">
        <v>226</v>
      </c>
      <c r="F105" s="10">
        <v>49</v>
      </c>
      <c r="G105" s="10">
        <v>102</v>
      </c>
      <c r="H105" s="10">
        <v>6.7997162991836309</v>
      </c>
      <c r="I105" s="10">
        <v>10.434949140876315</v>
      </c>
      <c r="J105" s="10">
        <v>0.61787710897136905</v>
      </c>
    </row>
    <row r="106" spans="1:10">
      <c r="A106" s="7" t="s">
        <v>333</v>
      </c>
      <c r="B106" s="8" t="str">
        <f>HYPERLINK("http://asia.ensembl.org/Mus_musculus/Transcript/Summary?t=ENSMUST00000181775","ENSMUST00000181775")</f>
        <v>ENSMUST00000181775</v>
      </c>
      <c r="C106" s="8" t="str">
        <f>HYPERLINK("http://www.informatics.jax.org/marker/","")</f>
        <v/>
      </c>
      <c r="D106" s="9" t="s">
        <v>163</v>
      </c>
      <c r="E106" s="10"/>
      <c r="F106" s="10">
        <v>68</v>
      </c>
      <c r="G106" s="10">
        <v>141</v>
      </c>
      <c r="H106" s="10">
        <v>9.4363409866221826</v>
      </c>
      <c r="I106" s="10">
        <v>14.424782635917259</v>
      </c>
      <c r="J106" s="10">
        <v>0.61225012226353559</v>
      </c>
    </row>
    <row r="107" spans="1:10">
      <c r="A107" s="7" t="s">
        <v>334</v>
      </c>
      <c r="B107" s="8" t="str">
        <f>HYPERLINK("http://asia.ensembl.org/Mus_musculus/Transcript/Summary?t=ENSMUST00000181045","ENSMUST00000181045")</f>
        <v>ENSMUST00000181045</v>
      </c>
      <c r="C107" s="8" t="str">
        <f>HYPERLINK("http://www.informatics.jax.org/marker/","")</f>
        <v/>
      </c>
      <c r="D107" s="9" t="s">
        <v>110</v>
      </c>
      <c r="E107" s="10"/>
      <c r="F107" s="10">
        <v>142</v>
      </c>
      <c r="G107" s="10">
        <v>293</v>
      </c>
      <c r="H107" s="10">
        <v>19.705300295593378</v>
      </c>
      <c r="I107" s="10">
        <v>29.974902924281963</v>
      </c>
      <c r="J107" s="10">
        <v>0.60517134603264755</v>
      </c>
    </row>
    <row r="108" spans="1:10">
      <c r="A108" s="7" t="s">
        <v>335</v>
      </c>
      <c r="B108" s="8" t="str">
        <f>HYPERLINK("http://asia.ensembl.org/Mus_musculus/Transcript/Summary?t=ENSMUST00000180852","ENSMUST00000180852")</f>
        <v>ENSMUST00000180852</v>
      </c>
      <c r="C108" s="8" t="str">
        <f>HYPERLINK("http://www.informatics.jax.org/marker/","")</f>
        <v/>
      </c>
      <c r="D108" s="9" t="s">
        <v>104</v>
      </c>
      <c r="E108" s="10"/>
      <c r="F108" s="10">
        <v>74</v>
      </c>
      <c r="G108" s="10">
        <v>152</v>
      </c>
      <c r="H108" s="10">
        <v>10.268959308971198</v>
      </c>
      <c r="I108" s="10">
        <v>15.550120288364706</v>
      </c>
      <c r="J108" s="10">
        <v>0.59863575892971754</v>
      </c>
    </row>
    <row r="109" spans="1:10">
      <c r="A109" s="7" t="s">
        <v>336</v>
      </c>
      <c r="B109" s="8" t="str">
        <f>HYPERLINK("http://asia.ensembl.org/Mus_musculus/Transcript/Summary?t=ENSMUST00000153581","ENSMUST00000153581")</f>
        <v>ENSMUST00000153581</v>
      </c>
      <c r="C109" s="8" t="str">
        <f>HYPERLINK("http://www.informatics.jax.org/marker/MGI:1913852","MGI:1913852")</f>
        <v>MGI:1913852</v>
      </c>
      <c r="D109" s="9" t="s">
        <v>115</v>
      </c>
      <c r="E109" s="9" t="s">
        <v>116</v>
      </c>
      <c r="F109" s="10">
        <v>131</v>
      </c>
      <c r="G109" s="10">
        <v>269</v>
      </c>
      <c r="H109" s="10">
        <v>18.178833371286849</v>
      </c>
      <c r="I109" s="10">
        <v>27.519620773487539</v>
      </c>
      <c r="J109" s="10">
        <v>0.59820097213425572</v>
      </c>
    </row>
    <row r="110" spans="1:10">
      <c r="A110" s="7" t="s">
        <v>337</v>
      </c>
      <c r="B110" s="8" t="str">
        <f>HYPERLINK("http://asia.ensembl.org/Mus_musculus/Transcript/Summary?t=ENSMUST00000083103","ENSMUST00000083103")</f>
        <v>ENSMUST00000083103</v>
      </c>
      <c r="C110" s="8" t="str">
        <f>HYPERLINK("http://www.informatics.jax.org/marker/MGI:103186","MGI:103186")</f>
        <v>MGI:103186</v>
      </c>
      <c r="D110" s="9" t="s">
        <v>139</v>
      </c>
      <c r="E110" s="9" t="s">
        <v>140</v>
      </c>
      <c r="F110" s="10">
        <v>23145</v>
      </c>
      <c r="G110" s="10">
        <v>47517</v>
      </c>
      <c r="H110" s="10">
        <v>3211.8251784613294</v>
      </c>
      <c r="I110" s="10">
        <v>4861.1517483041162</v>
      </c>
      <c r="J110" s="10">
        <v>0.59790480251648015</v>
      </c>
    </row>
    <row r="111" spans="1:10">
      <c r="A111" s="7" t="s">
        <v>338</v>
      </c>
      <c r="B111" s="8" t="str">
        <f>HYPERLINK("http://asia.ensembl.org/Mus_musculus/Transcript/Summary?t=ENSMUST00000131801","ENSMUST00000131801")</f>
        <v>ENSMUST00000131801</v>
      </c>
      <c r="C111" s="8" t="str">
        <f>HYPERLINK("http://www.informatics.jax.org/marker/MGI:3649403","MGI:3649403")</f>
        <v>MGI:3649403</v>
      </c>
      <c r="D111" s="9" t="s">
        <v>119</v>
      </c>
      <c r="E111" s="9" t="s">
        <v>120</v>
      </c>
      <c r="F111" s="10">
        <v>69</v>
      </c>
      <c r="G111" s="10">
        <v>141</v>
      </c>
      <c r="H111" s="10">
        <v>9.5751107070136854</v>
      </c>
      <c r="I111" s="10">
        <v>14.424782635917259</v>
      </c>
      <c r="J111" s="10">
        <v>0.591188506735706</v>
      </c>
    </row>
    <row r="112" spans="1:10">
      <c r="A112" s="7" t="s">
        <v>339</v>
      </c>
      <c r="B112" s="8" t="str">
        <f>HYPERLINK("http://asia.ensembl.org/Mus_musculus/Transcript/Summary?t=ENSMUST00000181248","ENSMUST00000181248")</f>
        <v>ENSMUST00000181248</v>
      </c>
      <c r="C112" s="8" t="str">
        <f>HYPERLINK("http://www.informatics.jax.org/marker/","")</f>
        <v/>
      </c>
      <c r="D112" s="9" t="s">
        <v>173</v>
      </c>
      <c r="E112" s="10"/>
      <c r="F112" s="10">
        <v>71</v>
      </c>
      <c r="G112" s="10">
        <v>145</v>
      </c>
      <c r="H112" s="10">
        <v>9.8526501477966892</v>
      </c>
      <c r="I112" s="10">
        <v>14.833996327716331</v>
      </c>
      <c r="J112" s="10">
        <v>0.59032358162533427</v>
      </c>
    </row>
    <row r="113" spans="1:10">
      <c r="A113" s="7" t="s">
        <v>340</v>
      </c>
      <c r="B113" s="8" t="str">
        <f>HYPERLINK("http://asia.ensembl.org/Mus_musculus/Transcript/Summary?t=ENSMUST00000175460","ENSMUST00000175460")</f>
        <v>ENSMUST00000175460</v>
      </c>
      <c r="C113" s="8" t="str">
        <f>HYPERLINK("http://www.informatics.jax.org/marker/MGI:5452186","MGI:5452186")</f>
        <v>MGI:5452186</v>
      </c>
      <c r="D113" s="9" t="s">
        <v>128</v>
      </c>
      <c r="E113" s="9" t="s">
        <v>129</v>
      </c>
      <c r="F113" s="10">
        <v>99</v>
      </c>
      <c r="G113" s="10">
        <v>202</v>
      </c>
      <c r="H113" s="10">
        <v>13.738202318758765</v>
      </c>
      <c r="I113" s="10">
        <v>20.665291435853096</v>
      </c>
      <c r="J113" s="10">
        <v>0.58901647378726685</v>
      </c>
    </row>
    <row r="114" spans="1:10">
      <c r="A114" s="7" t="s">
        <v>341</v>
      </c>
      <c r="B114" s="8" t="str">
        <f>HYPERLINK("http://asia.ensembl.org/Mus_musculus/Transcript/Summary?t=ENSMUST00000175425","ENSMUST00000175425")</f>
        <v>ENSMUST00000175425</v>
      </c>
      <c r="C114" s="8" t="str">
        <f>HYPERLINK("http://www.informatics.jax.org/marker/MGI:5451959","MGI:5451959")</f>
        <v>MGI:5451959</v>
      </c>
      <c r="D114" s="9" t="s">
        <v>95</v>
      </c>
      <c r="E114" s="9" t="s">
        <v>96</v>
      </c>
      <c r="F114" s="10">
        <v>124</v>
      </c>
      <c r="G114" s="10">
        <v>253</v>
      </c>
      <c r="H114" s="10">
        <v>17.207445328546331</v>
      </c>
      <c r="I114" s="10">
        <v>25.882766006291252</v>
      </c>
      <c r="J114" s="10">
        <v>0.58895887542251657</v>
      </c>
    </row>
    <row r="115" spans="1:10">
      <c r="A115" s="7" t="s">
        <v>342</v>
      </c>
      <c r="B115" s="8" t="str">
        <f>HYPERLINK("http://asia.ensembl.org/Mus_musculus/Transcript/Summary?t=ENSMUST00000157560","ENSMUST00000157560")</f>
        <v>ENSMUST00000157560</v>
      </c>
      <c r="C115" s="8" t="str">
        <f>HYPERLINK("http://www.informatics.jax.org/marker/MGI:3819484","MGI:3819484")</f>
        <v>MGI:3819484</v>
      </c>
      <c r="D115" s="9" t="s">
        <v>71</v>
      </c>
      <c r="E115" s="9" t="s">
        <v>72</v>
      </c>
      <c r="F115" s="10">
        <v>355</v>
      </c>
      <c r="G115" s="10">
        <v>724</v>
      </c>
      <c r="H115" s="10">
        <v>49.263250738983452</v>
      </c>
      <c r="I115" s="10">
        <v>74.067678215631886</v>
      </c>
      <c r="J115" s="10">
        <v>0.58833228380624247</v>
      </c>
    </row>
    <row r="116" spans="1:10">
      <c r="A116" s="7" t="s">
        <v>343</v>
      </c>
      <c r="B116" s="8" t="str">
        <f>HYPERLINK("http://asia.ensembl.org/Mus_musculus/Transcript/Summary?t=ENSMUST00000090043","ENSMUST00000090043")</f>
        <v>ENSMUST00000090043</v>
      </c>
      <c r="C116" s="8" t="str">
        <f>HYPERLINK("http://www.informatics.jax.org/marker/MGI:3708663","MGI:3708663")</f>
        <v>MGI:3708663</v>
      </c>
      <c r="D116" s="9" t="s">
        <v>205</v>
      </c>
      <c r="E116" s="9" t="s">
        <v>206</v>
      </c>
      <c r="F116" s="10">
        <v>306</v>
      </c>
      <c r="G116" s="10">
        <v>623</v>
      </c>
      <c r="H116" s="10">
        <v>42.463534439799822</v>
      </c>
      <c r="I116" s="10">
        <v>63.73503249770534</v>
      </c>
      <c r="J116" s="10">
        <v>0.58586212144643157</v>
      </c>
    </row>
    <row r="117" spans="1:10">
      <c r="A117" s="7" t="s">
        <v>344</v>
      </c>
      <c r="B117" s="8" t="str">
        <f>HYPERLINK("http://asia.ensembl.org/Mus_musculus/Transcript/Summary?t=ENSMUST00000181739","ENSMUST00000181739")</f>
        <v>ENSMUST00000181739</v>
      </c>
      <c r="C117" s="8" t="str">
        <f>HYPERLINK("http://www.informatics.jax.org/marker/","")</f>
        <v/>
      </c>
      <c r="D117" s="9" t="s">
        <v>154</v>
      </c>
      <c r="E117" s="10"/>
      <c r="F117" s="10">
        <v>51</v>
      </c>
      <c r="G117" s="10">
        <v>103</v>
      </c>
      <c r="H117" s="10">
        <v>7.0772557399666365</v>
      </c>
      <c r="I117" s="10">
        <v>10.537252563826083</v>
      </c>
      <c r="J117" s="10">
        <v>0.57423679632680447</v>
      </c>
    </row>
    <row r="118" spans="1:10">
      <c r="A118" s="7" t="s">
        <v>345</v>
      </c>
      <c r="B118" s="8" t="str">
        <f>HYPERLINK("http://asia.ensembl.org/Mus_musculus/Transcript/Summary?t=ENSMUST00000082864","ENSMUST00000082864")</f>
        <v>ENSMUST00000082864</v>
      </c>
      <c r="C118" s="8" t="str">
        <f>HYPERLINK("http://www.informatics.jax.org/marker/MGI:4422058","MGI:4422058")</f>
        <v>MGI:4422058</v>
      </c>
      <c r="D118" s="9" t="s">
        <v>221</v>
      </c>
      <c r="E118" s="9" t="s">
        <v>222</v>
      </c>
      <c r="F118" s="10">
        <v>113</v>
      </c>
      <c r="G118" s="10">
        <v>228</v>
      </c>
      <c r="H118" s="10">
        <v>15.680978404239802</v>
      </c>
      <c r="I118" s="10">
        <v>23.325180432547057</v>
      </c>
      <c r="J118" s="10">
        <v>0.57287266286463545</v>
      </c>
    </row>
    <row r="119" spans="1:10">
      <c r="A119" s="7" t="s">
        <v>346</v>
      </c>
      <c r="B119" s="8" t="str">
        <f>HYPERLINK("http://asia.ensembl.org/Mus_musculus/Transcript/Summary?t=ENSMUST00000181842","ENSMUST00000181842")</f>
        <v>ENSMUST00000181842</v>
      </c>
      <c r="C119" s="8" t="str">
        <f>HYPERLINK("http://www.informatics.jax.org/marker/","")</f>
        <v/>
      </c>
      <c r="D119" s="9" t="s">
        <v>43</v>
      </c>
      <c r="E119" s="10"/>
      <c r="F119" s="10">
        <v>61</v>
      </c>
      <c r="G119" s="10">
        <v>123</v>
      </c>
      <c r="H119" s="10">
        <v>8.4649529438816629</v>
      </c>
      <c r="I119" s="10">
        <v>12.583321022821439</v>
      </c>
      <c r="J119" s="10">
        <v>0.5719387788914353</v>
      </c>
    </row>
    <row r="120" spans="1:10">
      <c r="A120" s="7" t="s">
        <v>347</v>
      </c>
      <c r="B120" s="8" t="str">
        <f>HYPERLINK("http://asia.ensembl.org/Mus_musculus/Transcript/Summary?t=ENSMUST00000092138","ENSMUST00000092138")</f>
        <v>ENSMUST00000092138</v>
      </c>
      <c r="C120" s="8" t="str">
        <f>HYPERLINK("http://www.informatics.jax.org/marker/MGI:5433933","MGI:5433933")</f>
        <v>MGI:5433933</v>
      </c>
      <c r="D120" s="9" t="s">
        <v>52</v>
      </c>
      <c r="E120" s="9" t="s">
        <v>53</v>
      </c>
      <c r="F120" s="10">
        <v>365</v>
      </c>
      <c r="G120" s="10">
        <v>735</v>
      </c>
      <c r="H120" s="10">
        <v>50.650947942898476</v>
      </c>
      <c r="I120" s="10">
        <v>75.193015868079328</v>
      </c>
      <c r="J120" s="10">
        <v>0.57000939707142884</v>
      </c>
    </row>
    <row r="121" spans="1:10">
      <c r="A121" s="7" t="s">
        <v>348</v>
      </c>
      <c r="B121" s="8" t="str">
        <f>HYPERLINK("http://asia.ensembl.org/Mus_musculus/Transcript/Summary?t=ENSMUST00000181482","ENSMUST00000181482")</f>
        <v>ENSMUST00000181482</v>
      </c>
      <c r="C121" s="8" t="str">
        <f>HYPERLINK("http://www.informatics.jax.org/marker/","")</f>
        <v/>
      </c>
      <c r="D121" s="9" t="s">
        <v>174</v>
      </c>
      <c r="E121" s="10"/>
      <c r="F121" s="10">
        <v>223</v>
      </c>
      <c r="G121" s="10">
        <v>446</v>
      </c>
      <c r="H121" s="10">
        <v>30.945647647305098</v>
      </c>
      <c r="I121" s="10">
        <v>45.62732663559644</v>
      </c>
      <c r="J121" s="10">
        <v>0.56016161111508156</v>
      </c>
    </row>
    <row r="122" spans="1:10">
      <c r="A122" s="7" t="s">
        <v>349</v>
      </c>
      <c r="B122" s="8" t="str">
        <f>HYPERLINK("http://asia.ensembl.org/Mus_musculus/Transcript/Summary?t=ENSMUST00000076791","ENSMUST00000076791")</f>
        <v>ENSMUST00000076791</v>
      </c>
      <c r="C122" s="8" t="str">
        <f>HYPERLINK("http://www.informatics.jax.org/marker/MGI:1924293","MGI:1924293")</f>
        <v>MGI:1924293</v>
      </c>
      <c r="D122" s="9" t="s">
        <v>217</v>
      </c>
      <c r="E122" s="9" t="s">
        <v>218</v>
      </c>
      <c r="F122" s="10">
        <v>86</v>
      </c>
      <c r="G122" s="10">
        <v>172</v>
      </c>
      <c r="H122" s="10">
        <v>11.93419595366923</v>
      </c>
      <c r="I122" s="10">
        <v>17.59618874736006</v>
      </c>
      <c r="J122" s="10">
        <v>0.56016161111508156</v>
      </c>
    </row>
    <row r="123" spans="1:10">
      <c r="A123" s="7" t="s">
        <v>350</v>
      </c>
      <c r="B123" s="8" t="str">
        <f>HYPERLINK("http://asia.ensembl.org/Mus_musculus/Transcript/Summary?t=ENSMUST00000181885","ENSMUST00000181885")</f>
        <v>ENSMUST00000181885</v>
      </c>
      <c r="C123" s="8" t="str">
        <f>HYPERLINK("http://www.informatics.jax.org/marker/","")</f>
        <v/>
      </c>
      <c r="D123" s="9" t="s">
        <v>189</v>
      </c>
      <c r="E123" s="10"/>
      <c r="F123" s="10">
        <v>80</v>
      </c>
      <c r="G123" s="10">
        <v>160</v>
      </c>
      <c r="H123" s="10">
        <v>11.101577631320215</v>
      </c>
      <c r="I123" s="10">
        <v>16.368547671962848</v>
      </c>
      <c r="J123" s="10">
        <v>0.56016161111508156</v>
      </c>
    </row>
    <row r="124" spans="1:10">
      <c r="A124" s="7" t="s">
        <v>351</v>
      </c>
      <c r="B124" s="8" t="str">
        <f>HYPERLINK("http://asia.ensembl.org/Mus_musculus/Transcript/Summary?t=ENSMUST00000147198","ENSMUST00000147198")</f>
        <v>ENSMUST00000147198</v>
      </c>
      <c r="C124" s="8" t="str">
        <f>HYPERLINK("http://www.informatics.jax.org/marker/MGI:1915436","MGI:1915436")</f>
        <v>MGI:1915436</v>
      </c>
      <c r="D124" s="9" t="s">
        <v>46</v>
      </c>
      <c r="E124" s="9" t="s">
        <v>47</v>
      </c>
      <c r="F124" s="10">
        <v>50</v>
      </c>
      <c r="G124" s="10">
        <v>100</v>
      </c>
      <c r="H124" s="10">
        <v>6.9384860195751337</v>
      </c>
      <c r="I124" s="10">
        <v>10.230342294976779</v>
      </c>
      <c r="J124" s="10">
        <v>0.56016161111508156</v>
      </c>
    </row>
    <row r="125" spans="1:10">
      <c r="A125" s="7" t="s">
        <v>352</v>
      </c>
      <c r="B125" s="8" t="str">
        <f>HYPERLINK("http://asia.ensembl.org/Mus_musculus/Transcript/Summary?t=ENSMUST00000158050","ENSMUST00000158050")</f>
        <v>ENSMUST00000158050</v>
      </c>
      <c r="C125" s="8" t="str">
        <f>HYPERLINK("http://www.informatics.jax.org/marker/MGI:105105","MGI:105105")</f>
        <v>MGI:105105</v>
      </c>
      <c r="D125" s="9" t="s">
        <v>219</v>
      </c>
      <c r="E125" s="9" t="s">
        <v>220</v>
      </c>
      <c r="F125" s="10">
        <v>159</v>
      </c>
      <c r="G125" s="10">
        <v>317</v>
      </c>
      <c r="H125" s="10">
        <v>22.064385542248925</v>
      </c>
      <c r="I125" s="10">
        <v>32.430185075076395</v>
      </c>
      <c r="J125" s="10">
        <v>0.55561768597013372</v>
      </c>
    </row>
    <row r="126" spans="1:10">
      <c r="A126" s="7" t="s">
        <v>353</v>
      </c>
      <c r="B126" s="8" t="str">
        <f>HYPERLINK("http://asia.ensembl.org/Mus_musculus/Transcript/Summary?t=ENSMUST00000178920","ENSMUST00000178920")</f>
        <v>ENSMUST00000178920</v>
      </c>
      <c r="C126" s="8" t="str">
        <f>HYPERLINK("http://www.informatics.jax.org/marker/MGI:5433945","MGI:5433945")</f>
        <v>MGI:5433945</v>
      </c>
      <c r="D126" s="9" t="s">
        <v>15</v>
      </c>
      <c r="E126" s="9" t="s">
        <v>16</v>
      </c>
      <c r="F126" s="10">
        <v>78</v>
      </c>
      <c r="G126" s="10">
        <v>155</v>
      </c>
      <c r="H126" s="10">
        <v>10.824038190537209</v>
      </c>
      <c r="I126" s="10">
        <v>15.857030557214008</v>
      </c>
      <c r="J126" s="10">
        <v>0.55088379752707084</v>
      </c>
    </row>
    <row r="127" spans="1:10">
      <c r="A127" s="7" t="s">
        <v>354</v>
      </c>
      <c r="B127" s="8" t="str">
        <f>HYPERLINK("http://asia.ensembl.org/Mus_musculus/Transcript/Summary?t=ENSMUST00000175526","ENSMUST00000175526")</f>
        <v>ENSMUST00000175526</v>
      </c>
      <c r="C127" s="8" t="str">
        <f>HYPERLINK("http://www.informatics.jax.org/marker/MGI:5453195","MGI:5453195")</f>
        <v>MGI:5453195</v>
      </c>
      <c r="D127" s="9" t="s">
        <v>98</v>
      </c>
      <c r="E127" s="9" t="s">
        <v>99</v>
      </c>
      <c r="F127" s="10">
        <v>71</v>
      </c>
      <c r="G127" s="10">
        <v>141</v>
      </c>
      <c r="H127" s="10">
        <v>9.8526501477966892</v>
      </c>
      <c r="I127" s="10">
        <v>14.424782635917259</v>
      </c>
      <c r="J127" s="10">
        <v>0.54996584400919324</v>
      </c>
    </row>
    <row r="128" spans="1:10">
      <c r="A128" s="7" t="s">
        <v>355</v>
      </c>
      <c r="B128" s="8" t="str">
        <f>HYPERLINK("http://asia.ensembl.org/Mus_musculus/Transcript/Summary?t=ENSMUST00000172812","ENSMUST00000172812")</f>
        <v>ENSMUST00000172812</v>
      </c>
      <c r="C128" s="8" t="str">
        <f>HYPERLINK("http://www.informatics.jax.org/marker/MGI:1919539","MGI:1919539")</f>
        <v>MGI:1919539</v>
      </c>
      <c r="D128" s="9" t="s">
        <v>121</v>
      </c>
      <c r="E128" s="9" t="s">
        <v>122</v>
      </c>
      <c r="F128" s="10">
        <v>4303</v>
      </c>
      <c r="G128" s="10">
        <v>8544</v>
      </c>
      <c r="H128" s="10">
        <v>597.12610684463607</v>
      </c>
      <c r="I128" s="10">
        <v>874.08044568281605</v>
      </c>
      <c r="J128" s="10">
        <v>0.54973041785432553</v>
      </c>
    </row>
    <row r="129" spans="1:10">
      <c r="A129" s="7" t="s">
        <v>356</v>
      </c>
      <c r="B129" s="8" t="str">
        <f>HYPERLINK("http://asia.ensembl.org/Mus_musculus/Transcript/Summary?t=ENSMUST00000151240","ENSMUST00000151240")</f>
        <v>ENSMUST00000151240</v>
      </c>
      <c r="C129" s="8" t="str">
        <f>HYPERLINK("http://www.informatics.jax.org/marker/MGI:3709324","MGI:3709324")</f>
        <v>MGI:3709324</v>
      </c>
      <c r="D129" s="9" t="s">
        <v>44</v>
      </c>
      <c r="E129" s="9" t="s">
        <v>45</v>
      </c>
      <c r="F129" s="10">
        <v>436</v>
      </c>
      <c r="G129" s="10">
        <v>860</v>
      </c>
      <c r="H129" s="10">
        <v>60.503598090695164</v>
      </c>
      <c r="I129" s="10">
        <v>87.980943736800299</v>
      </c>
      <c r="J129" s="10">
        <v>0.54017013592761565</v>
      </c>
    </row>
    <row r="130" spans="1:10">
      <c r="A130" s="7" t="s">
        <v>357</v>
      </c>
      <c r="B130" s="8" t="str">
        <f>HYPERLINK("http://asia.ensembl.org/Mus_musculus/Transcript/Summary?t=ENSMUST00000177864","ENSMUST00000177864")</f>
        <v>ENSMUST00000177864</v>
      </c>
      <c r="C130" s="8" t="str">
        <f>HYPERLINK("http://www.informatics.jax.org/marker/MGI:5454184","MGI:5454184")</f>
        <v>MGI:5454184</v>
      </c>
      <c r="D130" s="9" t="s">
        <v>62</v>
      </c>
      <c r="E130" s="9" t="s">
        <v>63</v>
      </c>
      <c r="F130" s="10">
        <v>1367</v>
      </c>
      <c r="G130" s="10">
        <v>2670</v>
      </c>
      <c r="H130" s="10">
        <v>189.69820777518416</v>
      </c>
      <c r="I130" s="10">
        <v>273.15013927588001</v>
      </c>
      <c r="J130" s="10">
        <v>0.52598811008393787</v>
      </c>
    </row>
    <row r="131" spans="1:10">
      <c r="A131" s="7" t="s">
        <v>358</v>
      </c>
      <c r="B131" s="8" t="str">
        <f>HYPERLINK("http://asia.ensembl.org/Mus_musculus/Transcript/Summary?t=ENSMUST00000176366","ENSMUST00000176366")</f>
        <v>ENSMUST00000176366</v>
      </c>
      <c r="C131" s="8" t="str">
        <f>HYPERLINK("http://www.informatics.jax.org/marker/MGI:2444994","MGI:2444994")</f>
        <v>MGI:2444994</v>
      </c>
      <c r="D131" s="9" t="s">
        <v>131</v>
      </c>
      <c r="E131" s="9" t="s">
        <v>132</v>
      </c>
      <c r="F131" s="10">
        <v>83</v>
      </c>
      <c r="G131" s="10">
        <v>162</v>
      </c>
      <c r="H131" s="10">
        <v>11.517886792494723</v>
      </c>
      <c r="I131" s="10">
        <v>16.573154517862385</v>
      </c>
      <c r="J131" s="10">
        <v>0.52497218265278167</v>
      </c>
    </row>
    <row r="132" spans="1:10">
      <c r="A132" s="7" t="s">
        <v>359</v>
      </c>
      <c r="B132" s="8" t="str">
        <f>HYPERLINK("http://asia.ensembl.org/Mus_musculus/Transcript/Summary?t=ENSMUST00000064097","ENSMUST00000064097")</f>
        <v>ENSMUST00000064097</v>
      </c>
      <c r="C132" s="8" t="str">
        <f>HYPERLINK("http://www.informatics.jax.org/marker/MGI:2443206","MGI:2443206")</f>
        <v>MGI:2443206</v>
      </c>
      <c r="D132" s="9" t="s">
        <v>183</v>
      </c>
      <c r="E132" s="9" t="s">
        <v>184</v>
      </c>
      <c r="F132" s="10">
        <v>83</v>
      </c>
      <c r="G132" s="10">
        <v>160</v>
      </c>
      <c r="H132" s="10">
        <v>11.517886792494723</v>
      </c>
      <c r="I132" s="10">
        <v>16.368547671962848</v>
      </c>
      <c r="J132" s="10">
        <v>0.507050274655519</v>
      </c>
    </row>
    <row r="133" spans="1:10">
      <c r="A133" s="7" t="s">
        <v>360</v>
      </c>
      <c r="B133" s="8" t="str">
        <f>HYPERLINK("http://asia.ensembl.org/Mus_musculus/Transcript/Summary?t=ENSMUST00000171747","ENSMUST00000171747")</f>
        <v>ENSMUST00000171747</v>
      </c>
      <c r="C133" s="8" t="str">
        <f>HYPERLINK("http://www.informatics.jax.org/marker/MGI:3708526","MGI:3708526")</f>
        <v>MGI:3708526</v>
      </c>
      <c r="D133" s="9" t="s">
        <v>215</v>
      </c>
      <c r="E133" s="9" t="s">
        <v>216</v>
      </c>
      <c r="F133" s="10">
        <v>150</v>
      </c>
      <c r="G133" s="10">
        <v>288</v>
      </c>
      <c r="H133" s="10">
        <v>20.815458058725401</v>
      </c>
      <c r="I133" s="10">
        <v>29.463385809533126</v>
      </c>
      <c r="J133" s="10">
        <v>0.50126792206151316</v>
      </c>
    </row>
  </sheetData>
  <sortState ref="A1:OJ2600">
    <sortCondition descending="1" ref="J1:J2600"/>
  </sortState>
  <phoneticPr fontId="18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Hodaka Fujii</cp:lastModifiedBy>
  <dcterms:created xsi:type="dcterms:W3CDTF">2013-07-10T02:09:06Z</dcterms:created>
  <dcterms:modified xsi:type="dcterms:W3CDTF">2014-09-04T06:57:41Z</dcterms:modified>
</cp:coreProperties>
</file>