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8220" activeTab="0"/>
  </bookViews>
  <sheets>
    <sheet name="Supplemental Table 1 (ranked)" sheetId="1" r:id="rId1"/>
  </sheets>
  <definedNames/>
  <calcPr fullCalcOnLoad="1"/>
</workbook>
</file>

<file path=xl/sharedStrings.xml><?xml version="1.0" encoding="utf-8"?>
<sst xmlns="http://schemas.openxmlformats.org/spreadsheetml/2006/main" count="2008" uniqueCount="1148">
  <si>
    <t xml:space="preserve">86:2298.0 87:801.0 89:15564.0 90:1589.0 91:716.0 94:1.0 95:88.0 96:57.0 98:117.0 99:2083.0 100:4284.0 101:1399.0 102:470.0 103:872.0 104:10699.0 105:550.0 108:233.0 109:109.0 110:39.0 111:42.0 113:519.0 114:1023.0 115:5375.0 116:969.0 117:128.0 118:439.0 </t>
  </si>
  <si>
    <t>86:300.0 87:176.0 88:801.0 89:9536.0 90:728.0 91:534.0 94:275.0 95:17.0 96:3.0 97:309.0 98:13620.0 99:1973.0 100:5251.0 101:2519.0 102:2159.0 103:14686.0 104:1725.0 105:690.0 106:208.0 108:82.0 109:1.0 110:2960.0 111:175.0 112:225.0 113:354.0 114:1468.0 1</t>
  </si>
  <si>
    <t>86:2775.0 87:1232.0 88:314.0 89:512.0 92:2.0 93:4.0 94:14.0 99:7.0 100:22496.0 101:2806.0 102:1248.0 103:1570.0 104:214.0 105:567.0 107:24.0 108:5.0 109:7.0 114:3170.0 115:3935.0 116:937.0 117:3696.0 118:495.0 119:810.0 120:83.0 121:67.0 123:32.0 125:17.0</t>
  </si>
  <si>
    <t>85:2147.0 86:2141.0 87:567.0 88:775.0 89:1017.0 90:434.0 91:2249.0 92:209.0 93:122.0 94:271.0 95:126.0 96:531.0 97:268.0 98:968.0 99:8157.0 100:4450.0 101:1270.0 102:505.0 103:2499.0 104:1372.0 105:114.0 106:56.0 107:205.0 108:205.0 109:237.0 110:2168.0 1</t>
  </si>
  <si>
    <t>85:704.0 86:17.0 88:21.0 89:108.0 91:875.0 93:68.0 94:2.0 95:23.0 96:80.0 99:210.0 103:85.0 105:616.0 106:37.0 107:156.0 112:30.0 114:17.0 115:383.0 116:138.0 117:268.0 118:66.0 119:852.0 120:26.0 121:198.0 122:8.0 123:7.0 124:17.0 125:54.0 126:32.0 127:1</t>
  </si>
  <si>
    <t>85:90.0 86:671.0 87:261.0 89:194.0 90:44.0 91:115.0 92:80.0 96:35.0 98:135.0 99:383.0 100:677.0 101:353.0 102:554.0 103:1655.0 104:150.0 105:96.0 107:306.0 108:26.0 110:72.0 112:330.0 113:278.0 114:124.0 115:194.0 116:85.0 119:254.0 120:46.0 123:4.0 125:3</t>
  </si>
  <si>
    <t>85:286.0 86:933.0 87:676.0 88:518.0 89:66.0 90:104.0 91:643.0 92:355.0 93:168.0 94:598.0 95:466.0 96:1077.0 97:434.0 98:174.0 99:233.0 100:513.0 101:311.0 102:235.0 103:333.0 104:238.0 106:66.0 107:197.0 108:364.0 109:319.0 110:9469.0 111:1747.0 112:389.0</t>
  </si>
  <si>
    <t>85:195.0 86:9.0 87:791.0 94:90.0 95:2.0 96:1.0 97:29.0 99:35.0 101:354.0 103:363.0 104:40.0 111:64.0 112:90.0 114:3.0 116:176.0 130:109.0 131:35.0 132:22.0 137:37.0 140:120.0 141:25.0 143:188.0 144:444.0 147:429.0 148:19.0 152:20.0 154:112.0 155:34.0 156:</t>
  </si>
  <si>
    <t>87:1.0 91:196.0 92:187.0 93:814.0 99:33.0 104:49.0 107:1850.0 109:28.0 110:668.0 111:52.0 115:16.0 116:139.0 121:353.0 122:42.0 123:121.0 124:10.0 125:5.0 132:6.0 133:179.0 136:404.0 140:147.0 141:8.0 144:66.0 145:13.0 149:3673.0 150:435.0 151:20.0 153:1.</t>
  </si>
  <si>
    <t>88:51.0 90:90.0 91:96.0 96:1447.0 100:685.0 101:78.0 102:274.0 104:66.0 107:79.0 108:8.0 110:184.0 112:30.0 113:100.0 114:201.0 116:434.0 126:49.0 127:2.0 128:516.0 129:196.0 130:762.0 132:111.0 139:124.0 140:80.0 141:183.0 142:562.0 143:62.0 144:128.0 14</t>
  </si>
  <si>
    <t>85:113.0 91:18.0 92:10.0 93:96.0 94:16.0 95:349.0 96:99.0 97:114.0 98:22.0 99:34.0 102:4.0 103:100.0 104:5.0 105:4.0 107:15.0 108:4.0 109:54.0 110:28.0 111:15.0 113:50.0 114:1.0 115:6.0 116:4.0 118:5.0 119:7.0 121:22.0 122:6.0 123:48.0 124:7.0 125:15.0 12</t>
  </si>
  <si>
    <t>85:35.0 86:155.0 87:80.0 89:1128.0 94:18.0 95:28.0 96:96.0 98:7743.0 99:753.0 100:424.0 101:231.0 102:9.0 103:6080.0 104:552.0 105:90.0 109:36.0 110:121.0 113:135.0 114:129.0 117:1687.0 118:57.0 122:2.0 123:63.0 124:63.0 125:188.0 128:135.0 129:878.0 130:</t>
  </si>
  <si>
    <t>85:573.0 86:3940.0 87:7186.0 88:951.0 89:667.0 90:38.0 92:21.0 93:23.0 95:39.0 96:8.0 97:23.0 98:24.0 99:129.0 100:2533.0 101:2540.0 102:845.0 103:1656.0 104:185.0 105:894.0 106:90.0 107:99.0 108:11.0 109:4.0 112:44.0 113:304.0 114:146.0 115:1075.0 116:45</t>
  </si>
  <si>
    <t>85:124.0 86:431.0 87:94.0 88:118.0 89:1468.0 90:121.0 91:52.0 92:24.0 93:9.0 94:12.0 95:9.0 96:7.0 97:34.0 98:60.0 99:45.0 100:416.0 101:296.0 102:151.0 103:2884.0 104:251.0 105:286.0 106:32.0 107:6.0 109:5.0 110:7.0 111:14.0 112:30.0 113:36.0 114:246.0 1</t>
  </si>
  <si>
    <t>86:1714.0 93:2740.0 94:3876.0 98:988.0 99:6683.0 100:6141.0 101:362.0 102:425.0 104:158.0 106:48839.0 107:15383.0 108:4053.0 113:61181.0 114:6241.0 115:1000.0 118:1469.0 120:12102.0 124:4089.0 126:453.0 132:727.0 133:1792.0 134:6222.0 136:114.0 140:1286.0</t>
  </si>
  <si>
    <t>85:65.0 86:260.0 88:173.0 89:46.0 90:114.0 91:3.0 92:22.0 93:41.0 94:14.0 95:75.0 96:298.0 97:802.0 98:192.0 99:92.0 100:116.0 101:104.0 102:131.0 103:4364.0 104:527.0 105:175.0 107:372.0 108:123.0 109:101.0 110:2496.0 111:207.0 112:85.0 113:65.0 114:105.</t>
  </si>
  <si>
    <t>85:1413.0 86:104.0 91:361.0 95:504.0 96:6.0 97:1305.0 98:76.0 99:737.0 101:132.0 103:807.0 107:77.0 109:187.0 110:55.0 111:487.0 112:127.0 113:451.0 115:20.0 117:32.0 123:161.0 124:2.0 125:338.0 126:49.0 127:44.0 129:521.0 130:6.0 137:23.0 139:32.0 141:14</t>
  </si>
  <si>
    <r>
      <t>Pre- vs. Post- weight loss</t>
    </r>
    <r>
      <rPr>
        <b/>
        <sz val="14"/>
        <color indexed="8"/>
        <rFont val="Calibri"/>
        <family val="2"/>
      </rPr>
      <t xml:space="preserve"> and fitness intervention, obese, hyperinsulinemic sedentary women</t>
    </r>
  </si>
  <si>
    <t>PVALUES AND FOLD-PCT DIFFERENCES IN COLUMNS TO FAR RIGHT</t>
  </si>
  <si>
    <t>85:1297.0 86:112.0 87:117.0 88:469.0 89:303.0 90:65.0 95:46.0 97:2541.0 98:203.0 99:184.0 100:62.0 101:869.0 102:85.0 104:10.0 105:13.0 106:42.0 107:57.0 108:22.0 109:10.0 110:97.0 112:15.0 113:138.0 114:17.0 115:306.0 116:2026.0 117:782.0 118:9.0 119:108</t>
  </si>
  <si>
    <t>86:55.0 87:1.0 88:634.0 89:716.0 90:334.0 91:816.0 97:219.0 98:371.0 99:633.0 100:3565.0 102:163.0 103:161.0 106:1008.0 109:867.0 110:1552.0 111:634.0 112:135.0 114:499.0 115:1885.0 120:141.0 128:129.0 129:243.0 132:373.0 139:218.0 140:11.0 141:724.0 142:</t>
  </si>
  <si>
    <t>85:631.0 86:60.0 87:31.0 88:69.0 89:113.0 91:26.0 92:8.0 93:48.0 95:909.0 96:19.0 97:532.0 98:174.0 99:191.0 101:1315.0 102:107.0 103:1040.0 104:45.0 105:19.0 107:8.0 109:435.0 110:6.0 111:104.0 113:36.0 115:74.0 116:861.0 117:1193.0 118:74.0 121:4.0 123:</t>
  </si>
  <si>
    <t xml:space="preserve">85:79.0 86:747.0 87:481.0 88:1478.0 89:535.0 90:80.0 91:1250.0 92:199.0 93:150.0 96:33.0 97:568.0 99:59.0 100:147.0 102:341.0 103:2026.0 104:444.0 105:491.0 106:61.0 107:301.0 108:726.0 109:97.0 110:17975.0 111:666.0 112:26.0 113:79.0 114:274.0 115:714.0 </t>
  </si>
  <si>
    <t>85:4686.0 86:1274.0 87:6539.0 88:2466.0 89:24486.0 90:2202.0 91:1348.0 92:139.0 93:176.0 94:310.0 95:607.0 96:220.0 97:2138.0 98:834.0 99:5459.0 100:831.0 101:24539.0 102:4585.0 103:73167.0 104:7200.0 105:5436.0 106:471.0 107:367.0 108:155.0 109:3332.0 11</t>
  </si>
  <si>
    <t>85:258.0 86:162.0 87:355.0 88:172.0 89:3086.0 90:239.0 91:378.0 92:6.0 93:40.0 94:24.0 95:35.0 96:74.0 97:108.0 98:80.0 99:236.0 100:522.0 101:931.0 102:431.0 103:5496.0 104:522.0 105:624.0 106:60.0 107:16.0 108:21.0 109:202.0 110:186.0 111:194.0 112:105.</t>
  </si>
  <si>
    <t>86:308.0 87:101.0 88:30.0 89:47.0 90:3.0 91:6.0 92:4.0 94:7.0 99:46.0 100:172.0 101:45.0 102:40.0 103:28.0 105:5.0 108:4.0 110:8.0 113:22.0 114:3.0 115:74.0 117:193.0 118:2.0 119:41.0 125:24.0 128:183.0 129:12.0 130:40.0 131:202.0 132:62.0 133:110.0 134:1</t>
  </si>
  <si>
    <t>85:293.0 86:101.0 88:176.0 89:6272.0 90:448.0 91:287.0 93:45.0 95:26.0 97:11.0 99:27.0 100:270.0 101:10.0 102:94.0 103:95.0 104:4508.0 105:371.0 106:151.0 112:133.0 117:334.0 118:41.0 119:1988.0 120:172.0 121:35.0 125:216.0 126:15.0 131:2.0 133:2.0 147:12</t>
  </si>
  <si>
    <t>85:3283.0 86:1365.0 87:220.0 88:1088.0 89:629.0 90:466.0 91:1009.0 92:148.0 93:1.0 95:1.0 96:429.0 97:1464.0 98:2036.0 99:2310.0 100:6474.0 101:2615.0 102:365.0 104:163.0 105:4955.0 106:655.0 107:9796.0 108:11386.0 109:1103.0 110:62560.0 111:2201.0 112:53</t>
  </si>
  <si>
    <t>85:1033.0 86:2726.0 87:1345.0 88:1502.0 89:740.0 90:89.0 91:176.0 93:816.0 94:1827.0 95:1180.0 96:3522.0 97:947.0 98:5608.0 99:1901.0 100:6972.0 101:1316.0 102:825.0 103:3755.0 106:115.0 107:183.0 108:1647.0 109:799.0 110:2744.0 111:1119.0 112:1263.0 113:</t>
  </si>
  <si>
    <t>85:61.0 86:5630.0 87:2218.0 88:3024.0 89:1849.0 91:238.0 94:873.0 95:25.0 96:2523.0 98:124.0 99:218.0 100:3733.0 101:2254.0 102:10605.0 103:19088.0 104:1991.0 105:344.0 106:70.0 107:125.0 108:203.0 111:114.0 112:627.0 113:1251.0 114:1000.0 115:1081.0 116:</t>
  </si>
  <si>
    <t>85:1040.0 86:1525.0 87:495.0 88:1118.0 89:601.0 90:119.0 91:29.0 92:36.0 93:248.0 94:64.0 95:649.0 96:581.0 97:10553.0 98:3677.0 99:531.0 100:1134.0 101:1172.0 102:728.0 103:3148.0 104:469.0 105:156.0 106:16.0 107:108.0 108:59.0 109:327.0 110:64.0 111:128</t>
  </si>
  <si>
    <t>85:713.0 86:95162.0 87:8219.0 88:764.0 89:262.0 90:170.0 91:383.0 92:92.0 96:898.0 97:112.0 98:75.0 99:420.0 100:957.0 101:126.0 102:1170.0 103:4861.0 104:1481.0 105:545.0 106:132.0 110:13.0 111:23.0 113:16.0 114:187.0 115:110.0 116:111.0 117:583.0 118:29</t>
  </si>
  <si>
    <t>85:275.0 86:164.0 87:2785.0 90:81.0 91:187.0 95:1047.0 96:40.0 97:55.0 98:7.0 99:319.0 101:363.0 107:430.0 108:235.0 109:238.0 110:367.0 115:1308.0 116:28.0 119:38.0 126:242.0 127:1859.0 128:4.0 129:353.0 130:1471.0 131:39466.0 132:4773.0 133:2654.0 134:8</t>
  </si>
  <si>
    <t>85:115.0 86:250.0 87:101.0 88:258.0 91:47.0 93:1.0 95:10.0 96:25.0 97:268.0 98:27.0 99:156.0 100:627.0 101:836.0 102:379.0 107:476.0 108:6.0 109:22.0 111:143.0 113:39.0 114:41.0 115:2.0 116:507.0 117:2089.0 118:188.0 122:2.0 123:1.0 125:82.0 128:95.0 129:</t>
  </si>
  <si>
    <t>85:1205.0 86:491.0 87:1740.0 88:107.0 89:51.0 90:17.0 92:6.0 95:774.0 96:449.0 97:13904.0 98:1185.0 99:467.0 100:163.0 103:246.0 104:5.0 106:5.0 108:56.0 109:2986.0 110:450.0 111:2737.0 112:292.0 113:1060.0 114:814.0 115:10737.0 116:786.0 118:39.0 125:5.0</t>
  </si>
  <si>
    <t xml:space="preserve">85:73.0 86:146.0 87:71.0 88:33.0 89:182.0 90:20.0 92:2.0 93:44.0 94:23.0 96:59.0 97:183.0 98:7261.0 99:492.0 100:623.0 101:414.0 102:936.0 103:885.0 104:67.0 105:12.0 106:2.0 107:2.0 108:36.0 109:2.0 110:257.0 111:2.0 112:43.0 113:5.0 114:105.0 115:100.0 </t>
  </si>
  <si>
    <t>85:4403.0 86:559.0 87:1297.0 88:4452.0 89:551.0 90:126.0 94:132.0 95:4677.0 96:294.0 97:511.0 99:896.0 100:246.0 101:4237.0 102:704.0 103:610.0 104:95.0 105:301.0 108:286.0 109:56.0 110:27.0 111:278.0 113:2721.0 114:312.0 115:9405.0 116:1399.0 117:55973.0</t>
  </si>
  <si>
    <t>85:1606.0 86:531.0 87:21.0 88:462.0 89:1113.0 90:16.0 95:73.0 98:180.0 99:172.0 100:792.0 101:237.0 102:959.0 103:5025.0 104:375.0 105:101.0 111:94.0 112:210.0 113:325.0 114:233.0 115:79.0 116:1191.0 117:2346.0 118:149.0 125:74.0 128:157.0 129:744.0 130:8</t>
  </si>
  <si>
    <t>85:1141.0 86:63.0 89:5.0 91:2.0 92:6.0 93:3.0 94:2.0 95:1.0 96:9.0 97:73.0 98:90.0 99:246.0 100:723.0 101:183.0 102:33.0 103:12.0 105:3.0 110:7.0 111:18.0 112:56.0 113:66.0 114:34.0 115:34.0 116:39.0 117:57.0 118:2.0 119:3.0 120:1.0 122:3.0 123:1.0 124:5.</t>
  </si>
  <si>
    <t>85:1326.0 86:702.0 87:399.0 88:51.0 89:894.0 91:68.0 92:3.0 95:414.0 97:729.0 99:2060.0 100:1458.0 102:366.0 103:602.0 104:28.0 107:445.0 108:376.0 109:1010.0 110:531.0 111:560.0 112:123.0 113:549.0 115:512.0 116:368.0 117:604.0 118:404.0 120:2.0 124:99.0</t>
  </si>
  <si>
    <t xml:space="preserve">85:202.0 86:67.0 87:639.0 88:61.0 89:168.0 91:456.0 93:501.0 94:28.0 95:237.0 96:129.0 97:171.0 98:30.0 99:53.0 100:88.0 101:296.0 102:5.0 103:1491.0 104:163.0 105:336.0 106:5.0 107:321.0 109:351.0 110:103.0 111:39.0 113:13.0 114:13.0 116:46.0 117:2151.0 </t>
  </si>
  <si>
    <t>85:280.0 86:91.0 89:82.0 90:1.0 92:20.0 93:23.0 94:44.0 97:44.0 98:71.0 99:288.0 100:271.0 101:339.0 102:108.0 103:283.0 104:14.0 109:4.0 110:230.0 111:39.0 112:172.0 113:472.0 114:71.0 115:2825.0 116:734.0 117:928.0 118:84.0 119:34.0 121:4.0 124:112.0 12</t>
  </si>
  <si>
    <t>85:379.0 86:780.0 87:61.0 88:218.0 89:4822.0 90:521.0 91:104.0 97:5.0 99:108.0 100:1191.0 101:860.0 102:389.0 103:6867.0 104:697.0 105:1116.0 106:39.0 107:45.0 108:16.0 110:3.0 113:14.0 114:1444.0 115:411.0 116:345.0 117:2650.0 118:305.0 119:309.0 120:10.</t>
  </si>
  <si>
    <t>85:2.0 86:8.0 87:5.0 89:34.0 91:1089.0 92:53.0 93:14.0 94:6.0 95:132.0 96:11.0 97:18.0 98:5.0 99:78.0 101:26.0 102:59.0 103:656.0 104:27.0 105:785.0 106:33.0 107:359.0 108:59.0 109:63.0 113:13.0 115:819.0 116:203.0 117:475.0 118:86.0 119:616.0 120:70.0 12</t>
  </si>
  <si>
    <t>85:2837.0 93:2.0 94:529.0 95:793.0 96:588.0 101:1747.0 102:321517.0 103:52765.0 104:13265.0 105:4223.0 106:412.0 109:122.0 110:80.0 113:168.0 115:27309.0 117:723473.0 118:70073.0 119:44167.0 120:3723.0 121:3184.0 122:519.0 123:1050.0 124:244.0 125:53.0 12</t>
  </si>
  <si>
    <t>85:851.0 86:1323.0 89:8869.0 90:409.0 91:981.0 92:231.0 93:4.0 94:21.0 95:10.0 98:626.0 99:50.0 100:17626.0 101:2506.0 102:506.0 106:107.0 107:13197.0 108:646.0 109:295.0 110:4332.0 114:1114.0 116:5046.0 117:10157.0 118:1294.0 120:401.0 130:10125.0 131:24</t>
  </si>
  <si>
    <t>86:271.0 93:61.0 95:5.0 98:29.0 99:169.0 100:381.0 101:295.0 102:509.0 110:75.0 111:275.0 112:158.0 113:32.0 114:118.0 115:89.0 116:365.0 117:136.0 123:133.0 124:12.0 126:52.0 127:259.0 128:45.0 130:93.0 131:7.0 132:31.0 133:333.0 134:114.0 139:76.0 140:1</t>
  </si>
  <si>
    <t>85:46.0 86:176.0 88:269.0 96:14.0 97:217.0 99:79.0 100:131.0 102:64.0 103:2532.0 104:40.0 114:74.0 116:537.0 117:736.0 124:53.0 125:65.0 126:81.0 130:440.0 132:21.0 143:89.0 144:768.0 146:24.0 157:19.0 158:293.0 160:478.0 171:12.0 172:54.0 173:17.0 174:29</t>
  </si>
  <si>
    <t>85:2377.0 86:102.0 87:1685.0 94:101.0 98:348.0 99:56.0 100:2740.0 101:105.0 102:188.0 104:2573.0 105:5374.0 106:437.0 110:164.0 111:339.0 112:1053.0 114:250.0 115:627.0 116:1598.0 118:660.0 125:10.0 128:245.0 130:1122.0 131:734.0 132:32.0 134:96.0 135:198</t>
  </si>
  <si>
    <t>90:30.0 91:32.0 94:18.0 100:206.0 103:3128.0 104:321.0 105:40.0 106:35.0 107:231.0 108:64.0 110:27.0 116:42.0 128:19.0 132:33.0 134:24.0 138:38.0 139:3.0 140:53.0 143:28.0 144:430.0 145:1.0 148:389.0 149:184.0 152:6.0 153:1.0 154:12.0 158:82.0 160:50.0 16</t>
  </si>
  <si>
    <t xml:space="preserve">85:876.0 86:298.0 88:454.0 89:4210.0 90:134.0 92:41.0 94:511.0 95:491.0 96:172.0 97:194.0 98:18165.0 99:2164.0 100:369.0 101:1894.0 102:413.0 103:21196.0 104:1528.0 105:1224.0 107:220.0 109:125.0 110:174.0 111:402.0 112:245.0 113:853.0 114:654.0 115:74.0 </t>
  </si>
  <si>
    <t>85:410.0 86:539.0 87:104.0 88:90.0 89:1966.0 90:67.0 91:122.0 94:67.0 95:442.0 97:23.0 98:553.0 99:201.0 100:577.0 101:245.0 102:214.0 103:7628.0 104:619.0 105:245.0 107:64.0 108:135.0 109:24.0 110:79.0 111:132.0 112:118.0 113:243.0 114:1755.0 115:281.0 1</t>
  </si>
  <si>
    <t>87:64.0 88:144.0 89:121.0 96:218.0 103:592.0 109:35.0 115:176.0 116:43.0 117:456.0 118:199.0 119:27.0 125:56.0 133:1197.0 135:213.0 145:797.0 147:18642.0 148:2181.0 149:844.0 150:9.0 151:18.0 154:57.0 159:6.0 163:350.0 164:55.0 177:429.0 178:103.0 179:475</t>
  </si>
  <si>
    <t>85:510.0 86:913.0 87:51.0 88:1.0 89:86.0 92:17.0 95:1010.0 96:885.0 97:729.0 98:688.0 99:485.0 100:570.0 101:375.0 102:5.0 104:2.0 105:12.0 106:6.0 109:284.0 111:118.0 112:115.0 113:491.0 114:65.0 116:861.0 117:3831.0 119:217.0 122:5.0 123:271.0 124:277.0</t>
  </si>
  <si>
    <t xml:space="preserve">85:782.0 86:635.0 90:92.0 91:188.0 92:113.0 95:97.0 96:48.0 97:165.0 98:162.0 99:140.0 100:2183.0 101:214.0 102:428.0 103:27.0 104:501.0 106:98.0 107:677.0 108:15.0 109:117.0 110:213.0 112:124.0 113:374.0 114:488.0 116:94.0 117:120.0 118:282.0 120:1497.0 </t>
  </si>
  <si>
    <t>85:817.0 86:1435.0 87:535.0 88:309.0 89:1094.0 90:137.0 91:941.0 92:31.0 95:14.0 97:248.0 98:148.0 99:266.0 100:1740.0 101:2001.0 102:1055.0 103:30766.0 104:2847.0 105:2059.0 106:36.0 107:990.0 108:88.0 109:158.0 110:600.0 111:39.0 112:1471.0 113:1146.0 1</t>
  </si>
  <si>
    <t>2009-0130</t>
  </si>
  <si>
    <t>MEAN:</t>
  </si>
  <si>
    <t>SD</t>
  </si>
  <si>
    <t>SD:</t>
  </si>
  <si>
    <t>.</t>
  </si>
  <si>
    <t xml:space="preserve">hippuric acid  </t>
  </si>
  <si>
    <t>glutamine dehydrated   minor</t>
  </si>
  <si>
    <t>SUPPLEMENTAL TABLE 1 ("Pre" vs. "Post" Fasting Metabolite Simple Comparisons, ranked by magnitude of change)</t>
  </si>
  <si>
    <t>85:119.0 86:425.0 88:672.0 90:224.0 91:243.0 92:190.0 98:54.0 99:113.0 100:5723.0 106:92.0 107:7504.0 108:889.0 109:592.0 110:762.0 111:92.0 113:13.0 114:16.0 119:318.0 122:214.0 124:11.0 126:107.0 127:752.0 130:1928.0 132:240.0 134:2164.0 136:664.0 139:3</t>
  </si>
  <si>
    <t>85:2776.0 86:2924.0 87:569.0 88:621.0 89:418.0 90:290.0 92:46.0 95:4.0 97:18.0 98:8549.0 99:3160.0 100:4995.0 103:28.0 104:402.0 105:35.0 106:1.0 113:1522.0 114:710.0 118:219.0 120:5147.0 121:979.0 122:176.0 124:1.0 125:7.0 127:24.0 128:6355.0 129:52.0 13</t>
  </si>
  <si>
    <t>87:29.0 91:4292.0 92:566.0 93:4359.0 94:2360.0 95:138.0 96:4.0 98:608.0 103:121.0 106:83.0 107:856.0 110:192.0 114:112.0 120:4970.0 121:5020.0 122:339.0 126:3.0 130:128.0 131:64.0 134:17.0 139:198.0 140:26.0 143:176.0 146:21.0 151:25.0 156:943.0 157:136.0</t>
  </si>
  <si>
    <t>85:929.0 86:565.0 88:7803.0 89:24.0 90:265.0 91:162.0 93:726.0 94:383.0 95:559.0 97:603.0 98:1780.0 99:4460.0 100:555.0 101:737.0 102:690.0 104:908.0 106:6.0 108:27.0 109:292.0 110:857.0 111:465.0 112:527.0 113:2786.0 114:1303.0 115:892.0 119:44.0 120:28.</t>
  </si>
  <si>
    <t>85:125.0 86:268.0 87:18.0 88:35.0 89:139.0 90:70.0 91:4.0 92:3.0 93:3.0 94:6.0 96:11.0 97:29.0 98:8.0 100:253.0 101:13.0 102:95.0 104:3.0 106:2.0 108:4.0 109:6.0 110:93.0 111:1.0 112:34.0 113:9.0 114:16.0 115:6.0 116:1.0 117:5.0 118:1.0 122:4.0 126:4.0 12</t>
  </si>
  <si>
    <t xml:space="preserve">85:72.0 86:502.0 87:485.0 88:588.0 90:681.0 92:189.0 94:437.0 95:214.0 96:300.0 97:144.0 98:473.0 99:215.0 100:4933.0 101:941.0 102:1175.0 104:357.0 105:404.0 106:21.0 107:92.0 108:70.0 109:79.0 110:401.0 111:136.0 112:489.0 113:196.0 114:606.0 115:453.0 </t>
  </si>
  <si>
    <t>86:44.0 87:47.0 88:45.0 89:32.0 90:2.0 91:17.0 92:4.0 93:10.0 94:16.0 95:18.0 98:141.0 99:81.0 100:1650.0 101:136.0 102:104.0 103:30.0 104:8.0 105:32.0 106:10.0 107:15.0 108:12.0 109:23.0 110:72.0 111:2.0 115:91.0 116:32.0 117:50.0 118:9.0 120:4.0 121:4.0</t>
  </si>
  <si>
    <t>87:24.0 88:2907.0 89:334.0 90:1313.0 91:592.0 92:175.0 93:189.0 94:203.0 95:235.0 96:145.0 97:675.0 100:1365.0 101:363.0 102:35.0 103:806.0 104:1510.0 105:293.0 106:8.0 107:1526.0 108:477.0 109:246.0 113:136.0 115:503.0 116:304.0 117:1387.0 118:249.0 120:</t>
  </si>
  <si>
    <t xml:space="preserve">85:487.0 86:264.0 87:171.0 88:662.0 89:241.0 90:23.0 92:335.0 93:90.0 95:55.0 96:352.0 98:89.0 99:1070.0 100:1274.0 101:137.0 102:589.0 103:1238.0 104:77.0 105:2005.0 107:1476.0 108:206.0 109:558.0 110:421.0 111:75.0 112:3.0 113:377.0 114:127.0 115:144.0 </t>
  </si>
  <si>
    <t>85:126.0 86:76.0 89:207.0 90:315.0 91:646.0 93:130.0 94:191.0 95:382.0 97:395.0 98:1885.0 99:66.0 100:141.0 101:97.0 108:218.0 111:44.0 112:111.0 113:1.0 115:1182.0 116:5333.0 117:456.0 118:104.0 120:99.0 121:117.0 122:334.0 124:78.0 125:530.0 127:293.0 1</t>
  </si>
  <si>
    <t>85:793.0 86:1635.0 89:925.0 90:105.0 91:1481.0 92:742.0 93:93.0 94:186.0 95:2305.0 96:17515.0 97:2248.0 98:3920.0 99:1345.0 100:3756.0 101:1473.0 102:527.0 103:2190.0 104:1054.0 106:125.0 108:347.0 109:351.0 111:129.0 112:423.0 113:5266.0 114:894.0 116:70</t>
  </si>
  <si>
    <t>85:228.0 86:1291.0 88:94.0 89:97.0 90:20.0 91:105.0 94:100.0 96:489.0 97:4699.0 98:422.0 99:383.0 100:2015.0 101:139.0 102:745.0 103:11001.0 104:968.0 105:106.0 111:750.0 112:84.0 113:234.0 114:896.0 115:2.0 116:2225.0 118:278.0 119:197.0 124:44.0 126:112</t>
  </si>
  <si>
    <t>85:59.0 87:663.0 88:182.0 89:134.0 90:5.0 91:268.0 92:23.0 93:199.0 95:534.0 96:77.0 97:3845.0 98:349.0 99:832.0 100:89.0 101:179.0 109:907.0 110:31.0 111:1250.0 112:156.0 113:354.0 114:14.0 115:800.0 116:299.0 117:3517.0 118:126.0 119:202.0 121:98.0 123:</t>
  </si>
  <si>
    <t>85:2637.0 86:1767.0 87:297.0 89:13214.0 90:1027.0 91:782.0 93:210.0 97:199.0 98:709.0 99:1262.0 100:672.0 101:97.0 103:1.0 104:5.0 105:144.0 106:1.0 110:3056.0 111:110.0 112:344.0 113:4243.0 114:2662.0 115:2018.0 116:113.0 117:317.0 120:1.0 123:22.0 126:5</t>
  </si>
  <si>
    <t>85:1082.0 86:1742.0 87:1357.0 89:5406.0 91:197.0 93:1552.0 94:11.0 95:1313.0 96:652.0 99:13970.0 100:4450.0 101:1801.0 102:2061.0 103:63.0 107:9707.0 108:396.0 109:143.0 110:7631.0 111:3515.0 112:632.0 115:621.0 118:236.0 119:158.0 120:109.0 121:28.0 124:</t>
  </si>
  <si>
    <t>85:33.0 87:5.0 88:491.0 89:14.0 91:114.0 94:1.0 95:11.0 96:6.0 98:621.0 99:4.0 100:115.0 104:5.0 105:109.0 107:8.0 108:124.0 109:13.0 110:1545.0 111:7.0 112:8.0 113:2.0 114:1.0 115:6.0 121:3.0 123:307.0 126:97.0 127:949.0 130:1164.0 134:2667.0 135:248.0 1</t>
  </si>
  <si>
    <t>85:859.0 86:1257.0 88:81.0 90:3.0 94:57.0 95:200.0 96:1.0 98:615.0 99:373.0 100:1433.0 101:419.0 102:350.0 107:170.0 108:112.0 110:2324.0 112:228.0 113:183.0 114:101.0 116:814.0 117:1979.0 118:101.0 119:1.0 120:1.0 122:4.0 124:275.0 127:271.0 128:319.0 13</t>
  </si>
  <si>
    <t>85:23022.0 86:1166.0 89:53.0 91:38.0 92:26.0 94:12.0 95:19.0 98:4618.0 99:4120.0 100:151.0 101:56.0 102:55.0 105:14.0 107:182.0 108:2.0 109:54.0 110:108.0 112:1849.0 113:2524.0 114:164.0 115:265.0 117:699.0 118:122.0 119:9.0 120:7.0 121:132.0 122:1.0 123:</t>
  </si>
  <si>
    <t>PERCENT OF PRE-INTERVENTION</t>
  </si>
  <si>
    <t/>
  </si>
  <si>
    <t>542808</t>
  </si>
  <si>
    <t>103</t>
  </si>
  <si>
    <t>85:552.0 86:1690.0 87:1130.0 88:1743.0 89:41868.0 90:3571.0 91:6702.0 92:2870.0 93:219.0 94:168.0 95:6.0 96:2024.0 97:2772.0 98:844.0 99:1276.0 100:12833.0 101:8147.0 102:6006.0 103:135643.0 104:11966.0 105:13295.0 106:1923.0 107:762.0 108:175.0 110:356.0</t>
  </si>
  <si>
    <t>85:603.0 86:873.0 87:635.0 89:373.0 91:445.0 92:11.0 95:116.0 98:531.0 99:6622.0 100:3551.0 101:601.0 102:838.0 104:472.0 106:791.0 109:168.0 110:2207.0 111:1050.0 112:91.0 113:430.0 114:1095.0 115:828.0 116:482.0 117:301.0 118:1057.0 120:720.0 121:38.0 1</t>
  </si>
  <si>
    <t>parabanic acid</t>
  </si>
  <si>
    <t>2-deoxytetronic acid</t>
  </si>
  <si>
    <t xml:space="preserve">hydroxycarbamate  </t>
  </si>
  <si>
    <t xml:space="preserve">glyoxalurea  </t>
  </si>
  <si>
    <t xml:space="preserve">oleamide  </t>
  </si>
  <si>
    <t xml:space="preserve">2-deoxyerythritol  </t>
  </si>
  <si>
    <t xml:space="preserve">5-hydroxymethyl-2-furoic acid  </t>
  </si>
  <si>
    <t xml:space="preserve">trihydroxypyrazine  </t>
  </si>
  <si>
    <t xml:space="preserve">propane-1,2,3-tricarboxylate  </t>
  </si>
  <si>
    <t xml:space="preserve">butylamine  </t>
  </si>
  <si>
    <t xml:space="preserve">N-acetylglycine  </t>
  </si>
  <si>
    <t xml:space="preserve">2-phenylpropanol  </t>
  </si>
  <si>
    <t xml:space="preserve">tocopherol beta  </t>
  </si>
  <si>
    <t xml:space="preserve">2,3,5-trihydroxypyrazine  </t>
  </si>
  <si>
    <t xml:space="preserve">propane-1,3-diol  </t>
  </si>
  <si>
    <t xml:space="preserve">2,3-dihydroxybutanoic acid  </t>
  </si>
  <si>
    <t xml:space="preserve">lathosterol  </t>
  </si>
  <si>
    <t xml:space="preserve">isolinoleic acid  </t>
  </si>
  <si>
    <t xml:space="preserve">2,5-furandicarboxylic acid  </t>
  </si>
  <si>
    <t>Simple comparisons using t-tests:  overnight-fasted plasma metabolite concentrations (quantifier peak ion heights)</t>
  </si>
  <si>
    <t>PVAL VS. PRE-INTERVENTION, t-test</t>
  </si>
  <si>
    <t>86:630.0 87:127.0 91:34.0 92:3.0 94:244.0 95:549.0 97:23.0 98:14.0 99:11.0 100:230.0 101:110.0 102:107.0 103:595.0 105:181.0 107:441.0 109:79.0 110:507.0 111:1432.0 112:474.0 113:4.0 114:58.0 115:20.0 116:124.0 117:335.0 118:50.0 120:12.0 123:3.0 124:176.</t>
  </si>
  <si>
    <t>85:469.0 87:172.0 88:251.0 89:1073.0 91:425.0 92:674.0 93:200.0 94:1745.0 95:589.0 96:1132.0 97:410.0 98:504.0 99:2105.0 101:826.0 103:1897.0 104:24.0 105:309.0 107:1970.0 108:4329.0 109:677.0 110:8280.0 111:2751.0 112:347.0 113:292.0 114:813.0 115:1905.0</t>
  </si>
  <si>
    <t>85:38.0 88:115.0 90:267.0 91:87.0 93:13.0 94:23.0 99:374.0 100:1655.0 101:412.0 102:166.0 104:313.0 108:119.0 109:34.0 110:126.0 114:51.0 116:1830.0 118:67.0 120:2798.0 121:223.0 122:162.0 127:68.0 130:287.0 134:451.0 139:3.0 140:43.0 141:14.0 142:72.0 14</t>
  </si>
  <si>
    <t>85:291.0 86:256.0 88:22.0 89:452.0 91:277.0 93:47.0 94:61.0 96:7.0 97:265.0 98:267.0 100:230.0 104:57.0 105:21.0 106:116.0 107:293.0 108:386.0 109:238.0 110:1300.0 113:221.0 114:211.0 116:215.0 117:410.0 118:258.0 120:2.0 122:13.0 123:77.0 128:353.0 129:7</t>
  </si>
  <si>
    <t>85:346.0 86:3016.0 87:190.0 88:559.0 89:1199.0 95:28.0 97:362.0 98:1027.0 99:621.0 100:5019.0 101:2427.0 102:859.0 103:1956.0 105:367.0 108:5.0 109:282.0 110:309.0 112:214.0 113:353.0 114:371.0 116:1317.0 117:2249.0 118:242.0 121:53.0 122:29.0 124:7.0 125</t>
  </si>
  <si>
    <t>85:2112.0 86:2692.0 87:3442.0 88:8635.0 89:4668.0 90:1118.0 91:984.0 92:108.0 93:600.0 95:1099.0 96:173.0 97:2311.0 98:2706.0 99:7026.0 100:544.0 101:10715.0 102:2112.0 103:7522.0 104:950.0 105:5433.0 106:414.0 107:326.0 108:86.0 110:781.0 111:133.0 113:1</t>
  </si>
  <si>
    <t>85:512.0 86:3204.0 87:1.0 88:511.0 89:292.0 91:118.0 94:13.0 98:4.0 99:244.0 100:1166.0 101:1179.0 103:172.0 104:184.0 105:2.0 107:423.0 108:161.0 109:157.0 110:320.0 114:589.0 115:15.0 118:527.0 119:3.0 123:1.0 124:16.0 126:544.0 127:95.0 131:2.0 133:158</t>
  </si>
  <si>
    <t>85:109.0 87:2.0 89:71.0 91:18.0 93:286.0 94:265.0 95:188.0 96:352.0 97:60.0 99:41.0 103:336.0 108:10.0 110:514.0 111:11.0 112:1.0 114:41.0 116:278.0 117:751.0 118:167.0 121:118.0 122:66.0 123:72.0 124:980.0 125:31.0 128:101.0 129:126.0 130:233.0 131:236.0</t>
  </si>
  <si>
    <t>85:4.0 86:361.0 88:9.0 95:25.0 96:333.0 99:13.0 100:12.0 107:475.0 109:83.0 110:2411.0 111:273.0 113:20.0 125:1018.0 126:734.0 130:141.0 132:30.0 134:104.0 139:1.0 143:6.0 146:324.0 152:2.0 156:2319.0 157:50.0 163:1.0 166:12.0 169:4.0 180:7.0 183:45.0 184</t>
  </si>
  <si>
    <t>85:139.0 86:140.0 87:37.0 88:281.0 90:142.0 91:98.0 94:50.0 96:3.0 97:518.0 98:341.0 99:381.0 100:161.0 101:60.0 102:271.0 103:108.0 104:13.0 105:494.0 108:7.0 110:63.0 111:122.0 112:46.0 114:118.0 116:14.0 117:27.0 118:134.0 119:28.0 120:2.0 121:42.0 124</t>
  </si>
  <si>
    <t>85:79.0 88:349.0 89:3627.0 90:75.0 91:728.0 92:19.0 93:92.0 96:119.0 98:341.0 100:1384.0 101:953.0 102:122.0 104:4132.0 105:278.0 106:52.0 107:15327.0 108:655.0 109:463.0 110:3937.0 112:209.0 113:57.0 115:438.0 117:1764.0 119:1377.0 120:234.0 121:363.0 12</t>
  </si>
  <si>
    <t>87:3.0 88:58.0 91:169.0 102:6.0 106:44.0 107:1016.0 108:64.0 109:116.0 110:937.0 113:135.0 115:4.0 120:669.0 121:119.0 122:61.0 123:50.0 129:2.0 130:1130.0 131:52.0 133:14.0 134:2545.0 135:387.0 138:265.0 142:51.0 143:78.0 151:2.0 157:5565.0 158:642.0 159</t>
  </si>
  <si>
    <t>87:6.0 88:3.0 89:18.0 90:25.0 91:453.0 93:16.0 97:32.0 98:1.0 99:10.0 100:35.0 101:27.0 103:496.0 105:57.0 106:32.0 107:192.0 108:61.0 110:233.0 111:13.0 112:18.0 113:19.0 115:37.0 116:44.0 117:81.0 119:6.0 121:4.0 122:3.0 123:2.0 126:62.0 127:63.0 129:7.</t>
  </si>
  <si>
    <t>85:1296.0 86:1190.0 87:1319.0 88:1347.0 89:535.0 90:101.0 94:1505.0 95:768.0 96:1076.0 98:1853.0 99:3947.0 100:1153.0 101:1082.0 102:1699.0 103:3331.0 104:240.0 105:355.0 107:891.0 108:1306.0 109:81.0 110:1027.0 111:4201.0 112:874.0 113:1039.0 114:689.0 1</t>
  </si>
  <si>
    <t>85:175.0 86:83.0 88:39.0 91:1018.0 92:24.0 95:1141.0 97:1855.0 99:21.0 101:264.0 103:1639.0 104:171.0 109:528.0 111:588.0 112:13.0 113:1.0 115:49.0 116:10.0 117:2099.0 122:16.0 123:294.0 126:4.0 129:2281.0 130:166.0 131:6081.0 132:1396.0 137:14.0 144:40.0</t>
  </si>
  <si>
    <t>87:3622.0 88:477.0 94:234.0 95:520.0 97:402.0 98:383.0 100:970.0 108:130.0 110:443.0 111:1137.0 112:541.0 114:321.0 117:476.0 122:62.0 123:32.0 124:75.0 127:5.0 134:3402.0 136:264.0 138:272.0 139:8576.0 140:729.0 142:9.0 143:879.0 144:24.0 147:5521.0 148:</t>
  </si>
  <si>
    <t>85:58.0 88:217.0 89:49.0 91:8.0 94:37.0 96:145.0 97:47.0 98:30.0 100:1141.0 101:6.0 102:93.0 103:436.0 104:62.0 106:2.0 107:526.0 111:34.0 112:87.0 113:18.0 114:7.0 115:286.0 116:128.0 117:231.0 118:148.0 121:9.0 122:1.0 125:5.0 128:58.0 129:1027.0 130:57</t>
  </si>
  <si>
    <t>86:245.0 89:329.0 90:291.0 91:270.0 92:58.0 93:607.0 98:370.0 99:87.0 100:134.0 101:607.0 102:326.0 103:43.0 104:36.0 105:49.0 107:412.0 109:9.0 110:357.0 113:1.0 116:140.0 117:92.0 118:19.0 119:43.0 120:583.0 122:27.0 123:1.0 126:87.0 127:782.0 130:255.0</t>
  </si>
  <si>
    <t>85:164.0 86:195.0 87:785.0 88:1549.0 93:196.0 96:243.0 98:573.0 99:279.0 100:1224.0 103:4652.0 105:71.0 106:359.0 107:93.0 110:464.0 111:393.0 112:552.0 113:813.0 116:647.0 119:678.0 120:146.0 121:65.0 123:65.0 124:6.0 125:54.0 126:96.0 132:98.0 137:154.0</t>
  </si>
  <si>
    <t>85:23.0 89:14.0 90:2.0 91:33.0 92:5.0 93:11.0 94:2.0 98:13.0 99:7.0 103:52.0 105:42.0 106:18.0 107:194.0 109:25.0 114:1.0 115:82.0 119:43.0 121:44.0 122:1.0 123:50.0 125:3.0 133:457.0 134:39.0 135:225.0 136:12.0 137:118.0 138:4.0 139:18.0 142:31.0 147:116</t>
  </si>
  <si>
    <t>85:254.0 87:295.0 88:76.0 89:28.0 90:27.0 91:141.0 93:1.0 94:11.0 95:14.0 96:38.0 97:39.0 98:50.0 99:289.0 101:219.0 102:41.0 103:85.0 104:10.0 105:3.0 106:42.0 107:78.0 109:42.0 110:801.0 111:491.0 112:129.0 113:77.0 114:116.0 115:58.0 116:104.0 117:18.0</t>
  </si>
  <si>
    <t>85:285.0 86:190.0 87:108.0 89:1156.0 90:261.0 91:205.0 92:208.0 93:119.0 98:490.0 100:51.0 101:119.0 103:4850.0 105:775.0 107:1420.0 109:203.0 111:491.0 114:565.0 115:35.0 116:106.0 117:2963.0 118:968.0 120:17.0 122:251.0 123:8.0 124:158.0 125:71.0 128:21</t>
  </si>
  <si>
    <t>85:385.0 87:246.0 88:193.0 89:5272.0 90:307.0 91:499.0 93:570.0 94:323.0 98:1194.0 99:318.0 100:1950.0 101:1353.0 102:375.0 103:47613.0 104:4318.0 105:2249.0 106:100.0 107:265.0 110:4.0 111:214.0 112:46.0 113:414.0 114:1114.0 115:414.0 116:346.0 117:6041.</t>
  </si>
  <si>
    <t xml:space="preserve">86:144.0 91:704.0 92:96.0 100:385.0 105:79.0 107:159.0 110:437.0 111:6.0 112:104.0 114:9694.0 118:80.0 120:1.0 127:165.0 130:230.0 132:317.0 134:529.0 136:285.0 139:141.0 141:34.0 143:52.0 146:137.0 153:59.0 156:333.0 160:35.0 170:14.0 184:106.0 186:38.0 </t>
  </si>
  <si>
    <t>86:665.0 87:197.0 90:5.0 91:367.0 92:81.0 93:630.0 94:231.0 95:254.0 96:823.0 97:657.0 98:622.0 99:4.0 100:1075.0 101:111.0 102:216.0 103:346.0 104:16.0 105:379.0 107:1604.0 108:368.0 109:70.0 110:543.0 112:28.0 114:162.0 115:434.0 116:1045.0 117:64.0 118</t>
  </si>
  <si>
    <t>85:1.0 86:224.0 87:232.0 88:193.0 89:156.0 90:238.0 91:417.0 92:3.0 94:1.0 95:44.0 98:5.0 99:25.0 100:385.0 101:470.0 102:397.0 104:449.0 105:322.0 106:34.0 107:847.0 108:5.0 110:284.0 114:547.0 115:136.0 116:72.0 117:15609.0 118:1601.0 119:678.0 120:307.</t>
  </si>
  <si>
    <t>85:59289.0 86:3981.0 88:1531.0 89:12.0 90:378.0 91:2482.0 92:290.0 93:267.0 94:24.0 95:1299.0 96:1110.0 97:2371.0 98:361.0 99:153.0 100:2690.0 101:365.0 102:308.0 103:122.0 104:1191.0 106:60.0 107:12705.0 108:755.0 109:818.0 110:3869.0 111:230.0 112:148.0</t>
  </si>
  <si>
    <t xml:space="preserve">85:210.0 86:24.0 87:27.0 88:10.0 89:4.0 90:27.0 91:18.0 92:21.0 93:2.0 97:4.0 99:9.0 100:372.0 101:43.0 102:126.0 103:25.0 104:68.0 105:45.0 106:3.0 107:11.0 108:7.0 110:56.0 111:4.0 112:7.0 113:9.0 115:21.0 116:72.0 117:239.0 118:26.0 119:20.0 120:184.0 </t>
  </si>
  <si>
    <t>85:446.0 86:139.0 88:407.0 89:2950.0 90:295.0 91:451.0 92:260.0 93:142.0 94:17.0 95:119.0 96:52.0 97:40.0 98:105.0 99:361.0 100:182.0 101:1736.0 102:319.0 103:8591.0 104:839.0 105:630.0 106:80.0 107:43.0 108:30.0 110:34.0 111:67.0 112:13.0 113:471.0 114:6</t>
  </si>
  <si>
    <t>87:162.0 88:87.0 91:7.0 93:117.0 94:136.0 95:64.0 97:82.0 98:501.0 99:130.0 100:935.0 101:149.0 102:97.0 108:82.0 109:264.0 110:198.0 111:198.0 113:32.0 115:325.0 117:799.0 118:32.0 119:37.0 124:9.0 126:148.0 128:74.0 129:256.0 131:1207.0 132:339.0 133:23</t>
  </si>
  <si>
    <t>85:776.0 86:896.0 88:13.0 89:28.0 90:27.0 92:21.0 93:15.0 95:3.0 98:12.0 100:92.0 101:12.0 104:10.0 108:104.0 110:7.0 111:6.0 112:3.0 113:120.0 118:57.0 119:17.0 123:3.0 127:152.0 128:815.0 129:1541.0 130:551.0 133:5.0 134:157.0 139:4.0 140:91.0 141:308.0</t>
  </si>
  <si>
    <t>85:862.0 86:114.0 88:37.0 89:965.0 91:108.0 93:722.0 95:2787.0 96:258.0 97:2929.0 98:1690.0 99:1030.0 100:67.0 101:110.0 105:1168.0 107:543.0 108:2.0 109:930.0 110:136.0 111:1011.0 112:273.0 113:11.0 114:25.0 115:117.0 116:1879.0 117:37278.0 118:3193.0 11</t>
  </si>
  <si>
    <t>96:8.0 98:8.0 100:201.0 101:307.0 102:175.0 103:6854.0 104:185.0 110:187.0 111:1.0 114:211.0 116:2095.0 117:192.0 121:2.0 122:1.0 123:4.0 124:1070.0 129:383.0 131:22.0 142:4.0 143:2.0 144:55.0 146:3197.0 147:1928.0 148:206.0 158:126.0 160:521.0 168:7.0 16</t>
  </si>
  <si>
    <t>86:39.0 87:716.0 88:636.0 89:367.0 91:78.0 99:90.0 100:49.0 101:2076.0 102:156.0 103:2933.0 104:270.0 105:69.0 107:11.0 108:42.0 110:1.0 115:88.0 116:3300.0 117:5963.0 118:733.0 119:180.0 120:29.0 121:2.0 126:75.0 128:171.0 129:34.0 130:295.0 131:32.0 133</t>
  </si>
  <si>
    <t xml:space="preserve">85:11.0 87:44.0 88:12.0 89:22763.0 90:1820.0 91:449.0 92:4.0 96:19.0 98:8.0 99:178.0 100:1499.0 101:589.0 102:775.0 103:6105.0 104:462.0 105:478.0 106:6.0 107:6.0 108:6.0 111:28.0 112:11.0 113:27.0 114:266.0 115:69.0 116:446.0 117:1647.0 118:92.0 120:6.0 </t>
  </si>
  <si>
    <t>86:58.0 90:56.0 95:31.0 97:574.0 98:362.0 100:618.0 101:151.0 102:85.0 103:3009.0 104:76.0 108:21.0 111:137.0 112:43.0 113:258.0 114:259.0 116:677.0 117:259.0 124:22.0 128:174.0 129:7.0 130:375.0 132:79.0 133:252.0 140:253.0 141:104.0 142:2.0 143:47.0 144</t>
  </si>
  <si>
    <t>86:79.0 87:6.0 88:13.0 89:425.0 90:29.0 91:59.0 93:7.0 94:1.0 95:6.0 96:12.0 98:11.0 99:8.0 100:16.0 101:8.0 102:25.0 103:43.0 104:160.0 105:3.0 107:1.0 109:3.0 111:5.0 112:2.0 113:18.0 114:2.0 115:25.0 116:79.0 117:2.0 118:1.0 123:6.0 124:1.0 125:1.0 128</t>
  </si>
  <si>
    <t>85:516.0 86:4985.0 87:1913.0 88:297.0 92:159.0 93:106.0 94:14.0 95:203.0 96:170.0 98:803.0 99:986.0 100:14054.0 101:2504.0 102:2719.0 103:1008.0 104:16.0 105:244.0 107:642.0 109:131.0 110:529.0 111:26.0 112:195.0 113:879.0 114:3258.0 115:2435.0 116:1107.0</t>
  </si>
  <si>
    <t>85:286.0 88:129.0 95:141.0 96:165.0 97:270.0 98:191.0 99:142.0 100:51.0 101:819.0 102:39.0 103:376.0 106:141.0 110:4.0 111:88.0 113:203.0 115:182.0 116:136.0 117:132.0 120:54.0 121:98.0 123:66.0 124:20.0 125:71.0 129:4677.0 130:713.0 131:483.0 132:39.0 13</t>
  </si>
  <si>
    <t>86:371.0 87:4.0 88:64.0 89:782.0 90:14.0 97:580.0 98:1002.0 100:247.0 101:379.0 102:333.0 103:4389.0 104:367.0 106:12.0 111:151.0 114:456.0 115:160.0 116:1503.0 117:712.0 118:5.0 120:37.0 128:1747.0 129:100.0 130:512.0 131:101.0 132:178.0 133:79.0 142:3.0</t>
  </si>
  <si>
    <t>85:5508.0 87:4488.0 88:39.0 89:693.0 91:557.0 92:1197.0 93:1919.0 94:579.0 95:167.0 96:359.0 97:765.0 98:2089.0 99:9164.0 100:7873.0 101:2710.0 103:1966.0 104:239.0 105:1105.0 106:56.0 107:8380.0 108:509.0 109:106.0 111:2281.0 112:557.0 113:3595.0 114:321</t>
  </si>
  <si>
    <t>85:305.0 86:472.0 88:74.0 89:547.0 90:145.0 93:7.0 94:118.0 96:294.0 98:397.0 99:507.0 100:175.0 101:846.0 103:8609.0 104:985.0 105:326.0 106:86.0 107:126.0 108:114.0 109:59.0 110:238.0 112:143.0 113:365.0 114:631.0 115:113.0 116:1049.0 117:2762.0 118:387</t>
  </si>
  <si>
    <t>86:199.0 87:29.0 88:563.0 89:91.0 90:1078.0 91:16.0 95:15.0 97:377.0 98:1.0 100:30.0 101:41.0 103:253.0 104:32.0 108:10.0 110:1972.0 111:160.0 112:414.0 114:253.0 115:717.0 116:359.0 117:1223.0 118:128.0 123:16.0 126:1.0 128:1725.0 129:325.0 130:1302.0 13</t>
  </si>
  <si>
    <t xml:space="preserve">86:92.0 89:698.0 95:264.0 96:629.0 100:191.0 101:58.0 103:174.0 104:98.0 109:139.0 113:13.0 116:137.0 117:423.0 125:7.0 129:372.0 130:144.0 135:35.0 136:82.0 137:142.0 138:47.0 140:4.0 143:150.0 149:308.0 151:34.0 153:2029.0 154:531.0 155:160.0 156:125.0 </t>
  </si>
  <si>
    <t>85:209.0 86:248.0 87:71.0 90:170.0 95:765.0 98:18.0 99:83.0 100:555.0 101:224.0 102:70.0 103:575.0 107:197.0 109:151.0 110:148.0 111:51.0 113:189.0 122:11.0 123:1.0 126:8.0 128:127.0 129:159.0 130:83.0 138:131.0 140:69.0 141:47.0 142:122.0 145:202.0 146:2</t>
  </si>
  <si>
    <t>85:89.0 86:554.0 89:5802.0 90:513.0 91:6510.0 92:665.0 93:270.0 95:49.0 97:43.0 98:204.0 99:336.0 100:858.0 101:1235.0 102:999.0 103:23328.0 104:3190.0 105:6018.0 106:566.0 111:150.0 112:153.0 113:307.0 114:377.0 115:804.0 116:635.0 117:10787.0 118:1182.0</t>
  </si>
  <si>
    <t>87:83.0 88:32.0 89:1241.0 96:413.0 98:1196.0 99:2552.0 100:14571.0 101:1761.0 102:1104.0 105:81.0 106:103.0 108:76.0 110:471.0 115:12330.0 116:1831.0 117:747.0 124:281.0 128:5319.0 131:334.0 134:390.0 141:30.0 142:35112.0 143:5379.0 144:1727.0 145:42.0 14</t>
  </si>
  <si>
    <t>85:5481.0 86:12568.0 87:5666.0 88:5399.0 89:79280.0 90:7883.0 91:4382.0 92:559.0 93:593.0 94:1678.0 95:2237.0 96:1986.0 97:4708.0 98:4101.0 99:8156.0 100:17639.0 101:23048.0 102:9811.0 103:108321.0 104:11929.0 105:38969.0 106:4444.0 107:2337.0 108:903.0 1</t>
  </si>
  <si>
    <t>85:258.0 86:124.0 88:104.0 93:75.0 95:107.0 96:143.0 98:244.0 99:39.0 100:129.0 103:92.0 105:44.0 109:97.0 111:297.0 113:43.0 115:250.0 116:20.0 117:111.0 119:26.0 129:61.0 130:255.0 131:782.0 133:2127.0 134:155.0 139:59.0 141:2.0 142:16.0 143:280.0 144:1</t>
  </si>
  <si>
    <t>85:50.0 87:24.0 90:2.0 91:2.0 92:2.0 93:3.0 97:18.0 98:3.0 99:1.0 101:131.0 103:174.0 107:7.0 108:5.0 113:8.0 114:5.0 115:80.0 117:200.0 127:16.0 129:1850.0 130:186.0 131:249.0 132:14.0 133:40.0 134:6.0 140:1.0 141:1.0 142:5.0 143:16.0 144:1.0 145:63.0 14</t>
  </si>
  <si>
    <t>85:108.0 88:58.0 89:973.0 90:239.0 91:32.0 93:85.0 94:37.0 95:197.0 96:3760.0 97:222.0 99:113.0 100:396.0 101:581.0 103:277.0 106:120.0 107:716.0 108:370.0 109:191.0 110:3164.0 111:126.0 112:93.0 114:28.0 116:187.0 117:809.0 118:62.0 119:163.0 120:220.0 1</t>
  </si>
  <si>
    <t>88:35.0 90:270.0 100:69.0 101:32.0 102:38.0 106:126.0 107:416.0 108:56.0 109:28.0 110:1110.0 112:44.0 118:46.0 122:31.0 125:4.0 130:266.0 133:174.0 134:141.0 135:112.0 136:145.0 138:54.0 140:3463.0 141:153.0 143:19.0 146:31.0 147:67.0 149:79.0 150:54.0 15</t>
  </si>
  <si>
    <t>85:383.0 86:723.0 87:233.0 88:194.0 89:6523.0 90:730.0 91:14.0 94:18.0 95:70.0 96:121.0 97:152.0 98:485.0 99:328.0 100:2993.0 101:817.0 102:2302.0 103:954.0 104:273.0 105:253.0 106:22.0 108:20.0 109:127.0 110:86.0 111:88.0 112:631.0 113:550.0 114:1178.0 1</t>
  </si>
  <si>
    <t>87:53.0 88:13.0 89:235.0 90:5.0 91:1317.0 92:880.0 93:94.0 97:12.0 101:206.0 102:10.0 103:1703.0 104:117.0 105:44.0 113:10.0 115:13.0 116:26.0 117:949.0 118:40.0 119:26.0 121:2.0 127:13.0 129:770.0 130:38.0 131:241.0 132:7.0 133:424.0 134:66.0 135:4.0 138</t>
  </si>
  <si>
    <t xml:space="preserve">86:760.0 87:65.0 88:87.0 94:213.0 96:4.0 97:435.0 98:399.0 100:7361.0 101:231.0 102:286.0 109:28.0 110:248.0 114:5.0 116:43.0 118:15.0 124:580.0 129:38.0 132:97.0 134:286.0 140:653.0 143:31.0 144:8.0 146:18.0 147:520.0 153:15.0 157:6.0 158:254.0 159:29.0 </t>
  </si>
  <si>
    <t xml:space="preserve">85:121.0 86:701.0 90:5.0 91:8.0 99:42.0 100:3938.0 101:418.0 102:407.0 109:65.0 110:215.0 111:289.0 112:341.0 113:261.0 114:357.0 115:440.0 116:751.0 117:18.0 119:105.0 124:17.0 127:32.0 128:839.0 129:223.0 130:214.0 131:935.0 132:988.0 133:9.0 134:155.0 </t>
  </si>
  <si>
    <t>85:539.0 86:198.0 87:84.0 88:115.0 89:404.0 90:26.0 91:2027.0 92:324.0 93:2910.0 94:2158.0 95:4815.0 96:2863.0 97:1449.0 98:363.0 99:311.0 100:44.0 101:132.0 102:9.0 103:8.0 104:66.0 105:910.0 106:291.0 107:1535.0 108:1155.0 109:1950.0 110:1406.0 111:542.</t>
  </si>
  <si>
    <t>86:6104.0 87:2301.0 88:1283.0 89:429.0 90:45.0 91:133.0 95:123.0 97:603.0 98:23.0 99:336.0 100:3906.0 101:603.0 102:1282.0 103:592.0 104:219.0 105:156.0 107:2.0 108:5.0 110:197.0 113:942.0 114:789.0 115:611.0 116:879.0 117:1173.0 118:588.0 119:9932.0 120:</t>
  </si>
  <si>
    <t>85:1140.0 86:325.0 87:79.0 88:41.0 89:349.0 90:12.0 94:13.0 95:1557.0 96:1414.0 97:153.0 98:157.0 99:228.0 100:481.0 101:220.0 103:65.0 105:6.0 106:3.0 107:100.0 110:2.0 111:68.0 112:145.0 113:440.0 114:198.0 115:2353.0 116:2204.0 117:816.0 118:74.0 119:6</t>
  </si>
  <si>
    <t>85:484.0 86:98.0 87:344.0 88:306.0 89:1360.0 90:159.0 91:1305.0 92:413.0 93:938.0 94:98.0 95:309.0 96:42.0 97:75.0 98:38.0 99:347.0 100:100.0 101:2368.0 102:343.0 103:8246.0 104:765.0 105:496.0 106:52.0 107:192.0 108:40.0 110:104.0 111:112.0 112:29.0 113:</t>
  </si>
  <si>
    <t>85:2682.0 86:34189.0 87:3463.0 88:1176.0 89:1034.0 90:695.0 91:5.0 93:1464.0 95:790.0 97:788.0 98:2446.0 99:2349.0 100:60731.0 101:6086.0 102:5145.0 103:1284.0 104:490.0 107:1220.0 110:1333.0 111:651.0 112:4906.0 113:4539.0 114:7587.0 115:2701.0 116:2604.</t>
  </si>
  <si>
    <t>85:361.0 87:117.0 90:11.0 91:88.0 92:103.0 95:18.0 96:12.0 97:4.0 99:46.0 101:131.0 102:959.0 103:234.0 104:90.0 105:278.0 106:2.0 108:7.0 109:5.0 112:1.0 113:23.0 115:104.0 116:48.0 117:2106.0 118:232.0 119:112.0 120:109.0 121:10.0 122:2.0 127:6.0 128:4.</t>
  </si>
  <si>
    <t>85:8076.0 86:1336.0 87:2806.0 88:1176.0 89:5648.0 90:1111.0 91:1527.0 93:2516.0 95:11286.0 97:16029.0 98:12627.0 99:6902.0 101:2502.0 103:3568.0 105:5753.0 106:657.0 107:1712.0 108:668.0 109:4549.0 110:895.0 111:6335.0 112:3607.0 113:262.0 114:1039.0 116:</t>
  </si>
  <si>
    <t>85:645.0 86:352.0 87:716.0 88:631.0 89:7375.0 90:629.0 91:409.0 93:11.0 94:47.0 95:10.0 97:25.0 98:138.0 99:341.0 100:1271.0 101:1713.0 102:501.0 103:47609.0 104:4534.0 105:2290.0 106:148.0 107:28.0 108:7.0 110:35.0 111:104.0 112:36.0 113:434.0 114:1984.0</t>
  </si>
  <si>
    <t>85:524.0 86:107.0 87:1468.0 88:223.0 89:452.0 90:56.0 91:8.0 92:8.0 93:26.0 94:72.0 95:11.0 96:3.0 97:43.0 98:27.0 99:569.0 101:4055.0 102:1957.0 103:2624.0 104:300.0 105:186.0 106:23.0 107:26.0 108:20.0 110:18.0 111:111.0 112:67.0 113:331.0 114:26.0 115:</t>
  </si>
  <si>
    <t>98:163.0 100:2.0 110:5.0 114:3.0 116:31.0 117:51.0 129:157.0 144:38.0 169:17.0 170:17.0 171:45.0 197:49.0 202:1980.0 203:219.0 204:144.0 217:86.0 228:9.0 231:14.0 235:14.0 241:11.0 253:13.0 267:1.0 274:10.0 276:3.0 282:17.0 286:2.0 307:11.0 310:1.0 318:12</t>
  </si>
  <si>
    <t>85:75.0 87:993.0 88:52.0 89:83.0 90:1.0 91:55.0 92:138.0 95:4.0 97:57.0 98:92.0 99:54.0 100:62.0 101:145.0 102:13.0 103:1047.0 104:42.0 105:16.0 106:13.0 107:10.0 108:5.0 109:5.0 110:16.0 111:53.0 112:18.0 113:45.0 114:1.0 115:39.0 116:45.0 117:255.0 118:</t>
  </si>
  <si>
    <t>85:1162.0 86:478.0 87:1218.0 88:414.0 89:1021.0 90:292.0 91:3300.0 92:1229.0 93:4667.0 94:930.0 95:1827.0 96:1036.0 97:887.0 98:374.0 99:1182.0 100:281.0 101:4115.0 102:1146.0 103:5700.0 104:661.0 105:3643.0 106:494.0 107:635.0 108:312.0 109:1410.0 110:30</t>
  </si>
  <si>
    <t>85:38.0 87:1.0 88:3.0 90:2.0 91:84.0 92:6.0 93:9.0 95:56.0 96:10.0 97:5.0 100:8.0 101:15.0 102:2.0 103:10.0 104:31.0 105:86.0 106:15.0 107:6.0 108:2.0 109:49.0 113:15.0 114:1.0 115:6.0 116:18.0 117:6.0 118:3.0 119:21.0 120:16.0 121:20.0 123:12.0 124:4.0 1</t>
  </si>
  <si>
    <t>85:155.0 86:70.0 89:322.0 90:41.0 91:85.0 92:73.0 93:234.0 96:28.0 98:28.0 99:31.0 101:76.0 102:1447.0 103:1824.0 104:203.0 105:115.0 106:38.0 108:13.0 110:10.0 112:44.0 113:75.0 114:25.0 116:110.0 117:2303.0 118:235.0 119:183.0 120:24.0 126:17.0 127:15.0</t>
  </si>
  <si>
    <t>85:668.0 86:529.0 87:317.0 88:94.0 89:164.0 90:25.0 91:33.0 92:73.0 93:121.0 94:10.0 95:40.0 96:19.0 97:39.0 98:6.0 99:154.0 100:48.0 101:331.0 102:52.0 103:140.0 104:19.0 105:108.0 106:28.0 107:63.0 108:6.0 109:1.0 110:18.0 111:15.0 112:12.0 113:291.0 11</t>
  </si>
  <si>
    <t>85:162.0 86:172.0 87:161.0 88:13.0 89:1088.0 90:62.0 91:58.0 92:5.0 93:45.0 94:1.0 95:5.0 96:8.0 97:10.0 98:6.0 99:76.0 100:394.0 101:397.0 102:153.0 103:322.0 104:16.0 105:349.0 106:43.0 107:24.0 108:6.0 109:7.0 110:10.0 111:7.0 112:23.0 113:34.0 114:182</t>
  </si>
  <si>
    <t>85:9749.0 86:15708.0 87:8647.0 88:2670.0 89:2466.0 90:350.0 91:407.0 92:819.0 93:3390.0 94:1992.0 95:1304.0 96:2757.0 97:1430.0 98:14443.0 99:13097.0 100:76436.0 101:11531.0 102:8100.0 103:49519.0 104:5150.0 105:5844.0 106:897.0 107:7497.0 108:970.0 109:4</t>
  </si>
  <si>
    <t>85:550.0 86:3761.0 87:342.0 90:117.0 94:83.0 95:856.0 97:426.0 98:328.0 100:2737.0 107:16.0 109:138.0 110:340.0 111:10.0 112:138.0 114:237.0 116:156.0 117:99.0 118:60.0 123:174.0 124:79.0 126:228.0 127:189.0 128:341.0 130:2063.0 131:516.0 137:94.0 138:94.</t>
  </si>
  <si>
    <t xml:space="preserve">85:88.0 87:2.0 88:612.0 92:140.0 99:151.0 100:625.0 103:1.0 107:799.0 108:111.0 109:531.0 110:5.0 111:316.0 114:164.0 118:163.0 124:8.0 131:3.0 132:112.0 133:2.0 134:1764.0 135:306.0 136:194.0 138:74.0 142:95.0 145:40.0 147:6.0 148:1.0 152:198.0 153:30.0 </t>
  </si>
  <si>
    <t>85:58.0 86:49.0 87:76.0 88:207.0 89:186.0 90:53.0 91:102.0 94:12.0 95:13.0 98:36.0 99:7.0 100:221.0 101:82.0 102:387.0 103:1667.0 104:211.0 105:106.0 106:12.0 108:3.0 109:1.0 112:31.0 113:58.0 114:158.0 115:150.0 116:522.0 117:270.0 118:69.0 119:67.0 120:</t>
  </si>
  <si>
    <t>86:338.0 91:350.0 92:15.0 93:78.0 94:42.0 95:90.0 97:60.0 98:176.0 99:205.0 102:52.0 103:21.0 107:240.0 108:5.0 109:6.0 121:4.0 122:42.0 123:33.0 124:71.0 130:290.0 134:593.0 135:121.0 136:12.0 143:110.0 147:3414.0 148:161.0 151:12.0 156:22.0 160:1.0 165:</t>
  </si>
  <si>
    <t xml:space="preserve">85:153.0 95:206.0 96:208.0 97:111.0 100:42.0 109:59.0 110:14.0 111:80.0 113:58.0 120:29.0 123:26.0 124:7.0 129:1826.0 135:169.0 142:104.0 143:7.0 155:103.0 157:9.0 162:2.0 163:39.0 165:39.0 166:82.0 176:55.0 177:123.0 179:32.0 180:19.0 183:67.0 191:134.0 </t>
  </si>
  <si>
    <t>86:87.0 89:378.0 90:155.0 91:328.0 98:4.0 99:213.0 106:147.0 112:75.0 115:785.0 125:65.0 126:323.0 127:499.0 128:818.0 129:346.0 139:250.0 140:23.0 141:1495.0 142:31.0 150:60.0 151:384.0 152:1218.0 153:2268.0 154:836.0 155:4489.0 156:508.0 163:2.0 165:105</t>
  </si>
  <si>
    <t>85:19.0 87:164.0 88:14.0 90:133.0 93:254.0 94:85.0 95:1499.0 96:1432.0 97:265.0 98:730.0 99:242.0 100:1238.0 101:1317.0 102:447.0 103:287.0 104:75.0 106:1.0 108:68.0 110:303.0 111:226.0 112:208.0 113:415.0 114:480.0 115:259.0 116:407.0 119:34.0 122:38.0 1</t>
  </si>
  <si>
    <t>85:4922.0 86:1762.0 87:693.0 88:677.0 89:7422.0 90:420.0 91:289.0 93:161.0 94:391.0 95:323.0 96:595.0 97:206.0 98:1021.0 99:1121.0 100:1688.0 101:1977.0 102:623.0 103:30135.0 104:2735.0 105:1786.0 107:102.0 108:192.0 109:674.0 110:955.0 111:1758.0 112:485</t>
  </si>
  <si>
    <t xml:space="preserve">85:1890.0 86:4556.0 87:4270.0 88:2890.0 89:2297.0 90:1109.0 91:1164.0 92:297.0 94:391.0 95:657.0 96:794.0 98:9435.0 99:11632.0 100:13079.0 101:4298.0 102:15545.0 103:7845.0 104:1960.0 105:1375.0 106:373.0 107:1873.0 108:521.0 109:89.0 111:3217.0 112:68.0 </t>
  </si>
  <si>
    <t>86:1859.0 87:161.0 88:192.0 89:848.0 91:2082.0 92:210.0 93:397.0 94:28.0 97:144.0 99:66.0 100:2050.0 101:188.0 102:16.0 104:456.0 105:1180.0 107:9206.0 109:403.0 110:3146.0 111:502.0 112:304.0 114:1731.0 115:233.0 116:862.0 117:144.0 118:137.0 119:384.0 1</t>
  </si>
  <si>
    <t>85:3.0 86:13.0 88:13.0 89:34.0 90:3.0 91:1981.0 92:349.0 93:833.0 94:184.0 95:258.0 96:10.0 97:8.0 98:4.0 100:5.0 101:42.0 102:8.0 103:184.0 104:77.0 105:563.0 106:389.0 107:199.0 108:287.0 109:71.0 110:7.0 111:2.0 114:7.0 115:90.0 116:186.0 117:895.0 118</t>
  </si>
  <si>
    <t>85:1726.0 86:1061.0 87:593.0 90:199.0 92:31.0 93:55.0 95:66.0 96:5.0 97:33.0 98:140.0 100:1564.0 101:37.0 103:770.0 109:54.0 110:181.0 111:158.0 112:69.0 113:1394.0 114:271.0 115:415.0 116:384.0 118:894.0 119:915.0 123:15.0 124:63.0 126:99.0 128:496.0 129</t>
  </si>
  <si>
    <t>86:5941.0 87:611.0 88:535.0 93:167.0 94:192.0 98:81.0 99:252.0 100:2879.0 101:696.0 102:1144.0 103:343.0 105:56.0 108:82.0 109:154.0 112:593.0 113:458.0 114:419.0 115:169.0 116:592.0 117:25.0 120:41.0 121:153.0 122:88.0 126:54.0 128:559.0 129:440.0 130:88</t>
  </si>
  <si>
    <t>85:4983.0 86:2525.0 87:2940.0 88:1156.0 89:58247.0 90:4805.0 91:3400.0 92:358.0 93:898.0 94:226.0 95:224.0 97:2258.0 98:2557.0 99:3314.0 100:8235.0 101:12106.0 102:4980.0 103:138284.0 104:13086.0 105:11983.0 106:2042.0 107:1839.0 109:34.0 111:3194.0 112:1</t>
  </si>
  <si>
    <t>85:2339.0 86:4903.0 87:2536.0 88:3198.0 89:3107.0 90:1205.0 91:1873.0 92:1176.0 93:227.0 94:273.0 95:801.0 96:295.0 97:1647.0 98:917.0 99:7342.0 100:850.0 101:11575.0 102:1336.0 103:7060.0 104:1124.0 105:1313.0 106:338.0 107:1085.0 108:3271.0 109:466.0 11</t>
  </si>
  <si>
    <t>85:288.0 89:7.0 94:32.0 97:87.0 99:5.0 100:172.0 103:586.0 107:158.0 111:98.0 112:172.0 113:8.0 123:51.0 124:17.0 125:25.0 134:3012.0 138:20.0 140:17.0 142:46.0 152:16.0 156:34.0 158:7.0 160:73.0 169:23.0 170:48.0 171:51.0 174:25.0 179:20.0 184:112.0 186:</t>
  </si>
  <si>
    <t>85:10060.0 86:1385.0 90:204.0 91:6771.0 92:872.0 93:13489.0 94:14299.0 95:16475.0 96:31579.0 97:52830.0 98:15347.0 99:2276.0 100:918.0 101:100.0 105:2520.0 106:1628.0 107:6293.0 108:10909.0 109:7248.0 110:19597.0 111:18443.0 112:9468.0 113:1551.0 114:620.</t>
  </si>
  <si>
    <t>89:58.0 91:41.0 92:3.0 93:1.0 100:5.0 101:54.0 103:262.0 105:1.0 114:1.0 116:15.0 117:436.0 118:17.0 119:45.0 124:4.0 126:2.0 128:3.0 129:218.0 130:30.0 131:153.0 132:15.0 133:158.0 134:14.0 138:4.0 143:5.0 145:174.0 146:3.0 147:466.0 148:18.0 149:23.0 15</t>
  </si>
  <si>
    <t>85:140.0 86:140.0 89:2.0 90:346.0 92:99.0 93:95.0 95:86.0 97:97.0 98:92.0 99:187.0 100:1384.0 101:14.0 102:144.0 103:91.0 104:379.0 108:33.0 109:877.0 110:706.0 112:14.0 113:58.0 115:2.0 116:47.0 120:240.0 123:28.0 125:6.0 126:1.0 127:399.0 128:217.0 129:</t>
  </si>
  <si>
    <t>85:1274.0 86:1172.0 89:83.0 90:215.0 93:310.0 94:5.0 95:175.0 97:664.0 98:797.0 99:1037.0 101:1302.0 105:1152.0 108:557.0 109:1592.0 110:689.0 111:168.0 116:2328.0 117:51908.0 118:4374.0 125:247.0 126:446.0 127:70.0 129:18046.0 130:3371.0 131:13510.0 132:</t>
  </si>
  <si>
    <t>85:269.0 86:53.0 87:340.0 88:128.0 90:16.0 91:60.0 92:39.0 93:4.0 94:12.0 95:129.0 96:6.0 97:28.0 99:345.0 100:23.0 101:954.0 102:82.0 103:1518.0 104:100.0 105:139.0 107:22.0 109:58.0 110:7.0 111:252.0 112:8.0 113:466.0 114:44.0 115:401.0 116:421.0 117:14</t>
  </si>
  <si>
    <t>85:1016.0 86:25398.0 87:1749.0 88:8.0 89:34.0 90:3171.0 91:226.0 98:25.0 99:533.0 100:840.0 101:77.0 102:466.0 103:292.0 105:8.0 106:4.0 109:5.0 112:65.0 113:348.0 114:168.0 115:1143.0 116:208.0 117:189.0 124:4.0 126:31.0 127:193.0 128:905.0 129:352.0 130</t>
  </si>
  <si>
    <t>xylitol</t>
  </si>
  <si>
    <t>566749</t>
  </si>
  <si>
    <t>217</t>
  </si>
  <si>
    <t>146</t>
  </si>
  <si>
    <t>valine</t>
  </si>
  <si>
    <t>313224</t>
  </si>
  <si>
    <t>144</t>
  </si>
  <si>
    <t>uridine</t>
  </si>
  <si>
    <t>856953</t>
  </si>
  <si>
    <t>258</t>
  </si>
  <si>
    <t>730534</t>
  </si>
  <si>
    <t>441</t>
  </si>
  <si>
    <t>urea</t>
  </si>
  <si>
    <t>330851</t>
  </si>
  <si>
    <t>171</t>
  </si>
  <si>
    <t>UDP-glucuronic acid</t>
  </si>
  <si>
    <t>586393</t>
  </si>
  <si>
    <t>670802</t>
  </si>
  <si>
    <t>218</t>
  </si>
  <si>
    <t>86:117.0 91:15.0 92:34.0 98:39.0 100:1184.0 101:47.0 102:44.0 130:112.0 132:42.0 144:2.0 163:71.0 165:27.0 179:321.0 180:48.0 181:24.0 183:7.0 192:19.0 193:24.0 207:35.0 218:2929.0 219:549.0 220:248.0 267:29.0 280:207.0 281:83.0 354:13.0 380:5.0 497:9.0</t>
  </si>
  <si>
    <t>179</t>
  </si>
  <si>
    <t>tryptophan</t>
  </si>
  <si>
    <t>779834</t>
  </si>
  <si>
    <t>202</t>
  </si>
  <si>
    <t>505411</t>
  </si>
  <si>
    <t>344</t>
  </si>
  <si>
    <t>191</t>
  </si>
  <si>
    <t>trans-4-hydroxyproline</t>
  </si>
  <si>
    <t>460567</t>
  </si>
  <si>
    <t>158</t>
  </si>
  <si>
    <t>1022809</t>
  </si>
  <si>
    <t>222</t>
  </si>
  <si>
    <t>tocopherol alpha</t>
  </si>
  <si>
    <t>1067178</t>
  </si>
  <si>
    <t>237</t>
  </si>
  <si>
    <t>255</t>
  </si>
  <si>
    <t>130</t>
  </si>
  <si>
    <t>threonine</t>
  </si>
  <si>
    <t>408861</t>
  </si>
  <si>
    <t>117</t>
  </si>
  <si>
    <t>497167</t>
  </si>
  <si>
    <t>292</t>
  </si>
  <si>
    <t>467314</t>
  </si>
  <si>
    <t>threitol</t>
  </si>
  <si>
    <t>taurine</t>
  </si>
  <si>
    <t>557250</t>
  </si>
  <si>
    <t>326</t>
  </si>
  <si>
    <t>160</t>
  </si>
  <si>
    <t>sucrose</t>
  </si>
  <si>
    <t>915457</t>
  </si>
  <si>
    <t>271</t>
  </si>
  <si>
    <t>succinic acid</t>
  </si>
  <si>
    <t>370518</t>
  </si>
  <si>
    <t>247</t>
  </si>
  <si>
    <t>stigmasterol</t>
  </si>
  <si>
    <t>1110434</t>
  </si>
  <si>
    <t>159</t>
  </si>
  <si>
    <t>stearic acid</t>
  </si>
  <si>
    <t>787358</t>
  </si>
  <si>
    <t>shikimic acid</t>
  </si>
  <si>
    <t>610984</t>
  </si>
  <si>
    <t>204</t>
  </si>
  <si>
    <t>132</t>
  </si>
  <si>
    <t>serine</t>
  </si>
  <si>
    <t>391397</t>
  </si>
  <si>
    <t>salicylic acid</t>
  </si>
  <si>
    <t>480445</t>
  </si>
  <si>
    <t>267</t>
  </si>
  <si>
    <t>salicylaldehyde</t>
  </si>
  <si>
    <t>405714</t>
  </si>
  <si>
    <t>193</t>
  </si>
  <si>
    <t>ribitol</t>
  </si>
  <si>
    <t>575953</t>
  </si>
  <si>
    <t>319</t>
  </si>
  <si>
    <t>pyruvic acid</t>
  </si>
  <si>
    <t>212241</t>
  </si>
  <si>
    <t>174</t>
  </si>
  <si>
    <t>pyrophosphate</t>
  </si>
  <si>
    <t>327894</t>
  </si>
  <si>
    <t>110</t>
  </si>
  <si>
    <t>pseudo uridine</t>
  </si>
  <si>
    <t>813829</t>
  </si>
  <si>
    <t>214259</t>
  </si>
  <si>
    <t>177</t>
  </si>
  <si>
    <t>579508</t>
  </si>
  <si>
    <t>185</t>
  </si>
  <si>
    <t>proline</t>
  </si>
  <si>
    <t>364232</t>
  </si>
  <si>
    <t>142</t>
  </si>
  <si>
    <t>phytol</t>
  </si>
  <si>
    <t>761377</t>
  </si>
  <si>
    <t>143</t>
  </si>
  <si>
    <t>phosphoric acid</t>
  </si>
  <si>
    <t>344674</t>
  </si>
  <si>
    <t>314</t>
  </si>
  <si>
    <t>phenylalanine</t>
  </si>
  <si>
    <t>538016</t>
  </si>
  <si>
    <t>phenol</t>
  </si>
  <si>
    <t>219609</t>
  </si>
  <si>
    <t>151</t>
  </si>
  <si>
    <t>pelargonic acid</t>
  </si>
  <si>
    <t>399114</t>
  </si>
  <si>
    <t>464937</t>
  </si>
  <si>
    <t>100</t>
  </si>
  <si>
    <t>palmitoleic acid</t>
  </si>
  <si>
    <t>706786</t>
  </si>
  <si>
    <t>129</t>
  </si>
  <si>
    <t>palmitic acid</t>
  </si>
  <si>
    <t>711066</t>
  </si>
  <si>
    <t>313</t>
  </si>
  <si>
    <t>oxoproline</t>
  </si>
  <si>
    <t>486399</t>
  </si>
  <si>
    <t>156</t>
  </si>
  <si>
    <t>147</t>
  </si>
  <si>
    <t>594392</t>
  </si>
  <si>
    <t>ornithine</t>
  </si>
  <si>
    <t>oleic acid</t>
  </si>
  <si>
    <t>779154</t>
  </si>
  <si>
    <t>339</t>
  </si>
  <si>
    <t>852319</t>
  </si>
  <si>
    <t>octadecanol</t>
  </si>
  <si>
    <t>755073</t>
  </si>
  <si>
    <t>327</t>
  </si>
  <si>
    <t>N-methylalanine</t>
  </si>
  <si>
    <t>286258</t>
  </si>
  <si>
    <t>nicotinic acid</t>
  </si>
  <si>
    <t>354525</t>
  </si>
  <si>
    <t>180</t>
  </si>
  <si>
    <t>356109</t>
  </si>
  <si>
    <t>myristic acid</t>
  </si>
  <si>
    <t>634543</t>
  </si>
  <si>
    <t>285</t>
  </si>
  <si>
    <t>montanic acid</t>
  </si>
  <si>
    <t>1086666</t>
  </si>
  <si>
    <t>monopalmitin-1-glyceride</t>
  </si>
  <si>
    <t>901207</t>
  </si>
  <si>
    <t>371</t>
  </si>
  <si>
    <t>methylhexadecanoic acid</t>
  </si>
  <si>
    <t>750645</t>
  </si>
  <si>
    <t>128</t>
  </si>
  <si>
    <t>637775</t>
  </si>
  <si>
    <t>methionine sulfoxide</t>
  </si>
  <si>
    <t>methionine</t>
  </si>
  <si>
    <t>483568</t>
  </si>
  <si>
    <t>176</t>
  </si>
  <si>
    <t>methanolphosphate</t>
  </si>
  <si>
    <t>293419</t>
  </si>
  <si>
    <t>241</t>
  </si>
  <si>
    <t>mannitol</t>
  </si>
  <si>
    <t>665209</t>
  </si>
  <si>
    <t>948458</t>
  </si>
  <si>
    <t>361</t>
  </si>
  <si>
    <t>malic acid</t>
  </si>
  <si>
    <t>461034</t>
  </si>
  <si>
    <t>233</t>
  </si>
  <si>
    <t>maleimide</t>
  </si>
  <si>
    <t>244928</t>
  </si>
  <si>
    <t>154</t>
  </si>
  <si>
    <t>lysine</t>
  </si>
  <si>
    <t>662525</t>
  </si>
  <si>
    <t>linoleic acid</t>
  </si>
  <si>
    <t>777102</t>
  </si>
  <si>
    <t>337</t>
  </si>
  <si>
    <t>lignoceric acid</t>
  </si>
  <si>
    <t>977850</t>
  </si>
  <si>
    <t>levoglucosan</t>
  </si>
  <si>
    <t>569799</t>
  </si>
  <si>
    <t>leucine</t>
  </si>
  <si>
    <t>346072</t>
  </si>
  <si>
    <t>lauric acid</t>
  </si>
  <si>
    <t>548310</t>
  </si>
  <si>
    <t>1095135</t>
  </si>
  <si>
    <t>lactic acid</t>
  </si>
  <si>
    <t>219167</t>
  </si>
  <si>
    <t>kynurenine</t>
  </si>
  <si>
    <t>769271</t>
  </si>
  <si>
    <t>isothreonic acid</t>
  </si>
  <si>
    <t>489846</t>
  </si>
  <si>
    <t>794629</t>
  </si>
  <si>
    <t>95</t>
  </si>
  <si>
    <t>86</t>
  </si>
  <si>
    <t>isoleucine</t>
  </si>
  <si>
    <t>356931</t>
  </si>
  <si>
    <t>isocitric acid</t>
  </si>
  <si>
    <t>616685</t>
  </si>
  <si>
    <t>245</t>
  </si>
  <si>
    <t>inositol myo-</t>
  </si>
  <si>
    <t>729867</t>
  </si>
  <si>
    <t>305</t>
  </si>
  <si>
    <t>inositol allo-</t>
  </si>
  <si>
    <t>675911</t>
  </si>
  <si>
    <t>318</t>
  </si>
  <si>
    <t>indole-3-lactate</t>
  </si>
  <si>
    <t>764543</t>
  </si>
  <si>
    <t>indole-3-acetate</t>
  </si>
  <si>
    <t>685195</t>
  </si>
  <si>
    <t>iminodiacetic acid</t>
  </si>
  <si>
    <t>485548</t>
  </si>
  <si>
    <t>232</t>
  </si>
  <si>
    <t>hydroxylamine</t>
  </si>
  <si>
    <t>255769</t>
  </si>
  <si>
    <t>325357</t>
  </si>
  <si>
    <t>278</t>
  </si>
  <si>
    <t>hydrocinnamic acid</t>
  </si>
  <si>
    <t>435417</t>
  </si>
  <si>
    <t>104</t>
  </si>
  <si>
    <t>histidine</t>
  </si>
  <si>
    <t>663715</t>
  </si>
  <si>
    <t>105</t>
  </si>
  <si>
    <t>hippuric acid 1TMS</t>
  </si>
  <si>
    <t>638257</t>
  </si>
  <si>
    <t>480421</t>
  </si>
  <si>
    <t>glycolic acid</t>
  </si>
  <si>
    <t>229810</t>
  </si>
  <si>
    <t>511031</t>
  </si>
  <si>
    <t>glycine</t>
  </si>
  <si>
    <t>364262</t>
  </si>
  <si>
    <t>glycerol-alpha-phosphate</t>
  </si>
  <si>
    <t>591357</t>
  </si>
  <si>
    <t>299</t>
  </si>
  <si>
    <t>glycerol-3-galactoside</t>
  </si>
  <si>
    <t>803554</t>
  </si>
  <si>
    <t>glycerol</t>
  </si>
  <si>
    <t>343749</t>
  </si>
  <si>
    <t>205</t>
  </si>
  <si>
    <t>glyceric acid</t>
  </si>
  <si>
    <t>373972</t>
  </si>
  <si>
    <t>189</t>
  </si>
  <si>
    <t>glutaric acid</t>
  </si>
  <si>
    <t>422031</t>
  </si>
  <si>
    <t>598894</t>
  </si>
  <si>
    <t>glutamine minor</t>
  </si>
  <si>
    <t>570071</t>
  </si>
  <si>
    <t>173</t>
  </si>
  <si>
    <t>glutamine dehydrated 2TMS minor</t>
  </si>
  <si>
    <t>492789</t>
  </si>
  <si>
    <t>155</t>
  </si>
  <si>
    <t>glutamine dehydrated</t>
  </si>
  <si>
    <t>520069</t>
  </si>
  <si>
    <t>227</t>
  </si>
  <si>
    <t>glutamic acid</t>
  </si>
  <si>
    <t>529370</t>
  </si>
  <si>
    <t>246</t>
  </si>
  <si>
    <t>666401</t>
  </si>
  <si>
    <t>333</t>
  </si>
  <si>
    <t>662738</t>
  </si>
  <si>
    <t>glucose-1-phosphate</t>
  </si>
  <si>
    <t>594823</t>
  </si>
  <si>
    <t>gluconic acid</t>
  </si>
  <si>
    <t>693140</t>
  </si>
  <si>
    <t>gamma-tocopherol</t>
  </si>
  <si>
    <t>1026222</t>
  </si>
  <si>
    <t>223</t>
  </si>
  <si>
    <t>GABA</t>
  </si>
  <si>
    <t>488308</t>
  </si>
  <si>
    <t>fumaric acid</t>
  </si>
  <si>
    <t>390988</t>
  </si>
  <si>
    <t>577861</t>
  </si>
  <si>
    <t>638631</t>
  </si>
  <si>
    <t>307</t>
  </si>
  <si>
    <t>ethanolamine</t>
  </si>
  <si>
    <t>342787</t>
  </si>
  <si>
    <t>erythronic acid lactone</t>
  </si>
  <si>
    <t>407645</t>
  </si>
  <si>
    <t>erythritol</t>
  </si>
  <si>
    <t>471274</t>
  </si>
  <si>
    <t>dodecane</t>
  </si>
  <si>
    <t>247379</t>
  </si>
  <si>
    <t>98</t>
  </si>
  <si>
    <t>dithiothreitol</t>
  </si>
  <si>
    <t>525104</t>
  </si>
  <si>
    <t>116</t>
  </si>
  <si>
    <t>dihydro-3-coumaric acid</t>
  </si>
  <si>
    <t>583527</t>
  </si>
  <si>
    <t>cystine minor</t>
  </si>
  <si>
    <t>797156</t>
  </si>
  <si>
    <t>cystine</t>
  </si>
  <si>
    <t>804143</t>
  </si>
  <si>
    <t>cysteine-glycine</t>
  </si>
  <si>
    <t>715639</t>
  </si>
  <si>
    <t>220</t>
  </si>
  <si>
    <t>cysteine</t>
  </si>
  <si>
    <t>499495</t>
  </si>
  <si>
    <t>creatinine</t>
  </si>
  <si>
    <t>502434</t>
  </si>
  <si>
    <t>115</t>
  </si>
  <si>
    <t>conduritol-beta-epoxide</t>
  </si>
  <si>
    <t>704220</t>
  </si>
  <si>
    <t>citrulline</t>
  </si>
  <si>
    <t>621606</t>
  </si>
  <si>
    <t>157</t>
  </si>
  <si>
    <t>citric acid</t>
  </si>
  <si>
    <t>618455</t>
  </si>
  <si>
    <t>273</t>
  </si>
  <si>
    <t>cholesterol</t>
  </si>
  <si>
    <t>1079689</t>
  </si>
  <si>
    <t>cerotic acid</t>
  </si>
  <si>
    <t>1032431</t>
  </si>
  <si>
    <t>caprylic acid</t>
  </si>
  <si>
    <t>343899</t>
  </si>
  <si>
    <t>201</t>
  </si>
  <si>
    <t>capric acid</t>
  </si>
  <si>
    <t>451122</t>
  </si>
  <si>
    <t>240203</t>
  </si>
  <si>
    <t>beta-alanine</t>
  </si>
  <si>
    <t>435375</t>
  </si>
  <si>
    <t>248</t>
  </si>
  <si>
    <t>338714</t>
  </si>
  <si>
    <t>behenic acid</t>
  </si>
  <si>
    <t>919675</t>
  </si>
  <si>
    <t>azelaic acid</t>
  </si>
  <si>
    <t>610175</t>
  </si>
  <si>
    <t>317</t>
  </si>
  <si>
    <t>aspartic acid</t>
  </si>
  <si>
    <t>478092</t>
  </si>
  <si>
    <t>asparagine</t>
  </si>
  <si>
    <t>551139</t>
  </si>
  <si>
    <t>arginine + ornithine</t>
  </si>
  <si>
    <t>619420</t>
  </si>
  <si>
    <t>arachidic acid</t>
  </si>
  <si>
    <t>855930</t>
  </si>
  <si>
    <t>arabitol</t>
  </si>
  <si>
    <t>572573</t>
  </si>
  <si>
    <t>arabinose</t>
  </si>
  <si>
    <t>546892</t>
  </si>
  <si>
    <t>aminomalonic acid</t>
  </si>
  <si>
    <t>455266</t>
  </si>
  <si>
    <t>alpha ketoglutaric acid</t>
  </si>
  <si>
    <t>507734</t>
  </si>
  <si>
    <t>198</t>
  </si>
  <si>
    <t>584284</t>
  </si>
  <si>
    <t>331</t>
  </si>
  <si>
    <t>188</t>
  </si>
  <si>
    <t>alanine</t>
  </si>
  <si>
    <t>241959</t>
  </si>
  <si>
    <t>adipic acid</t>
  </si>
  <si>
    <t>475399</t>
  </si>
  <si>
    <t>111</t>
  </si>
  <si>
    <t>adenosine-5-phosphate</t>
  </si>
  <si>
    <t>1038945</t>
  </si>
  <si>
    <t>169</t>
  </si>
  <si>
    <t>aconitic acid</t>
  </si>
  <si>
    <t>584220</t>
  </si>
  <si>
    <t>229</t>
  </si>
  <si>
    <t>5-methoxytryptamine</t>
  </si>
  <si>
    <t>863982</t>
  </si>
  <si>
    <t>497599</t>
  </si>
  <si>
    <t>123</t>
  </si>
  <si>
    <t>4-hydroxybenzoate</t>
  </si>
  <si>
    <t>538420</t>
  </si>
  <si>
    <t>425836</t>
  </si>
  <si>
    <t>274944</t>
  </si>
  <si>
    <t>425498</t>
  </si>
  <si>
    <t>257844</t>
  </si>
  <si>
    <t>131</t>
  </si>
  <si>
    <t>425495</t>
  </si>
  <si>
    <t>913088</t>
  </si>
  <si>
    <t>290</t>
  </si>
  <si>
    <t>425281</t>
  </si>
  <si>
    <t>225119</t>
  </si>
  <si>
    <t>153</t>
  </si>
  <si>
    <t>425155</t>
  </si>
  <si>
    <t>85:24.0 87:3.0 89:179.0 90:5.0 91:4.0 92:17.0 94:3.0 95:1.0 96:6.0 99:16.0 100:8.0 101:175.0 102:1.0 103:1897.0 104:159.0 105:65.0 106:14.0 107:16.0 108:8.0 109:2.0 110:1.0 111:8.0 113:25.0 115:21.0 116:30.0 117:582.0 118:34.0 119:58.0 120:1.0 121:7.0 126</t>
  </si>
  <si>
    <t>MEAN</t>
  </si>
  <si>
    <t>85:619.0 86:43.0 89:53.0 90:10.0 91:137.0 93:107.0 94:130.0 95:1316.0 96:567.0 97:610.0 98:86.0 99:239.0 100:31.0 101:256.0 102:1.0 103:614.0 104:33.0 105:1.0 106:9.0 107:37.0 108:6.0 109:444.0 110:177.0 111:336.0 112:60.0 113:186.0 114:13.0 115:47.0 116:</t>
  </si>
  <si>
    <t>85:2672.0 86:3099.0 87:1409.0 88:348.0 89:79.0 90:8.0 93:122.0 94:202.0 95:441.0 96:497.0 97:761.0 98:2775.0 99:1089.0 100:12411.0 101:2646.0 102:1206.0 103:1370.0 104:272.0 105:517.0 106:81.0 108:97.0 109:399.0 110:1206.0 111:1842.0 112:13615.0 113:7602.</t>
  </si>
  <si>
    <t>85:3151.0 86:2999.0 87:692.0 88:1804.0 89:47.0 90:205.0 91:611.0 93:12.0 95:130.0 96:227.0 97:70.0 98:484.0 99:41264.0 100:16898.0 101:3765.0 102:876.0 104:178.0 106:359.0 107:1468.0 108:315.0 109:266.0 110:19938.0 111:3489.0 112:470.0 113:923.0 114:3402.</t>
  </si>
  <si>
    <t>85:466.0 86:80.0 87:101.0 88:30.0 89:186.0 90:11.0 91:69.0 93:36.0 94:26.0 95:59.0 96:110.0 97:529.0 98:179.0 99:235.0 100:83.0 101:784.0 102:50.0 103:1304.0 104:116.0 105:98.0 107:28.0 108:28.0 109:81.0 110:142.0 111:297.0 112:66.0 113:414.0 114:113.0 11</t>
  </si>
  <si>
    <t>85:207.0 86:37.0 87:116.0 88:17.0 89:645.0 90:199.0 91:799.0 92:454.0 93:259.0 94:11.0 95:106.0 96:57.0 97:57.0 98:7.0 99:14.0 100:5.0 101:13.0 102:14.0 103:231.0 104:259.0 105:265.0 106:53.0 107:127.0 108:9.0 109:49.0 110:15.0 111:49.0 112:9.0 114:3.0 11</t>
  </si>
  <si>
    <t xml:space="preserve">85:443.0 86:84.0 87:239.0 88:45.0 89:113.0 90:5.0 91:86.0 92:19.0 93:75.0 94:6.0 95:310.0 96:111.0 97:661.0 98:211.0 99:150.0 100:28.0 101:378.0 102:25.0 103:1615.0 104:96.0 105:114.0 106:5.0 107:39.0 109:98.0 110:13.0 111:239.0 112:35.0 113:56.0 114:9.0 </t>
  </si>
  <si>
    <t>90:1.0 96:2.0 103:459.0 104:24.0 105:7.0 119:1.0 129:37.0 131:8.0 133:28.0 147:102.0 148:2.0 149:1.0 155:1.0 156:1.0 189:4.0 203:2.0 208:1.0 219:46.0 220:5.0 221:2.0 225:1.0 236:1.0 245:1.0 258:2.0 291:1.0 297:1.0 306:2.0 333:1.0 335:2.0 336:1.0 345:2.0 3</t>
  </si>
  <si>
    <t>85:29.0 86:70.0 87:240.0 89:285.0 91:166.0 92:57.0 93:89.0 94:57.0 95:1445.0 96:141.0 97:212.0 98:21.0 99:162.0 100:413.0 101:139.0 103:336.0 104:202.0 105:29.0 106:481.0 107:12.0 108:190.0 109:212.0 110:399.0 111:1080.0 112:21.0 113:792.0 114:330.0 115:6</t>
  </si>
  <si>
    <t>85:984.0 86:37354.0 87:4267.0 88:3374.0 89:1377.0 90:181.0 97:11.0 98:234.0 99:721.0 100:37001.0 101:4773.0 102:3509.0 103:3054.0 104:472.0 105:595.0 113:1061.0 114:4332.0 115:1470.0 116:6103.0 117:3990.0 118:984.0 119:1392.0 120:133.0 121:48.0 126:6.0 12</t>
  </si>
  <si>
    <t>85:124.0 89:669.0 99:195.0 101:2858.0 102:90.0 103:11903.0 104:601.0 105:217.0 109:189.0 111:216.0 113:217.0 115:113.0 116:1129.0 117:2765.0 119:18.0 124:4.0 129:5225.0 130:291.0 131:1903.0 133:1995.0 142:58.0 143:525.0 147:7954.0 148:644.0 149:699.0 151:</t>
  </si>
  <si>
    <t>85:381.0 86:276.0 87:326.0 88:173.0 89:159.0 90:265.0 91:224.0 92:126.0 93:220.0 95:87.0 97:439.0 98:62.0 99:241.0 100:1416.0 101:803.0 102:339.0 103:354.0 104:68.0 105:39.0 107:271.0 108:20.0 110:191.0 111:212.0 112:77.0 113:49.0 114:138.0 115:199.0 116:</t>
  </si>
  <si>
    <t xml:space="preserve">85:7.0 86:18.0 87:14.0 88:14.0 89:9.0 90:3.0 91:57.0 92:25.0 93:13.0 97:6.0 98:13.0 99:21.0 100:89.0 101:55.0 102:8.0 103:211.0 104:4.0 105:1.0 106:4.0 107:26.0 108:7.0 110:11.0 112:12.0 113:4.0 115:43.0 116:133.0 117:16.0 119:3.0 120:2.0 122:2.0 124:7.0 </t>
  </si>
  <si>
    <t>88:18.0 91:150.0 98:73.0 99:1508.0 100:1273.0 101:173.0 102:122.0 103:83.0 104:46.0 109:2.0 111:144.0 114:135.0 115:137.0 117:515.0 118:76.0 119:40.0 120:113.0 124:23.0 126:321.0 127:167.0 128:138.0 129:109.0 131:758.0 132:117.0 133:301.0 139:11.0 140:85.</t>
  </si>
  <si>
    <t>85:395.0 87:207.0 90:313.0 93:9.0 97:98.0 98:622.0 99:963.0 100:1296.0 101:335.0 102:62.0 103:183.0 107:346.0 110:124.0 112:10.0 113:117.0 114:292.0 115:433.0 116:106.0 117:4.0 125:46.0 126:143.0 127:675.0 128:351.0 129:144.0 130:1114.0 131:279.0 132:170.</t>
  </si>
  <si>
    <t>86:35.0 90:2.0 92:58.0 100:1935.0 101:118.0 102:58.0 106:68.0 108:50.0 110:16.0 114:106.0 115:196.0 116:351.0 117:18.0 128:2.0 130:142.0 131:321.0 132:448.0 138:15.0 144:93.0 146:3657.0 147:1107.0 148:941.0 150:91.0 158:4.0 160:94.0 161:54.0 172:67.0 173:</t>
  </si>
  <si>
    <t xml:space="preserve">85:160.0 86:252.0 87:292.0 88:166.0 89:2168.0 90:172.0 92:26.0 94:21.0 98:58.0 99:73.0 100:685.0 101:880.0 102:422.0 103:18038.0 104:1788.0 105:1402.0 106:81.0 108:1.0 109:1.0 111:16.0 112:21.0 113:153.0 114:341.0 115:413.0 116:237.0 117:1997.0 118:201.0 </t>
  </si>
  <si>
    <t>147:6175.0 185:1267.0 149:1088.0 148:1077.0 227:949.0 133:831.0 95:803.0 128:685.0 203:685.0 156:620.0 217:562.0 184:489.0 377:440.0 141:417.0 129:357.0 204:350.0 113:338.0 100:302.0 99:260.0 259:240.0 169:234.0 139:228.0 134:193.0 116:188.0 228:186.0 101</t>
  </si>
  <si>
    <t xml:space="preserve">86:242.0 88:139.0 92:16.0 93:142.0 94:43.0 97:87.0 98:386.0 100:1075.0 101:54.0 102:58.0 103:258.0 105:12.0 109:34.0 111:47.0 115:125.0 116:302.0 117:17.0 119:30.0 126:3.0 128:160.0 131:311.0 132:59.0 134:398.0 136:13.0 138:5.0 141:5.0 142:34.0 143:741.0 </t>
  </si>
  <si>
    <t>85:933.0 86:1947.0 87:44405.0 88:353.0 89:14.0 91:213.0 93:505.0 95:64.0 96:533.0 97:1597.0 98:720.0 99:350.0 100:1266.0 101:854.0 102:246.0 103:517.0 104:198.0 105:18.0 106:19.0 107:304.0 109:73.0 110:327.0 112:257.0 113:327.0 114:248.0 115:971.0 117:752</t>
  </si>
  <si>
    <t>86:1.0 91:209.0 93:2.0 100:32.0 101:2.0 102:16.0 103:37.0 104:942.0 105:58.0 107:14.0 109:2.0 110:2.0 116:31.0 117:1.0 118:2.0 126:5.0 127:4.0 130:41.0 131:126.0 132:22.0 134:8.0 144:9.0 147:8.0 152:2.0 160:19.0 167:4.0 199:2.0 207:77.0 208:5.0 218:1.0 22</t>
  </si>
  <si>
    <t>85:3981.0 86:293.0 87:3599.0 88:1888.0 89:7902.0 90:405.0 94:202.0 95:878.0 97:2349.0 98:493.0 99:5155.0 100:380.0 101:12258.0 102:5648.0 103:153839.0 104:14863.0 105:7036.0 106:10.0 109:9388.0 111:4562.0 112:656.0 113:7191.0 114:1690.0 115:5383.0 116:545</t>
  </si>
  <si>
    <t>86:8768.0 87:689.0 88:85.0 89:84.0 91:232.0 92:53.0 94:10.0 95:64.0 96:576.0 100:3802.0 101:440.0 102:640.0 103:149.0 104:47.0 105:31.0 106:6.0 107:1821.0 110:354.0 112:270.0 113:902.0 114:672.0 115:129.0 116:305.0 117:289.0 118:122.0 119:415.0 121:1.0 12</t>
  </si>
  <si>
    <t xml:space="preserve">86:561.0 87:403.0 88:644.0 89:35.0 99:219.0 100:176.0 101:274.0 102:648.0 104:5441.0 105:335.0 106:5.0 107:486.0 110:168.0 114:460.0 116:32.0 117:38.0 121:7.0 127:384.0 130:6095.0 131:81.0 132:3092.0 133:35.0 136:105.0 138:17.0 139:26.0 143:55.0 144:59.0 </t>
  </si>
  <si>
    <t>85:80.0 89:9.0 90:4.0 95:64.0 97:436.0 98:236.0 100:159.0 103:7.0 110:130.0 112:1.0 114:27.0 117:114.0 122:1.0 126:22.0 127:89.0 131:9.0 133:469.0 134:125.0 135:11.0 136:6.0 137:5.0 138:2.0 139:19.0 140:35.0 141:68.0 145:2.0 146:1.0 147:8324.0 148:959.0 1</t>
  </si>
  <si>
    <t>85:741.0 86:118.0 87:594.0 89:1022.0 90:119.0 91:6112.0 92:951.0 97:223.0 99:58.0 101:166.0 102:341.0 103:1475.0 104:279.0 105:1256.0 106:237.0 107:98.0 108:16.0 110:6.0 111:135.0 112:1.0 113:11.0 114:4.0 115:838.0 116:61.0 117:1154.0 118:860.0 119:1356.0</t>
  </si>
  <si>
    <t>86:555.0 88:246.0 91:545.0 98:58.0 100:2576.0 101:711.0 102:497.0 106:180.0 111:45.0 114:75.0 115:246.0 116:1217.0 117:850.0 118:37.0 120:19.0 127:7.0 128:7.0 129:276.0 130:700.0 132:1267.0 134:167.0 140:83.0 141:169.0 142:388.0 146:312.0 147:12.0 148:19.</t>
  </si>
  <si>
    <t>85:114.0 91:125.0 92:107.0 93:440.0 95:376.0 96:213.0 97:90.0 101:14.0 102:99.0 105:159.0 107:29.0 109:43.0 111:72.0 112:1.0 116:66.0 119:48.0 123:11.0 129:558.0 131:91.0 135:203.0 136:94.0 137:17.0 145:58.0 151:81.0 158:10.0 163:12.0 164:82.0 165:110.0 1</t>
  </si>
  <si>
    <t>85:184.0 86:354.0 87:46.0 88:14.0 93:118.0 100:397.0 101:264.0 102:159.0 103:145.0 111:102.0 112:53.0 114:132.0 119:70.0 128:161.0 129:254.0 130:308.0 131:853.0 132:945.0 133:122.0 134:109.0 135:379.0 137:178.0 139:155.0 141:29.0 143:133.0 144:281.0 147:3</t>
  </si>
  <si>
    <t>85:709.0 86:41.0 87:506.0 88:67.0 89:1409.0 90:107.0 91:339.0 92:55.0 93:12.0 94:8.0 95:256.0 96:71.0 97:1942.0 98:200.0 99:345.0 100:46.0 101:691.0 102:29.0 103:1833.0 104:138.0 105:14.0 107:9.0 108:2.0 109:63.0 110:35.0 111:783.0 112:53.0 113:145.0 114:</t>
  </si>
  <si>
    <t>85:7706.0 86:1554.0 87:672.0 88:810.0 89:230.0 93:103.0 94:200.0 95:91.0 96:489.0 97:374.0 98:3532.0 99:315.0 100:1610.0 101:263.0 102:140.0 103:534.0 105:279.0 107:79.0 108:33.0 109:6.0 110:3339.0 111:97.0 112:212.0 113:1715.0 117:32.0 120:258.0 121:117.</t>
  </si>
  <si>
    <t>86:21789.0 87:7246.0 88:5778.0 89:4138.0 90:624.0 91:11715.0 92:587.0 93:1760.0 97:3377.0 98:1347.0 99:5303.0 100:17860.0 101:5739.0 102:5352.0 103:7699.0 104:22951.0 105:3353.0 106:134.0 107:3441.0 108:294.0 109:5375.0 110:4964.0 113:3606.0 114:774.0 115</t>
  </si>
  <si>
    <t>85:565.0 86:845.0 87:790.0 88:535.0 89:6861.0 90:592.0 91:618.0 92:229.0 93:81.0 94:131.0 95:82.0 96:74.0 97:71.0 98:285.0 99:592.0 100:1939.0 101:2517.0 102:1082.0 103:47280.0 104:4533.0 105:4103.0 106:317.0 107:207.0 108:45.0 109:43.0 110:128.0 111:241.</t>
  </si>
  <si>
    <t>147:136457.0 115:52492.0 130:38771.0 148:21374.0 133:14111.0 177:14086.0 131:12287.0 117:11965.0 103:11744.0 149:11695.0 101:10287.0 85:6165.0 116:5911.0 87:5534.0 205:3619.0 132:3181.0 99:2896.0 178:2292.0 119:1984.0 105:1584.0 134:1567.0 102:1527.0 118:</t>
  </si>
  <si>
    <t>85:1418.0 86:74.0 90:2.0 95:84.0 96:37.0 99:22.0 101:60.0 102:20.0 113:65.0 115:122.0 116:373.0 117:22.0 120:375.0 129:5247.0 130:672.0 131:332.0 132:33.0 133:891.0 134:84.0 135:30.0 147:2542.0 148:301.0 149:626.0 150:83.0 151:11.0 155:12.0 156:6.0 157:12</t>
  </si>
  <si>
    <t>85:255.0 86:33.0 87:41.0 88:34.0 89:37.0 90:5.0 91:41.0 93:66.0 94:3.0 95:288.0 96:43.0 97:296.0 98:225.0 99:57.0 100:7.0 101:8.0 102:1.0 103:20.0 105:90.0 106:26.0 107:39.0 108:15.0 109:66.0 110:3.0 111:147.0 112:43.0 113:14.0 115:19.0 116:159.0 117:3640</t>
  </si>
  <si>
    <t>85:1950.0 86:384.0 87:1175.0 88:866.0 89:1001.0 90:198.0 91:1756.0 92:732.0 93:120.0 94:41.0 95:3489.0 96:330.0 97:844.0 98:411.0 99:2152.0 100:374.0 101:1560.0 102:905.0 103:1680.0 104:257.0 105:710.0 106:133.0 107:88.0 108:5.0 109:81.0 110:204.0 111:724</t>
  </si>
  <si>
    <t>85:98.0 89:2765.0 90:127.0 91:122.0 92:3.0 93:73.0 96:24.0 97:74.0 100:287.0 101:614.0 102:131.0 103:3528.0 104:242.0 105:369.0 106:33.0 107:114.0 108:2.0 111:74.0 112:37.0 113:132.0 114:995.0 115:146.0 116:600.0 117:2538.0 118:317.0 119:241.0 121:74.0 12</t>
  </si>
  <si>
    <t>90:9.0 95:11.0 96:118.0 111:23.0 112:44.0 114:9.0 121:215.0 122:17.0 123:64.0 125:16.0 129:50.0 133:46.0 136:54.0 137:18.0 140:49.0 141:43.0 142:27.0 147:102.0 149:99.0 150:27.0 151:126.0 153:28.0 155:44.0 156:36.0 157:18.0 163:47.0 165:190.0 169:1531.0 1</t>
  </si>
  <si>
    <t>86:22.0 87:270.0 88:110.0 89:3183.0 90:182.0 94:18.0 96:23.0 98:14.0 99:83.0 100:94.0 101:5380.0 102:534.0 103:3676.0 104:328.0 105:126.0 107:12.0 109:25.0 110:100.0 112:37.0 113:573.0 114:120.0 115:730.0 116:1500.0 117:1052.0 118:144.0 119:293.0 120:18.0</t>
  </si>
  <si>
    <t>85:2076.0 86:2748.0 87:5901.0 88:406.0 89:806.0 90:135.0 91:588.0 93:221.0 94:278.0 95:38.0 97:12.0 100:1745.0 101:4603.0 102:49729.0 103:9323.0 104:2860.0 105:996.0 107:318.0 110:154.0 112:495.0 113:546.0 115:6402.0 116:363.0 117:108448.0 118:12198.0 119</t>
  </si>
  <si>
    <t>85:231.0 86:3.0 87:16.0 88:18.0 89:24.0 91:23.0 92:38.0 93:82.0 94:5.0 95:213.0 96:94.0 97:314.0 98:131.0 99:84.0 100:11.0 101:1.0 104:4.0 105:27.0 106:1.0 107:29.0 109:64.0 110:9.0 111:94.0 112:29.0 113:12.0 115:35.0 116:123.0 117:2647.0 118:229.0 119:12</t>
  </si>
  <si>
    <t>85:338.0 87:7.0 88:18.0 89:101.0 90:13.0 91:3177.0 92:471.0 93:2738.0 94:496.0 95:2308.0 96:514.0 97:1648.0 98:96.0 99:100.0 100:3.0 101:188.0 102:4.0 103:344.0 104:108.0 105:2670.0 106:384.0 107:1948.0 108:278.0 109:1101.0 110:147.0 111:152.0 113:25.0 11</t>
  </si>
  <si>
    <t>89:1218.0 90:106.0 100:138.0 101:348.0 102:158.0 103:2676.0 104:149.0 105:432.0 108:46.0 109:51.0 113:135.0 114:87.0 115:143.0 116:121.0 117:2333.0 118:76.0 119:66.0 127:8.0 128:25.0 129:2179.0 130:247.0 132:30.0 133:895.0 134:133.0 137:110.0 139:94.0 140</t>
  </si>
  <si>
    <t>85:15358.0 86:7124.0 87:4689.0 88:6613.0 89:10112.0 90:1230.0 91:11117.0 92:1386.0 93:28761.0 94:3062.0 95:7852.0 96:7553.0 97:36794.0 98:6395.0 99:11964.0 100:1001.0 101:11882.0 102:2116.0 103:5944.0 104:229.0 105:7786.0 106:1193.0 107:28194.0 108:3810.0</t>
  </si>
  <si>
    <t>85:335.0 86:850.0 87:356.0 88:770.0 89:3116.0 90:99.0 91:184.0 92:204.0 94:67.0 95:98.0 96:28.0 97:155.0 98:257.0 99:227.0 101:2028.0 102:60.0 103:36383.0 104:3434.0 105:799.0 108:71.0 109:14.0 110:83.0 111:386.0 113:1168.0 114:1114.0 115:485.0 116:1192.0</t>
  </si>
  <si>
    <t xml:space="preserve">85:1661.0 86:198.0 87:265.0 88:85.0 89:1625.0 90:195.0 91:25081.0 92:4410.0 93:15518.0 94:4159.0 95:20744.0 96:2605.0 97:3831.0 98:382.0 99:458.0 100:45.0 101:2392.0 102:388.0 103:1972.0 104:1210.0 105:23255.0 106:6154.0 107:18834.0 108:3827.0 109:8361.0 </t>
  </si>
  <si>
    <t xml:space="preserve">85:60.0 86:6421.0 87:564.0 88:251.0 89:60.0 92:64.0 95:4.0 96:2.0 97:2.0 99:16.0 100:2946.0 101:522.0 102:429.0 103:211.0 104:23.0 105:8.0 106:3.0 107:5.0 113:36.0 114:51.0 115:178.0 116:177.0 117:520.0 118:78.0 119:25.0 121:2.0 126:2.0 127:24.0 128:71.0 </t>
  </si>
  <si>
    <t>85:15.0 86:8.0 87:20.0 88:55.0 89:854.0 90:505.0 91:3506.0 92:216.0 93:20.0 96:16.0 97:18.0 98:6.0 101:75.0 102:169.0 103:52.0 105:6.0 107:11.0 108:54.0 110:46.0 112:64.0 113:7.0 114:3.0 118:108.0 119:4307.0 120:314.0 121:8.0 122:29.0 123:16.0 124:3.0 126</t>
  </si>
  <si>
    <t>85:2472.0 86:1478.0 87:1633.0 88:576.0 89:3553.0 90:421.0 91:253.0 92:172.0 93:316.0 94:534.0 95:1117.0 96:2472.0 97:1997.0 98:1743.0 99:16654.0 100:10368.0 101:8412.0 102:3218.0 103:20005.0 104:2189.0 105:1295.0 106:340.0 107:121.0 108:303.0 109:830.0 11</t>
  </si>
  <si>
    <t>85:4353.0 86:2726.0 87:970.0 88:802.0 89:2639.0 90:417.0 91:17689.0 92:4288.0 93:23399.0 94:17608.0 95:32507.0 96:20282.0 97:9386.0 98:2851.0 99:2570.0 100:540.0 101:1236.0 102:336.0 103:557.0 104:775.0 105:6316.0 106:2886.0 107:12052.0 108:10225.0 109:13</t>
  </si>
  <si>
    <t>85:142.0 86:28.0 87:1.0 88:6.0 89:42.0 90:1.0 91:12.0 92:11.0 93:10.0 94:15.0 95:126.0 96:21.0 97:148.0 98:119.0 99:62.0 100:3.0 101:13.0 102:20.0 103:7.0 105:23.0 106:13.0 107:18.0 108:9.0 109:58.0 110:5.0 111:80.0 112:24.0 113:19.0 114:1.0 115:13.0 116:</t>
  </si>
  <si>
    <t xml:space="preserve">85:472.0 86:307.0 90:60.0 92:18.0 93:526.0 94:262.0 95:110.0 97:172.0 98:301.0 99:88.0 100:62.0 101:263.0 103:1234.0 104:164.0 106:166.0 107:166.0 108:69.0 109:343.0 110:279.0 113:526.0 114:159.0 116:124.0 122:161.0 126:43.0 127:274.0 128:117.0 129:159.0 </t>
  </si>
  <si>
    <t>85:2063.0 86:5075.0 87:2324.0 88:1379.0 89:1552.0 90:66.0 91:612.0 94:23.0 97:10.0 98:4313.0 99:3117.0 100:120984.0 101:14861.0 102:6717.0 103:6663.0 104:839.0 105:1167.0 106:77.0 107:388.0 109:48.0 110:186.0 111:58.0 112:352.0 113:625.0 114:2006.0 115:93</t>
  </si>
  <si>
    <t>86:13212.0 87:245.0 90:530.0 91:122.0 93:137.0 94:85.0 96:550.0 97:1449.0 98:891.0 100:7104.0 102:1238.0 107:126.0 108:272.0 109:138.0 110:261.0 112:603.0 114:1019.0 121:4.0 122:33.0 123:49.0 124:136.0 126:593.0 128:2118.0 130:345.0 136:46.0 137:37.0 138:</t>
  </si>
  <si>
    <t>95:19.0 98:116.0 100:105.0 126:1.0 129:23.0 130:236.0 136:12.0 142:3.0 144:36.0 145:18.0 149:1206.0 150:18.0 158:7.0 160:108.0 170:47.0 174:5.0 186:224.0 200:57.0 201:3.0 202:3534.0 203:211.0 217:42.0 219:91.0 230:11.0 248:17.0 258:5.0 259:11.0 262:17.0 2</t>
  </si>
  <si>
    <t>85:1.0 87:58.0 88:215.0 89:62.0 90:2.0 94:14.0 95:19.0 96:7.0 97:4.0 100:9.0 101:33.0 102:23.0 103:534.0 104:4.0 105:16.0 106:3.0 107:9.0 108:3.0 112:2.0 113:51.0 115:32.0 117:473.0 118:1.0 119:31.0 122:1.0 126:1.0 131:388.0 132:83.0 133:816.0 134:40.0 13</t>
  </si>
  <si>
    <t>86:65.0 87:5.0 88:44.0 89:23.0 90:94.0 91:111.0 94:5.0 96:5.0 97:95.0 98:12.0 99:29.0 100:441.0 101:64.0 102:125.0 104:54.0 105:40.0 106:10.0 107:1.0 108:8.0 110:129.0 112:71.0 113:34.0 114:65.0 115:19.0 118:43.0 119:33.0 120:5.0 121:1.0 125:2.0 126:6.0 1</t>
  </si>
  <si>
    <t>86:137.0 87:847.0 88:59.0 89:12.0 91:3.0 92:46.0 94:3.0 96:13.0 97:11.0 98:108.0 99:48.0 101:132.0 103:6.0 105:15.0 106:12.0 107:6.0 108:15.0 109:11.0 110:20.0 113:71.0 114:4.0 115:416.0 116:20.0 117:28.0 118:40.0 119:20.0 121:2.0 124:1.0 126:5.0 127:112.</t>
  </si>
  <si>
    <t>85:837.0 86:241.0 87:1067.0 88:393.0 89:783.0 90:67.0 91:508.0 92:185.0 93:255.0 94:127.0 95:352.0 96:333.0 97:498.0 98:274.0 99:1092.0 100:167.0 101:2528.0 102:825.0 103:13982.0 104:1459.0 105:1031.0 106:159.0 107:209.0 108:86.0 109:357.0 110:109.0 111:1</t>
  </si>
  <si>
    <t>85:670.0 86:1646.0 87:4413.0 88:509.0 89:1825.0 90:194.0 91:3279.0 92:1671.0 93:61.0 94:72.0 95:119.0 96:162.0 97:152.0 98:342.0 99:339.0 100:6634.0 101:951.0 102:725.0 103:1319.0 104:211.0 105:978.0 106:77.0 107:235.0 108:22.0 113:180.0 114:151.0 115:151</t>
  </si>
  <si>
    <t>85:153.0 86:203.0 87:350.0 91:33.0 96:85.0 98:113.0 99:222.0 100:2656.0 101:283.0 102:332.0 103:536.0 105:97.0 106:199.0 108:1.0 110:1.0 115:304.0 116:279.0 117:772.0 118:115.0 119:9.0 126:72.0 131:2276.0 132:395.0 133:1596.0 134:292.0 135:144.0 136:4.0 1</t>
  </si>
  <si>
    <t>85:2264.0 86:902.0 87:1518.0 88:378.0 89:1155.0 90:554.0 92:395.0 93:984.0 94:145.0 95:104.0 96:257.0 97:369.0 98:108.0 99:2895.0 100:593.0 101:29374.0 102:3884.0 103:4294.0 104:868.0 105:1798.0 106:583.0 107:3435.0 108:9.0 109:4.0 110:171.0 111:30.0 113:</t>
  </si>
  <si>
    <t>86:867.0 88:893.0 90:3.0 91:3105.0 92:155.0 93:231.0 94:183.0 95:1228.0 100:752.0 101:358.0 102:24.0 105:58.0 106:316.0 107:6293.0 109:966.0 110:2380.0 111:552.0 113:90.0 114:483.0 115:1293.0 116:142.0 118:1092.0 119:170.0 120:91.0 121:52.0 122:197.0 123:</t>
  </si>
  <si>
    <t>85:147.0 86:29.0 87:286.0 88:169.0 89:1308.0 90:102.0 91:62.0 92:5.0 93:16.0 94:2.0 95:55.0 97:203.0 98:21.0 99:231.0 100:43.0 101:856.0 102:1031.0 103:7085.0 104:680.0 105:353.0 106:22.0 107:72.0 108:5.0 109:8.0 111:89.0 113:194.0 114:12.0 115:293.0 116:</t>
  </si>
  <si>
    <t>85:187.0 86:25.0 87:72.0 88:1.0 89:245.0 90:160.0 91:1766.0 92:425.0 93:149.0 94:3.0 95:122.0 97:92.0 98:23.0 99:8.0 100:498.0 101:55.0 102:29.0 103:165.0 104:34.0 105:321.0 106:19.0 107:53.0 108:3.0 109:16.0 110:37.0 111:17.0 113:50.0 114:7.0 115:314.0 1</t>
  </si>
  <si>
    <t>85:391.0 86:157.0 87:197.0 88:83.0 89:3128.0 90:249.0 91:359.0 92:18.0 93:33.0 94:2.0 95:43.0 96:9.0 97:842.0 98:144.0 99:219.0 100:122.0 101:471.0 102:91.0 103:908.0 104:48.0 105:69.0 108:3.0 109:9.0 110:31.0 111:395.0 112:805.0 113:115.0 114:22.0 115:30</t>
  </si>
  <si>
    <t xml:space="preserve">85:15.0 86:93.0 94:8.0 95:78.0 96:4.0 99:123.0 102:79.0 107:140.0 109:4.0 111:2899.0 112:116.0 113:68.0 114:100.0 116:84.0 117:256.0 120:3.0 121:6.0 123:9.0 124:32.0 125:23.0 126:70.0 129:429.0 130:50.0 131:111.0 132:49.0 135:6.0 136:2.0 139:26.0 140:7.0 </t>
  </si>
  <si>
    <t>86:461.0 98:116.0 110:85.0 114:56.0 118:39.0 121:49.0 127:467.0 130:1427.0 135:136.0 136:32.0 137:19.0 151:34.0 152:64.0 156:29.0 163:633.0 164:138.0 175:683.0 180:8.0 181:11.0 182:7.0 184:16.0 185:201.0 186:2.0 187:191.0 190:17.0 195:116.0 201:1.0 211:40</t>
  </si>
  <si>
    <t xml:space="preserve">85:365.0 86:138.0 88:19.0 90:513.0 91:950.0 93:451.0 94:355.0 95:697.0 96:1046.0 97:1067.0 98:272.0 99:272.0 100:961.0 101:98.0 102:54.0 105:52.0 108:355.0 109:202.0 110:531.0 111:151.0 112:157.0 113:83.0 114:23.0 115:2022.0 116:7970.0 117:710.0 118:71.0 </t>
  </si>
  <si>
    <t>86:204.0 88:37.0 90:41.0 94:99.0 95:93.0 96:456.0 97:492.0 98:130.0 99:197.0 100:701.0 101:72.0 102:37.0 103:101.0 107:270.0 109:4.0 110:799.0 111:294.0 114:124.0 123:1.0 127:459.0 128:201.0 130:615.0 131:33.0 134:819.0 136:61.0 146:43.0 154:7216.0 155:82</t>
  </si>
  <si>
    <t>85:3.0 87:7.0 88:35.0 89:1178.0 90:459.0 91:504.0 99:298.0 101:776.0 102:218.0 103:10443.0 104:843.0 105:291.0 110:223.0 115:4.0 116:500.0 117:4602.0 118:643.0 119:280.0 123:3.0 126:101.0 129:4694.0 130:669.0 131:1039.0 133:2048.0 134:579.0 135:279.0 137:</t>
  </si>
  <si>
    <t>85:665.0 86:52.0 88:1430.0 89:279.0 90:100.0 91:486.0 92:56.0 93:325.0 94:17.0 95:757.0 96:210.0 97:1352.0 98:993.0 99:91.0 100:39.0 101:2120.0 102:124.0 103:243.0 104:80.0 105:526.0 106:59.0 107:135.0 108:2.0 109:191.0 110:29.0 111:417.0 112:90.0 113:26.</t>
  </si>
  <si>
    <t>85:64.0 87:55.0 88:18.0 89:326.0 90:8.0 91:65.0 92:7.0 93:590.0 95:158.0 99:56.0 101:1014.0 102:45.0 103:2102.0 104:169.0 105:112.0 110:13.0 111:1.0 113:2.0 115:101.0 116:377.0 117:1375.0 118:138.0 119:84.0 127:3.0 129:383.0 130:28.0 131:441.0 132:20.0 13</t>
  </si>
  <si>
    <t>PRE:</t>
  </si>
  <si>
    <t>POST:</t>
  </si>
  <si>
    <t>86:1942.0 87:12.0 88:397.0 89:807.0 91:233.0 96:55.0 97:95.0 98:758.0 100:1374.0 101:373.0 102:203.0 103:185.0 105:68.0 107:376.0 108:46.0 110:268.0 114:415.0 116:515.0 118:233.0 120:6.0 121:80.0 122:21.0 123:76.0 128:86.0 129:510.0 130:183.0 134:296.0 13</t>
  </si>
  <si>
    <t>85:107.0 86:452.0 89:2406.0 91:183.0 93:9.0 94:148.0 98:232.0 99:231.0 100:1912.0 101:452.0 102:611.0 103:2032.0 105:49.0 108:294.0 109:114.0 112:2.0 113:241.0 114:93.0 116:174.0 117:884.0 118:33.0 124:2.0 128:64.0 129:2126.0 130:259.0 131:117.0 132:627.0</t>
  </si>
  <si>
    <t>85:681.0 86:319.0 87:427.0 88:365.0 89:5211.0 90:455.0 91:548.0 92:74.0 93:47.0 94:60.0 95:82.0 96:148.0 97:213.0 98:132.0 99:488.0 100:978.0 101:1557.0 102:964.0 103:8073.0 104:888.0 105:983.0 106:119.0 107:79.0 108:43.0 109:226.0 110:222.0 111:331.0 112</t>
  </si>
  <si>
    <t>85:87.0 86:2474.0 87:458.0 88:808.0 89:484.0 94:75.0 95:202.0 96:170.0 97:2294.0 98:293.0 99:151.0 100:1861.0 101:1638.0 102:438.0 103:6923.0 104:378.0 105:334.0 106:90.0 111:401.0 112:34.0 114:864.0 115:723.0 116:3651.0 117:2324.0 118:310.0 119:138.0 123</t>
  </si>
  <si>
    <t>85:352.0 87:382.0 91:55.0 93:15.0 95:641.0 96:599.0 97:6298.0 98:418.0 99:791.0 101:247.0 103:108.0 109:904.0 110:219.0 111:1465.0 112:91.0 113:613.0 115:77.0 116:499.0 117:3557.0 118:266.0 119:36.0 121:394.0 122:23.0 124:20.0 125:1552.0 126:66.0 127:1242</t>
  </si>
  <si>
    <t>85:678.0 86:799.0 87:247.0 88:683.0 90:84.0 91:266.0 93:274.0 95:147.0 97:686.0 98:29.0 99:48.0 100:955.0 102:94.0 104:213.0 105:223.0 106:260.0 107:2873.0 108:455.0 109:261.0 110:1837.0 111:623.0 112:76.0 113:31.0 114:154.0 116:7.0 118:631.0 120:59.0 125</t>
  </si>
  <si>
    <t>85:5005.0 86:824.0 88:890.0 89:3967.0 90:552.0 91:1145.0 92:159.0 99:553.0 100:1523.0 101:2170.0 103:1556.0 104:1506.0 105:423.0 109:1107.0 110:9992.0 111:1066.0 112:263.0 115:747.0 116:1914.0 117:899.0 118:916.0 119:1660.0 120:490.0 122:31.0 126:122.0 12</t>
  </si>
  <si>
    <t>86:147.0 87:482.0 95:3.0 99:4217.0 100:19735.0 101:1146.0 102:638.0 103:10.0 104:76.0 106:1139.0 110:311.0 114:185.0 115:115.0 116:105.0 117:35721.0 118:3254.0 119:1030.0 120:1.0 121:105.0 126:41.0 127:837.0 129:92.0 130:140.0 132:15.0 135:2.0 143:4.0 144</t>
  </si>
  <si>
    <t>85:655.0 86:957.0 87:144.0 88:381.0 89:150.0 91:189.0 92:40.0 97:855.0 98:426.0 99:428.0 100:701.0 101:847.0 102:547.0 103:8006.0 104:771.0 105:372.0 107:3.0 110:7.0 111:139.0 112:301.0 113:106.0 114:330.0 115:167.0 116:1925.0 117:1635.0 118:254.0 124:28.</t>
  </si>
  <si>
    <t>85:877.0 86:3059.0 87:654.0 88:213.0 90:82.0 91:329.0 93:122.0 95:231.0 97:381.0 98:2157.0 99:2085.0 100:5946.0 101:2099.0 102:6936.0 103:1290.0 104:476.0 106:29.0 107:863.0 108:109.0 109:684.0 110:422.0 111:89.0 112:657.0 113:243.0 114:492.0 115:914.0 11</t>
  </si>
  <si>
    <t>86:5927.0 87:80.0 89:132.0 90:460.0 91:1879.0 92:158.0 93:269.0 94:2.0 96:239.0 97:16.0 99:269.0 101:286.0 102:631.0 103:695.0 105:174.0 106:13.0 107:332.0 108:72.0 109:42.0 110:356.0 113:771.0 115:289.0 116:240.0 117:2247.0 118:58.0 119:314.0 120:6.0 128</t>
  </si>
  <si>
    <t>85:967.0 86:231.0 87:94.0 88:2.0 89:240.0 90:12.0 91:16.0 93:7.0 95:25.0 97:47.0 98:8.0 99:283.0 100:87.0 101:286.0 102:9.0 103:1110.0 104:45.0 105:29.0 106:8.0 107:5.0 109:12.0 111:86.0 112:26.0 113:199.0 114:8.0 115:28.0 116:134.0 117:930.0 118:55.0 119</t>
  </si>
  <si>
    <t>85:559.0 86:2607.0 87:390.0 88:243.0 89:988.0 90:584.0 91:544.0 92:129.0 94:639.0 96:19.0 99:1401.0 100:9928.0 101:1211.0 102:87.0 103:389.0 104:923.0 105:484.0 107:268.0 108:53.0 109:91.0 110:612.0 111:170.0 113:1797.0 114:309.0 115:755.0 116:5330.0 117:</t>
  </si>
  <si>
    <t>86:356.0 88:880.0 89:7015.0 90:758.0 91:462.0 92:35.0 98:80.0 99:38.0 100:1359.0 102:1293.0 103:9.0 104:135.0 107:18.0 108:51.0 110:561.0 113:194.0 116:2967.0 117:267.0 120:29.0 122:8.0 123:118.0 128:6.0 130:502.0 131:1135.0 132:87.0 133:577.0 134:642.0 1</t>
  </si>
  <si>
    <t>85:1063.0 86:1308.0 87:399.0 88:787.0 89:865.0 91:63.0 94:35.0 95:307.0 97:795.0 98:3527.0 99:673.0 100:1924.0 101:1031.0 102:1112.0 103:2760.0 104:430.0 108:130.0 109:88.0 111:2132.0 112:744.0 113:1101.0 114:542.0 115:609.0 116:1261.0 117:1943.0 118:436.</t>
  </si>
  <si>
    <t>85:51.0 86:58.0 87:26.0 88:28.0 89:762.0 90:61.0 91:24.0 92:8.0 94:4.0 96:7.0 97:2.0 99:26.0 100:129.0 101:288.0 102:57.0 103:1019.0 104:61.0 106:10.0 107:25.0 108:5.0 110:29.0 111:14.0 112:45.0 113:32.0 114:100.0 115:72.0 116:179.0 117:988.0 118:71.0 119</t>
  </si>
  <si>
    <t>85:294.0 86:277.0 90:192.0 91:10.0 93:305.0 94:178.0 98:773.0 99:271.0 100:427.0 104:13.0 106:61.0 107:1440.0 108:347.0 109:102.0 112:71.0 114:159.0 117:90.0 118:222.0 119:15.0 120:31.0 122:4969.0 123:507.0 124:614.0 125:7.0 127:156.0 128:119.0 130:1434.0</t>
  </si>
  <si>
    <t>85:214.0 86:24.0 91:566.0 92:31.0 93:250.0 94:32.0 95:117.0 97:120.0 99:28.0 100:19.0 101:44.0 102:7.0 103:130.0 105:468.0 106:28.0 107:263.0 108:40.0 109:139.0 110:14.0 111:23.0 112:11.0 115:161.0 117:1974.0 118:167.0 119:169.0 121:97.0 122:2.0 123:294.0</t>
  </si>
  <si>
    <t>85:398.0 86:47.0 87:56.0 88:35.0 89:40.0 90:1.0 91:112.0 92:40.0 93:205.0 94:142.0 95:1412.0 96:566.0 97:544.0 98:353.0 99:197.0 100:71.0 101:129.0 102:22.0 103:800.0 104:71.0 105:34.0 106:9.0 107:80.0 108:74.0 109:510.0 110:118.0 111:206.0 112:70.0 113:2</t>
  </si>
  <si>
    <t xml:space="preserve">85:30.0 86:4.0 88:3.0 90:9.0 91:186.0 92:43.0 93:10.0 97:10.0 98:5.0 99:31.0 100:7.0 101:33.0 102:1.0 103:15.0 106:4.0 107:5.0 109:149.0 111:83.0 112:4.0 113:92.0 114:7.0 115:52.0 116:48.0 118:3.0 119:53.0 120:6.0 121:14.0 123:4.0 124:6.0 125:6.0 126:4.0 </t>
  </si>
  <si>
    <t>232553</t>
  </si>
  <si>
    <t>419574</t>
  </si>
  <si>
    <t>251243</t>
  </si>
  <si>
    <t>419273</t>
  </si>
  <si>
    <t>372535</t>
  </si>
  <si>
    <t>416137</t>
  </si>
  <si>
    <t>305421</t>
  </si>
  <si>
    <t>170</t>
  </si>
  <si>
    <t>415158</t>
  </si>
  <si>
    <t>493182</t>
  </si>
  <si>
    <t>243</t>
  </si>
  <si>
    <t>415114</t>
  </si>
  <si>
    <t>249956</t>
  </si>
  <si>
    <t>89</t>
  </si>
  <si>
    <t>409031</t>
  </si>
  <si>
    <t>478576</t>
  </si>
  <si>
    <t>408731</t>
  </si>
  <si>
    <t>397310</t>
  </si>
  <si>
    <t>97</t>
  </si>
  <si>
    <t>408701</t>
  </si>
  <si>
    <t>551257</t>
  </si>
  <si>
    <t>409</t>
  </si>
  <si>
    <t>408611</t>
  </si>
  <si>
    <t>574677</t>
  </si>
  <si>
    <t>269</t>
  </si>
  <si>
    <t>408490</t>
  </si>
  <si>
    <t>968624</t>
  </si>
  <si>
    <t>85:164.0 91:37.0 97:115.0 98:305.0 99:37.0 112:520.0 113:88.0 115:1.0 125:40.0 138:25.0 139:155.0 142:4.0 143:109.0 158:1.0 185:1285.0 186:155.0 207:190.0 208:161.0 209:12.0 281:75.0 282:13.0 283:11.0 284:8.0 342:24.0 356:14.0</t>
  </si>
  <si>
    <t>402237</t>
  </si>
  <si>
    <t>302264</t>
  </si>
  <si>
    <t>401721</t>
  </si>
  <si>
    <t>263594</t>
  </si>
  <si>
    <t>152</t>
  </si>
  <si>
    <t>278651</t>
  </si>
  <si>
    <t>186</t>
  </si>
  <si>
    <t>372993</t>
  </si>
  <si>
    <t>624071</t>
  </si>
  <si>
    <t>284</t>
  </si>
  <si>
    <t>369638</t>
  </si>
  <si>
    <t>644843</t>
  </si>
  <si>
    <t>301</t>
  </si>
  <si>
    <t>367932</t>
  </si>
  <si>
    <t>380080</t>
  </si>
  <si>
    <t>359447</t>
  </si>
  <si>
    <t>905449</t>
  </si>
  <si>
    <t>356954</t>
  </si>
  <si>
    <t>376812</t>
  </si>
  <si>
    <t>140</t>
  </si>
  <si>
    <t>356938</t>
  </si>
  <si>
    <t>895137</t>
  </si>
  <si>
    <t>354038</t>
  </si>
  <si>
    <t>319018</t>
  </si>
  <si>
    <t>178</t>
  </si>
  <si>
    <t>91:59.0 93:49.0 100:45.0 104:86.0 109:71.0 118:312.0 119:13.0 120:192.0 126:31.0 127:296.0 130:159.0 134:30.0 144:25.0 146:7.0 149:69.0 150:22.0 158:4.0 176:24.0 178:2194.0 179:310.0 180:19.0 184:25.0 193:379.0 194:15.0 247:18.0 492:2.0</t>
  </si>
  <si>
    <t>215</t>
  </si>
  <si>
    <t>350532</t>
  </si>
  <si>
    <t>422917</t>
  </si>
  <si>
    <t>239</t>
  </si>
  <si>
    <t>340252</t>
  </si>
  <si>
    <t>632906</t>
  </si>
  <si>
    <t>339490</t>
  </si>
  <si>
    <t>450093</t>
  </si>
  <si>
    <t>339455</t>
  </si>
  <si>
    <t>319899</t>
  </si>
  <si>
    <t>339431</t>
  </si>
  <si>
    <t>747468</t>
  </si>
  <si>
    <t>391</t>
  </si>
  <si>
    <t>337286</t>
  </si>
  <si>
    <t>249922</t>
  </si>
  <si>
    <t>208</t>
  </si>
  <si>
    <t>322652</t>
  </si>
  <si>
    <t>594784</t>
  </si>
  <si>
    <t>319168</t>
  </si>
  <si>
    <t>336739</t>
  </si>
  <si>
    <t>314770</t>
  </si>
  <si>
    <t>700265</t>
  </si>
  <si>
    <t>309642</t>
  </si>
  <si>
    <t>227707</t>
  </si>
  <si>
    <t>309540</t>
  </si>
  <si>
    <t>741287</t>
  </si>
  <si>
    <t>307909</t>
  </si>
  <si>
    <t>698816</t>
  </si>
  <si>
    <t>305055</t>
  </si>
  <si>
    <t>197786</t>
  </si>
  <si>
    <t>303091</t>
  </si>
  <si>
    <t>339117</t>
  </si>
  <si>
    <t>190</t>
  </si>
  <si>
    <t>300920</t>
  </si>
  <si>
    <t>350852</t>
  </si>
  <si>
    <t>300865</t>
  </si>
  <si>
    <t>416458</t>
  </si>
  <si>
    <t>300379</t>
  </si>
  <si>
    <t>311694</t>
  </si>
  <si>
    <t>231</t>
  </si>
  <si>
    <t>85</t>
  </si>
  <si>
    <t>317377</t>
  </si>
  <si>
    <t>290404</t>
  </si>
  <si>
    <t>2-hydroxyvaleric acid</t>
  </si>
  <si>
    <t>310750</t>
  </si>
  <si>
    <t>2-hydroxyglutaric acid</t>
  </si>
  <si>
    <t>507692</t>
  </si>
  <si>
    <t>2-hydroxybutanoic acid</t>
  </si>
  <si>
    <t>258175</t>
  </si>
  <si>
    <t>390395</t>
  </si>
  <si>
    <t>422939</t>
  </si>
  <si>
    <t>299218</t>
  </si>
  <si>
    <t>578597</t>
  </si>
  <si>
    <t>299211</t>
  </si>
  <si>
    <t>725526</t>
  </si>
  <si>
    <t>183</t>
  </si>
  <si>
    <t>299159</t>
  </si>
  <si>
    <t>588963</t>
  </si>
  <si>
    <t>228</t>
  </si>
  <si>
    <t>299130</t>
  </si>
  <si>
    <t>401472</t>
  </si>
  <si>
    <t>213</t>
  </si>
  <si>
    <t>139</t>
  </si>
  <si>
    <t>295046</t>
  </si>
  <si>
    <t>837708</t>
  </si>
  <si>
    <t>295002</t>
  </si>
  <si>
    <t>672353</t>
  </si>
  <si>
    <t>294988</t>
  </si>
  <si>
    <t>534360</t>
  </si>
  <si>
    <t>294986</t>
  </si>
  <si>
    <t>884907</t>
  </si>
  <si>
    <t>390</t>
  </si>
  <si>
    <t>289052</t>
  </si>
  <si>
    <t>515010</t>
  </si>
  <si>
    <t>288822</t>
  </si>
  <si>
    <t>221570</t>
  </si>
  <si>
    <t>259</t>
  </si>
  <si>
    <t>288810</t>
  </si>
  <si>
    <t>274062</t>
  </si>
  <si>
    <t>288808</t>
  </si>
  <si>
    <t>265523</t>
  </si>
  <si>
    <t>244</t>
  </si>
  <si>
    <t>285340</t>
  </si>
  <si>
    <t>454255</t>
  </si>
  <si>
    <t>187</t>
  </si>
  <si>
    <t>281363</t>
  </si>
  <si>
    <t>710284</t>
  </si>
  <si>
    <t>281268</t>
  </si>
  <si>
    <t>448141</t>
  </si>
  <si>
    <t>261</t>
  </si>
  <si>
    <t>281216</t>
  </si>
  <si>
    <t>605436</t>
  </si>
  <si>
    <t>281187</t>
  </si>
  <si>
    <t>574112</t>
  </si>
  <si>
    <t>281148</t>
  </si>
  <si>
    <t>783627</t>
  </si>
  <si>
    <t>281112</t>
  </si>
  <si>
    <t>802983</t>
  </si>
  <si>
    <t>281108</t>
  </si>
  <si>
    <t>857519</t>
  </si>
  <si>
    <t>362</t>
  </si>
  <si>
    <t>280564</t>
  </si>
  <si>
    <t>528055</t>
  </si>
  <si>
    <t>272849</t>
  </si>
  <si>
    <t>221925</t>
  </si>
  <si>
    <t>272694</t>
  </si>
  <si>
    <t>486732</t>
  </si>
  <si>
    <t>271416</t>
  </si>
  <si>
    <t>593932</t>
  </si>
  <si>
    <t>197</t>
  </si>
  <si>
    <t>271050</t>
  </si>
  <si>
    <t>337877</t>
  </si>
  <si>
    <t>270066</t>
  </si>
  <si>
    <t>288528</t>
  </si>
  <si>
    <t>270003</t>
  </si>
  <si>
    <t>736904</t>
  </si>
  <si>
    <t>269625</t>
  </si>
  <si>
    <t>253612</t>
  </si>
  <si>
    <t>268365</t>
  </si>
  <si>
    <t>459616</t>
  </si>
  <si>
    <t>268313</t>
  </si>
  <si>
    <t>315878</t>
  </si>
  <si>
    <t>212</t>
  </si>
  <si>
    <t>268312</t>
  </si>
  <si>
    <t>438220</t>
  </si>
  <si>
    <t>114</t>
  </si>
  <si>
    <t>267884</t>
  </si>
  <si>
    <t>272140</t>
  </si>
  <si>
    <t>234</t>
  </si>
  <si>
    <t>267805</t>
  </si>
  <si>
    <t>390046</t>
  </si>
  <si>
    <t>543827</t>
  </si>
  <si>
    <t>242417</t>
  </si>
  <si>
    <t>374883</t>
  </si>
  <si>
    <t>283</t>
  </si>
  <si>
    <t>241882</t>
  </si>
  <si>
    <t>330639</t>
  </si>
  <si>
    <t>295</t>
  </si>
  <si>
    <t>373</t>
  </si>
  <si>
    <t>263</t>
  </si>
  <si>
    <t>241087</t>
  </si>
  <si>
    <t>739222</t>
  </si>
  <si>
    <t>353</t>
  </si>
  <si>
    <t>240432</t>
  </si>
  <si>
    <t>1100168</t>
  </si>
  <si>
    <t>240265</t>
  </si>
  <si>
    <t>672366</t>
  </si>
  <si>
    <t>294</t>
  </si>
  <si>
    <t>384445</t>
  </si>
  <si>
    <t>239966</t>
  </si>
  <si>
    <t>806614</t>
  </si>
  <si>
    <t>239873</t>
  </si>
  <si>
    <t>732710</t>
  </si>
  <si>
    <t>238320</t>
  </si>
  <si>
    <t>855550</t>
  </si>
  <si>
    <t>236890</t>
  </si>
  <si>
    <t>628019</t>
  </si>
  <si>
    <t>172</t>
  </si>
  <si>
    <t>531135</t>
  </si>
  <si>
    <t>235972</t>
  </si>
  <si>
    <t>406729</t>
  </si>
  <si>
    <t>235678</t>
  </si>
  <si>
    <t>530661</t>
  </si>
  <si>
    <t>329</t>
  </si>
  <si>
    <t>235373</t>
  </si>
  <si>
    <t>407853</t>
  </si>
  <si>
    <t>234717</t>
  </si>
  <si>
    <t>628281</t>
  </si>
  <si>
    <t>214</t>
  </si>
  <si>
    <t>232946</t>
  </si>
  <si>
    <t>784746</t>
  </si>
  <si>
    <t>232087</t>
  </si>
  <si>
    <t>616681</t>
  </si>
  <si>
    <t>231850</t>
  </si>
  <si>
    <t>878626</t>
  </si>
  <si>
    <t>122</t>
  </si>
  <si>
    <t>229268</t>
  </si>
  <si>
    <t>407022</t>
  </si>
  <si>
    <t>228528</t>
  </si>
  <si>
    <t>629517</t>
  </si>
  <si>
    <t>228147</t>
  </si>
  <si>
    <t>699907</t>
  </si>
  <si>
    <t>275</t>
  </si>
  <si>
    <t>211</t>
  </si>
  <si>
    <t>227352</t>
  </si>
  <si>
    <t>927021</t>
  </si>
  <si>
    <t>226927</t>
  </si>
  <si>
    <t>824957</t>
  </si>
  <si>
    <t>445</t>
  </si>
  <si>
    <t>226923</t>
  </si>
  <si>
    <t>743658</t>
  </si>
  <si>
    <t>226922</t>
  </si>
  <si>
    <t>696043</t>
  </si>
  <si>
    <t>226910</t>
  </si>
  <si>
    <t>793299</t>
  </si>
  <si>
    <t>226907</t>
  </si>
  <si>
    <t>716792</t>
  </si>
  <si>
    <t>387</t>
  </si>
  <si>
    <t>226903</t>
  </si>
  <si>
    <t>833661</t>
  </si>
  <si>
    <t>226876</t>
  </si>
  <si>
    <t>697041</t>
  </si>
  <si>
    <t>226864</t>
  </si>
  <si>
    <t>691552</t>
  </si>
  <si>
    <t>226860</t>
  </si>
  <si>
    <t>690521</t>
  </si>
  <si>
    <t>226858</t>
  </si>
  <si>
    <t>356536</t>
  </si>
  <si>
    <t>226851</t>
  </si>
  <si>
    <t>788409</t>
  </si>
  <si>
    <t>226848</t>
  </si>
  <si>
    <t>827200</t>
  </si>
  <si>
    <t>226846</t>
  </si>
  <si>
    <t>442001</t>
  </si>
  <si>
    <t>226844</t>
  </si>
  <si>
    <t>641635</t>
  </si>
  <si>
    <t>226843</t>
  </si>
  <si>
    <t>551430</t>
  </si>
  <si>
    <t>226842</t>
  </si>
  <si>
    <t>544485</t>
  </si>
  <si>
    <t>226841</t>
  </si>
  <si>
    <t>759286</t>
  </si>
  <si>
    <t>225555</t>
  </si>
  <si>
    <t>685994</t>
  </si>
  <si>
    <t>266</t>
  </si>
  <si>
    <t>225548</t>
  </si>
  <si>
    <t>439768</t>
  </si>
  <si>
    <t>225539</t>
  </si>
  <si>
    <t>798935</t>
  </si>
  <si>
    <t>225427</t>
  </si>
  <si>
    <t>1040697</t>
  </si>
  <si>
    <t>225396</t>
  </si>
  <si>
    <t>733154</t>
  </si>
  <si>
    <t>224551</t>
  </si>
  <si>
    <t>501237</t>
  </si>
  <si>
    <t>223973</t>
  </si>
  <si>
    <t>1028825</t>
  </si>
  <si>
    <t>223675</t>
  </si>
  <si>
    <t>281046</t>
  </si>
  <si>
    <t>145</t>
  </si>
  <si>
    <t>223548</t>
  </si>
  <si>
    <t>749189</t>
  </si>
  <si>
    <t>223521</t>
  </si>
  <si>
    <t>1166398</t>
  </si>
  <si>
    <t>223513</t>
  </si>
  <si>
    <t>808133</t>
  </si>
  <si>
    <t>223505</t>
  </si>
  <si>
    <t>810335</t>
  </si>
  <si>
    <t>222169</t>
  </si>
  <si>
    <t>975088</t>
  </si>
  <si>
    <t>220259</t>
  </si>
  <si>
    <t>547353</t>
  </si>
  <si>
    <t>219021</t>
  </si>
  <si>
    <t>335520</t>
  </si>
  <si>
    <t>218787</t>
  </si>
  <si>
    <t>435590</t>
  </si>
  <si>
    <t>217893</t>
  </si>
  <si>
    <t>708324</t>
  </si>
  <si>
    <t>217882</t>
  </si>
  <si>
    <t>357863</t>
  </si>
  <si>
    <t>216428</t>
  </si>
  <si>
    <t>505415</t>
  </si>
  <si>
    <t>214535</t>
  </si>
  <si>
    <t>867659</t>
  </si>
  <si>
    <t>213972</t>
  </si>
  <si>
    <t>194467</t>
  </si>
  <si>
    <t>213961</t>
  </si>
  <si>
    <t>897509</t>
  </si>
  <si>
    <t>91</t>
  </si>
  <si>
    <t>213960</t>
  </si>
  <si>
    <t>295965</t>
  </si>
  <si>
    <t>213697</t>
  </si>
  <si>
    <t>456893</t>
  </si>
  <si>
    <t>213253</t>
  </si>
  <si>
    <t>280269</t>
  </si>
  <si>
    <t>213182</t>
  </si>
  <si>
    <t>455965</t>
  </si>
  <si>
    <t>212279</t>
  </si>
  <si>
    <t>437899</t>
  </si>
  <si>
    <t>212022</t>
  </si>
  <si>
    <t>421363</t>
  </si>
  <si>
    <t>211972</t>
  </si>
  <si>
    <t>473115</t>
  </si>
  <si>
    <t>210904</t>
  </si>
  <si>
    <t>340549</t>
  </si>
  <si>
    <t>206556</t>
  </si>
  <si>
    <t>424318</t>
  </si>
  <si>
    <t>206309</t>
  </si>
  <si>
    <t>222307</t>
  </si>
  <si>
    <t>204425</t>
  </si>
  <si>
    <t>448206</t>
  </si>
  <si>
    <t>350</t>
  </si>
  <si>
    <t>204344</t>
  </si>
  <si>
    <t>246354</t>
  </si>
  <si>
    <t>204157</t>
  </si>
  <si>
    <t>451314</t>
  </si>
  <si>
    <t>203761</t>
  </si>
  <si>
    <t>1250082</t>
  </si>
  <si>
    <t>309</t>
  </si>
  <si>
    <t>202571</t>
  </si>
  <si>
    <t>648828</t>
  </si>
  <si>
    <t>201887</t>
  </si>
  <si>
    <t>1200427</t>
  </si>
  <si>
    <t>316</t>
  </si>
  <si>
    <t>201042</t>
  </si>
  <si>
    <t>298036</t>
  </si>
  <si>
    <t>200906</t>
  </si>
  <si>
    <t>565964</t>
  </si>
  <si>
    <t>200624</t>
  </si>
  <si>
    <t>421877</t>
  </si>
  <si>
    <t>200464</t>
  </si>
  <si>
    <t>387485</t>
  </si>
  <si>
    <t>200448</t>
  </si>
  <si>
    <t>414055</t>
  </si>
  <si>
    <t>199802</t>
  </si>
  <si>
    <t>642012</t>
  </si>
  <si>
    <t>199794</t>
  </si>
  <si>
    <t>681176</t>
  </si>
  <si>
    <t>199777</t>
  </si>
  <si>
    <t>675254</t>
  </si>
  <si>
    <t>199773</t>
  </si>
  <si>
    <t>755246</t>
  </si>
  <si>
    <t>199609</t>
  </si>
  <si>
    <t>1246841</t>
  </si>
  <si>
    <t>199596</t>
  </si>
  <si>
    <t>246426</t>
  </si>
  <si>
    <t>199239</t>
  </si>
  <si>
    <t>773115</t>
  </si>
  <si>
    <t>199215</t>
  </si>
  <si>
    <t>756511</t>
  </si>
  <si>
    <t>199203</t>
  </si>
  <si>
    <t>663983</t>
  </si>
  <si>
    <t>199177</t>
  </si>
  <si>
    <t>583891</t>
  </si>
  <si>
    <t>1,5-anhydroglucitol</t>
  </si>
  <si>
    <t>633295</t>
  </si>
  <si>
    <t>ret.index</t>
  </si>
  <si>
    <t>BinBase name</t>
  </si>
  <si>
    <t>quant m/z</t>
  </si>
  <si>
    <t>BinBase ID</t>
  </si>
  <si>
    <t>mass spec</t>
  </si>
  <si>
    <t>KEGG</t>
  </si>
  <si>
    <t>PubChem</t>
  </si>
  <si>
    <t>2010-0131_b1</t>
  </si>
  <si>
    <t>2010-0116_b1</t>
  </si>
  <si>
    <t>2010-0142_b1</t>
  </si>
  <si>
    <t>2009-0130_b1</t>
  </si>
  <si>
    <t>2011-0001_b1</t>
  </si>
  <si>
    <t>2010-0077_b1</t>
  </si>
  <si>
    <t>2010-0107_b1</t>
  </si>
  <si>
    <t>2010-0018_b1</t>
  </si>
  <si>
    <t>2011-0003_b1</t>
  </si>
  <si>
    <t>2010-0150_b1</t>
  </si>
  <si>
    <t>2010-0152_b1</t>
  </si>
  <si>
    <t>2010-0089_b1</t>
  </si>
  <si>
    <t>2009-0131_b1</t>
  </si>
  <si>
    <t>2010-0039_b1</t>
  </si>
  <si>
    <t>2010-0017_b1</t>
  </si>
  <si>
    <t>subject id</t>
  </si>
  <si>
    <t>xylose</t>
  </si>
  <si>
    <t>uric acid</t>
  </si>
  <si>
    <t>tyrosine</t>
  </si>
  <si>
    <t>threonic acid</t>
  </si>
  <si>
    <t>maltose</t>
  </si>
  <si>
    <t>glycocyamine</t>
  </si>
  <si>
    <t>glutamine</t>
  </si>
  <si>
    <t>glucuronic acid</t>
  </si>
  <si>
    <t>glucose</t>
  </si>
  <si>
    <t>fucose + rhamnose</t>
  </si>
  <si>
    <t>fructose</t>
  </si>
  <si>
    <t>benzoic acid</t>
  </si>
  <si>
    <t>alloxanoic acid</t>
  </si>
  <si>
    <t>3-hydroxybutanoic acid</t>
  </si>
  <si>
    <t>2-ketoisocaproic acid</t>
  </si>
  <si>
    <t>pvalue &lt;0.05</t>
  </si>
  <si>
    <t>red numbers</t>
  </si>
  <si>
    <t>pvalue &gt;0.05&lt;0.1</t>
  </si>
  <si>
    <t>85:434.0 86:48.0 89:77.0 91:2425.0 92:278.0 93:1904.0 94:651.0 95:2845.0 96:349.0 97:296.0 98:23.0 99:206.0 101:171.0 102:39.0 103:27.0 104:205.0 105:2650.0 106:466.0 107:2111.0 108:292.0 109:1381.0 110:24.0 111:309.0 113:49.0 114:43.0 115:206.0 116:257.0</t>
  </si>
  <si>
    <t>85:86.0 86:241.0 87:38.0 88:65.0 89:11.0 93:5.0 94:104.0 95:40.0 96:12.0 97:152.0 98:13.0 100:407.0 101:81.0 102:133.0 103:283.0 104:3.0 110:11.0 111:3.0 113:48.0 114:62.0 115:57.0 116:6824.0 117:860.0 118:232.0 119:40.0 125:20.0 126:6.0 127:19.0 128:92.0</t>
  </si>
  <si>
    <t>85:21565.0 86:6483.0 87:13090.0 88:3149.0 89:13706.0 90:1746.0 91:6592.0 92:399.0 93:2500.0 95:2630.0 96:3174.0 97:10249.0 98:6519.0 99:9116.0 100:22840.0 101:21737.0 102:6442.0 103:82141.0 104:11676.0 105:6237.0 106:709.0 107:362.0 109:3854.0 110:44533.0</t>
  </si>
  <si>
    <t xml:space="preserve">85:700.0 86:253.0 87:125.0 88:82.0 89:447.0 90:48.0 91:171.0 92:25.0 93:426.0 94:40.0 95:1020.0 96:117.0 97:1024.0 98:749.0 99:386.0 100:49.0 101:187.0 102:22.0 105:450.0 106:48.0 107:188.0 108:13.0 109:271.0 110:45.0 111:412.0 112:177.0 113:76.0 114:7.0 </t>
  </si>
  <si>
    <t>85:126.0 86:889.0 87:3026.0 88:5084.0 89:1183.0 90:22.0 93:4.0 94:202.0 98:1466.0 99:374.0 100:921.0 101:2751.0 102:1904.0 103:1178.0 104:118.0 105:617.0 106:59.0 107:9.0 108:12.0 110:76.0 115:1015.0 117:53210.0 118:5574.0 119:2852.0 120:184.0 123:9.0 127</t>
  </si>
  <si>
    <t>85:48.0 86:132.0 87:8.0 88:9.0 89:2.0 90:21.0 91:58.0 92:93.0 93:1.0 97:102.0 98:14.0 99:2.0 100:836.0 101:92.0 102:11.0 103:76.0 104:20.0 105:42.0 106:2.0 107:49.0 109:2.0 110:18.0 111:13.0 112:18.0 113:8.0 114:87.0 115:99.0 116:9.0 117:113.0 118:31.0 11</t>
  </si>
  <si>
    <t>85:106.0 86:18631.0 87:1854.0 88:801.0 91:1.0 92:57.0 99:116.0 100:9522.0 101:1976.0 102:1247.0 104:2.0 105:236.0 106:36.0 107:610.0 110:120.0 111:82.0 113:277.0 114:297.0 115:275.0 116:491.0 117:2457.0 118:465.0 119:450.0 120:26.0 122:5.0 124:68.0 125:11</t>
  </si>
  <si>
    <t>85:1141.0 86:213.0 87:1561.0 88:399.0 89:1740.0 90:310.0 91:1827.0 92:509.0 93:635.0 94:79.0 95:146.0 96:332.0 97:66.0 98:187.0 99:189.0 100:388.0 102:553.0 103:4819.0 104:1286.0 105:4011.0 106:778.0 107:2556.0 108:270.0 109:902.0 110:31.0 111:43.0 112:70</t>
  </si>
  <si>
    <t>85:701.0 86:636.0 87:586.0 88:414.0 89:113.0 91:38.0 92:14.0 97:60.0 99:7702.0 100:4008.0 101:494.0 102:282.0 103:277.0 105:16938.0 106:1164.0 107:167.0 108:19.0 110:1059.0 111:159.0 112:3.0 113:62.0 114:261.0 115:23.0 118:138.0 121:321.0 127:69.0 128:38.</t>
  </si>
  <si>
    <t>85:411.0 86:579.0 88:30.0 89:41.0 90:9.0 91:54.0 92:82.0 94:22.0 95:6.0 96:21.0 97:47.0 98:104.0 99:161.0 100:396.0 101:80.0 102:65.0 103:101.0 104:1.0 105:43.0 108:29.0 109:3.0 110:132.0 111:17.0 112:450.0 113:124.0 114:209.0 115:135.0 116:17.0 117:189.0</t>
  </si>
  <si>
    <t>85:181.0 86:15.0 87:193.0 88:25.0 89:817.0 90:31.0 91:53.0 92:18.0 93:16.0 94:1.0 95:2.0 96:5.0 97:225.0 98:3.0 99:149.0 100:25.0 101:1594.0 102:172.0 103:2896.0 104:202.0 105:151.0 106:9.0 107:14.0 109:3.0 110:4.0 111:132.0 113:300.0 114:37.0 115:397.0 1</t>
  </si>
  <si>
    <t>86:27.0 87:274.0 88:35.0 89:61.0 90:26.0 91:147.0 92:19.0 93:50.0 94:4.0 100:133.0 101:54.0 102:184.0 103:173.0 104:20.0 105:43.0 106:10.0 107:18.0 108:29.0 113:15.0 114:34.0 115:146.0 116:31.0 118:17.0 119:53.0 120:26.0 121:10.0 126:15.0 127:6.0 128:77.0</t>
  </si>
  <si>
    <t>85:34512.0 86:149407.0 87:41792.0 88:23086.0 89:13601.0 90:4836.0 91:2533.0 92:1249.0 93:1251.0 94:8767.0 95:5569.0 96:19664.0 97:16211.0 98:33287.0 99:57259.0 100:617018.0 101:90578.0 102:1134578.0 103:183427.0 104:49957.0 105:28416.0 106:2960.0 108:364.</t>
  </si>
  <si>
    <t>85:1183.0 86:635.0 87:1085.0 88:76.0 89:655.0 90:45.0 92:11.0 95:24.0 97:40.0 98:89.0 99:130.0 100:2120.0 101:1153.0 106:632.0 107:268.0 109:13.0 110:360.0 111:521.0 113:595.0 115:426.0 117:1175.0 118:109.0 119:425.0 121:144.0 122:5.0 123:45.0 125:103.0 1</t>
  </si>
  <si>
    <t>86:1341.0 88:487.0 89:509.0 98:24.0 99:84.0 100:1370.0 101:296.0 102:187.0 103:1551.0 105:41.0 107:4.0 110:118.0 112:254.0 113:58.0 114:497.0 115:204.0 117:599.0 118:176.0 120:6.0 123:45.0 126:219.0 128:1256.0 129:179.0 130:1057.0 131:278.0 132:190.0 133:</t>
  </si>
  <si>
    <t>85:3847.0 86:558.0 87:2019.0 88:404.0 89:1165.0 90:900.0 91:2477.0 92:348.0 93:886.0 94:1710.0 95:370.0 97:428.0 98:210.0 99:2103.0 100:791.0 101:47068.0 102:5070.0 103:5474.0 104:674.0 105:2947.0 106:405.0 107:604.0 109:180.0 110:12.0 111:1178.0 112:162.</t>
  </si>
  <si>
    <t>85:458.0 87:445.0 88:273.0 89:1241.0 90:117.0 91:85.0 93:120.0 94:8.0 95:48.0 98:24.0 99:99.0 101:1759.0 102:189.0 103:6906.0 104:735.0 105:547.0 106:86.0 107:18.0 108:34.0 109:13.0 110:10.0 111:37.0 112:45.0 113:209.0 115:479.0 116:604.0 117:7660.0 118:9</t>
  </si>
  <si>
    <t>85:49.0 86:134.0 87:42.0 88:7.0 89:12.0 90:37.0 91:29.0 92:81.0 93:25.0 94:7.0 96:11.0 97:10.0 98:12.0 99:3.0 100:344.0 101:43.0 102:92.0 103:69.0 104:1.0 106:15.0 107:24.0 108:22.0 109:1.0 110:6.0 114:32.0 115:17.0 116:16.0 117:25.0 118:7.0 119:12.0 120:</t>
  </si>
  <si>
    <t xml:space="preserve">85:2348.0 86:3547.0 87:54.0 90:316.0 92:486.0 93:154.0 94:463.0 95:54.0 96:628.0 97:28.0 98:2643.0 99:903.0 100:17525.0 101:3329.0 102:823.0 103:2040.0 104:144.0 105:129.0 107:543.0 108:286.0 110:325.0 111:1505.0 112:3820.0 113:683.0 114:707.0 116:1014.0 </t>
  </si>
  <si>
    <t>85:417.0 86:40.0 87:201.0 89:75.0 93:219.0 95:782.0 96:115.0 97:416.0 98:554.0 99:149.0 100:92.0 101:33.0 105:247.0 107:38.0 109:208.0 110:66.0 111:130.0 112:105.0 114:45.0 116:728.0 117:13594.0 118:1183.0 119:294.0 123:10.0 124:16.0 125:29.0 127:100.0 12</t>
  </si>
  <si>
    <t>85:2.0 88:15.0 91:98.0 92:102.0 95:3.0 96:5.0 98:3.0 99:10.0 100:74.0 101:25.0 107:26.0 110:19.0 113:5.0 115:2.0 117:33.0 118:16.0 126:28.0 127:10.0 128:9.0 130:1.0 131:13.0 132:12.0 133:2.0 134:56.0 135:2.0 136:9.0 140:21.0 141:4.0 142:3396.0 143:428.0 1</t>
  </si>
  <si>
    <t>85:1898.0 86:2486.0 87:420.0 88:662.0 89:459.0 90:399.0 93:381.0 95:334.0 97:1018.0 98:3601.0 99:1787.0 100:934.0 101:904.0 102:573.0 103:439.0 105:2489.0 106:106.0 110:1748.0 111:507.0 112:5139.0 113:948.0 114:202.0 115:338.0 116:2800.0 117:49159.0 118:4</t>
  </si>
  <si>
    <t>85:230.0 86:1747.0 89:234.0 90:160.0 91:534.0 92:73.0 93:25.0 97:191.0 100:2658.0 101:4921.0 102:497.0 103:464.0 105:127.0 107:4463.0 108:629.0 109:823.0 110:3505.0 111:165.0 112:90.0 114:804.0 115:113.0 117:5032.0 118:1887.0 119:578.0 120:124.0 127:210.0</t>
  </si>
  <si>
    <t>85:3012.0 86:683.0 87:4229.0 88:1173.0 89:2141.0 90:264.0 91:1051.0 92:435.0 93:343.0 94:183.0 95:507.0 96:215.0 97:761.0 98:556.0 99:3253.0 100:554.0 101:7623.0 102:2914.0 103:60634.0 104:6045.0 105:4298.0 106:438.0 107:409.0 108:109.0 109:1687.0 110:201</t>
  </si>
  <si>
    <t>85:2729.0 86:8458.0 88:1582.0 89:2478.0 90:119.0 91:50.0 95:472.0 96:27.0 98:2810.0 99:1522.0 100:7421.0 101:3495.0 102:1380.0 103:2595.0 104:189.0 105:954.0 106:340.0 107:588.0 108:119.0 109:19.0 111:205.0 112:1331.0 113:1962.0 114:3132.0 115:3479.0 116:</t>
  </si>
  <si>
    <t>85:291.0 86:1295.0 87:675.0 88:1087.0 89:864.0 90:47.0 92:50.0 93:16.0 97:18.0 98:65.0 99:114.0 100:17725.0 101:2373.0 102:1134.0 103:3887.0 104:329.0 105:468.0 106:100.0 108:117.0 109:26.0 110:268.0 112:15.0 113:132.0 114:2111.0 115:1502.0 116:6271.0 117</t>
  </si>
  <si>
    <t xml:space="preserve">85:16.0 86:326.0 87:20.0 89:2.0 90:3.0 91:42.0 92:24.0 93:6.0 94:2.0 95:5.0 96:10.0 99:8.0 100:288.0 101:27.0 102:107.0 103:10.0 104:2.0 105:1.0 107:15.0 108:5.0 109:3.0 110:11.0 112:6.0 113:27.0 114:51.0 115:4.0 116:25.0 117:19.0 118:8.0 119:3.0 122:6.0 </t>
  </si>
  <si>
    <t>85:372.0 86:1654.0 87:562.0 88:174.0 89:1170.0 90:620.0 91:14880.0 92:2198.0 93:379.0 94:39.0 95:111.0 96:36.0 97:147.0 98:179.0 99:132.0 100:14537.0 101:2108.0 102:1308.0 103:2054.0 104:513.0 105:614.0 106:68.0 107:170.0 108:5.0 109:25.0 110:22.0 111:4.0</t>
  </si>
  <si>
    <t xml:space="preserve">85:9.0 86:224.0 87:176.0 88:139.0 89:4.0 90:51.0 91:87.0 92:353.0 93:25.0 94:4.0 95:2.0 96:69.0 100:63.0 101:17.0 102:76.0 103:286.0 104:298.0 105:11540.0 106:884.0 107:79.0 108:1.0 109:1.0 110:23.0 112:49.0 116:141.0 117:43.0 118:151.0 119:24.0 121:39.0 </t>
  </si>
  <si>
    <t>85:149.0 86:7.0 87:71.0 88:31.0 89:19.0 91:405.0 92:19.0 93:2.0 95:123.0 97:12.0 99:46.0 100:6.0 101:97.0 103:112.0 104:25.0 105:164.0 106:3.0 107:19.0 108:4.0 109:27.0 110:14.0 112:2.0 115:201.0 116:35.0 117:111.0 118:6.0 119:642.0 120:29.0 121:1.0 123:2</t>
  </si>
  <si>
    <t>85:348.0 86:278.0 87:352.0 88:83.0 89:315.0 90:60.0 92:9.0 94:25.0 95:328.0 97:321.0 99:1403.0 100:223.0 101:579.0 102:249.0 103:268.0 104:36.0 105:73.0 110:40.0 111:744.0 113:228.0 114:66.0 115:1522.0 116:484.0 117:1187.0 118:169.0 119:277.0 120:19.0 124</t>
  </si>
  <si>
    <t>85:4685.0 86:2140.0 87:2432.0 88:1906.0 89:1713.0 90:818.0 94:6509.0 95:1977.0 96:343.0 97:582.0 98:972.0 99:6058.0 100:13.0 101:5789.0 102:1585.0 103:41828.0 104:3656.0 105:3410.0 107:3911.0 109:2903.0 110:448.0 112:53.0 113:1224.0 114:63.0 115:15601.0 1</t>
  </si>
  <si>
    <t>86:191.0 87:45.0 88:27.0 89:4.0 91:12.0 93:41.0 94:19.0 96:29.0 97:6.0 98:152.0 99:11.0 100:465.0 101:117.0 102:65.0 103:157.0 104:2.0 105:14.0 106:6.0 107:6.0 109:9.0 111:4.0 112:19.0 113:12.0 114:188.0 115:78.0 116:14.0 117:66.0 118:19.0 119:22.0 120:1.</t>
  </si>
  <si>
    <t>85:432.0 86:300.0 87:125.0 88:102.0 89:103.0 90:34.0 91:11.0 92:1.0 93:25.0 94:4.0 95:24.0 96:26.0 97:10.0 98:139.0 99:153.0 100:1571.0 101:279.0 102:133.0 103:244.0 104:23.0 105:96.0 106:2.0 107:49.0 108:7.0 109:15.0 110:39.0 111:13.0 112:197.0 113:181.0</t>
  </si>
  <si>
    <t>86:679.0 87:225.0 88:10.0 90:102.0 91:35.0 98:43.0 100:9221.0 101:1180.0 102:559.0 103:367.0 105:127.0 106:13.0 113:26.0 114:903.0 115:2311.0 116:1566.0 117:381.0 118:111.0 120:264.0 124:51.0 128:36.0 129:197.0 130:564.0 131:766.0 132:2303.0 133:762.0 134</t>
  </si>
  <si>
    <t>85:1195.0 86:478.0 87:434.0 88:161.0 89:1066.0 90:229.0 94:1.0 96:9.0 99:243.0 100:283.0 101:1791.0 102:6647.0 103:5903.0 104:836.0 105:324.0 106:59.0 107:480.0 108:13.0 109:43.0 110:37.0 112:44.0 113:165.0 114:56.0 115:300.0 116:271.0 117:3735.0 118:267.</t>
  </si>
  <si>
    <t>85:991.0 86:254.0 87:140.0 88:96.0 89:590.0 90:81.0 91:194.0 92:45.0 93:265.0 94:348.0 95:2577.0 96:4488.0 97:2961.0 98:3321.0 99:736.0 100:34.0 101:232.0 102:36.0 103:181.0 104:1.0 105:382.0 106:40.0 107:201.0 109:1411.0 110:1664.0 111:1158.0 112:547.0 1</t>
  </si>
  <si>
    <t>85:104.0 87:137.0 88:41.0 89:11.0 90:4.0 91:148.0 93:40.0 95:122.0 96:126.0 97:86.0 98:19.0 99:27.0 100:8.0 101:6.0 103:9.0 104:17.0 105:75.0 106:13.0 107:39.0 109:47.0 110:20.0 111:25.0 112:5.0 114:8.0 115:35.0 116:21.0 117:59.0 118:15.0 119:154.0 120:35</t>
  </si>
  <si>
    <t>85:16.0 86:49.0 89:92.0 90:2.0 92:9.0 93:4.0 95:59.0 97:1.0 98:26.0 99:2.0 100:5.0 102:2.0 103:186.0 104:8.0 105:10.0 107:1.0 111:8.0 112:4.0 114:2.0 116:30.0 117:1634.0 118:88.0 120:2.0 121:2.0 124:4.0 126:4.0 129:500.0 130:17.0 131:266.0 132:333.0 133:4</t>
  </si>
  <si>
    <t>85:33.0 86:125.0 87:4.0 88:21.0 89:2.0 91:138.0 92:33.0 93:3.0 94:1.0 97:3.0 98:24.0 99:272.0 100:2703.0 101:266.0 102:90.0 105:11.0 106:2.0 107:5.0 108:1.0 110:49.0 111:11.0 112:6.0 113:112.0 114:433.0 115:6116.0 116:644.0 117:253.0 118:19.0 126:17.0 127</t>
  </si>
  <si>
    <t>85:1022.0 86:901.0 87:290.0 88:175.0 89:525.0 90:119.0 91:114.0 93:338.0 94:40.0 95:1500.0 96:81.0 97:736.0 98:813.0 99:234.0 100:766.0 101:608.0 102:158.0 103:148.0 105:926.0 107:170.0 109:402.0 111:508.0 112:651.0 113:188.0 114:160.0 115:324.0 116:3272.</t>
  </si>
  <si>
    <t>86:10873.0 87:1358.0 88:545.0 91:23.0 97:4.0 98:955.0 99:243.0 100:5490.0 101:1270.0 102:689.0 103:1074.0 104:3.0 105:2.0 107:266.0 110:2586.0 111:253.0 114:390.0 115:245.0 116:833.0 117:2473.0 118:364.0 119:19.0 123:127.0 127:1.0 129:573.0 130:2372.0 131</t>
  </si>
  <si>
    <t>85:1565.0 86:177.0 87:17.0 88:57.0 89:16.0 90:103.0 93:29.0 94:66.0 98:24.0 100:140.0 102:12.0 103:57.0 105:28.0 106:1516.0 107:16.0 108:43.0 110:194.0 112:16.0 116:33.0 120:18.0 121:7.0 122:10.0 130:40.0 131:21.0 132:106.0 133:4.0 135:11.0 136:1250.0 137</t>
  </si>
  <si>
    <t>85:18315.0 86:5252.0 89:137277.0 90:12340.0 91:5391.0 92:40.0 93:1305.0 94:20.0 98:3485.0 99:46590.0 100:60978.0 101:6580.0 102:218.0 107:2897.0 108:297.0 110:6775.0 111:898.0 113:244.0 114:12290.0 115:64006.0 116:9701.0 118:2388.0 120:110.0 124:251.0 127</t>
  </si>
  <si>
    <t>85:454.0 87:124.0 88:157.0 89:11837.0 90:886.0 91:406.0 93:55.0 94:473.0 95:65.0 96:347.0 98:34793.0 99:2989.0 100:6157.0 101:942.0 102:1291.0 103:8562.0 104:1156.0 105:1978.0 106:84.0 108:157.0 109:61.0 110:197.0 112:192.0 114:1776.0 115:1420.0 116:6996.</t>
  </si>
  <si>
    <t>85:771.0 86:267.0 89:478.0 91:447.0 92:212.0 93:1497.0 94:388.0 95:2807.0 96:3544.0 97:2277.0 98:3123.0 99:697.0 100:108.0 101:32.0 105:365.0 107:948.0 108:214.0 109:1421.0 110:1603.0 111:804.0 112:500.0 116:1428.0 117:14856.0 118:1232.0 119:646.0 120:77.</t>
  </si>
  <si>
    <t>85:28779.0 87:161.0 88:1297.0 89:144175.0 90:12389.0 91:6963.0 92:417.0 94:1010.0 95:290.0 96:159.0 97:508.0 98:841.0 99:6804.0 100:6962.0 101:1013.0 102:262.0 103:2154.0 105:1004.0 106:290.0 108:614.0 109:94.0 110:16143.0 111:1696.0 112:1942.0 113:28962.</t>
  </si>
  <si>
    <t>85:187.0 86:54.0 89:175.0 90:1.0 91:361.0 92:175.0 93:183.0 94:2.0 95:381.0 96:39.0 97:330.0 98:279.0 99:150.0 101:110.0 102:6.0 103:220.0 104:21.0 105:252.0 106:25.0 107:46.0 109:123.0 111:229.0 112:81.0 113:22.0 115:43.0 116:481.0 117:7486.0 118:650.0 1</t>
  </si>
  <si>
    <t>85:1326.0 86:565.0 87:210.0 88:117.0 89:1464.0 90:212.0 94:105.0 95:166.0 96:251.0 97:477.0 98:285.0 99:1693.0 100:298.0 101:6507.0 102:696.0 103:5000.0 104:546.0 105:546.0 107:131.0 110:17.0 111:1417.0 112:176.0 113:3075.0 114:428.0 115:1454.0 116:5127.0</t>
  </si>
  <si>
    <t>86:2.0 89:214.0 90:4.0 92:93.0 93:57.0 95:1.0 99:8.0 100:9.0 101:144.0 102:985.0 103:1234.0 104:105.0 105:26.0 107:28.0 108:10.0 113:18.0 115:5.0 116:4.0 117:1493.0 118:105.0 119:89.0 123:1.0 127:13.0 129:137.0 130:742.0 131:341.0 132:49.0 133:624.0 134:7</t>
  </si>
  <si>
    <t xml:space="preserve">85:339.0 86:183.0 91:54.0 92:16.0 93:118.0 94:45.0 95:20.0 96:67.0 98:193.0 99:458.0 100:336.0 103:59.0 105:62.0 106:50.0 107:190.0 108:45.0 109:15.0 110:242.0 111:34.0 112:971.0 113:156.0 114:167.0 117:169.0 118:48.0 119:3.0 120:28.0 121:294.0 122:288.0 </t>
  </si>
  <si>
    <t>85:1252.0 86:4306.0 87:1822.0 88:1900.0 89:3593.0 90:3651.0 91:252.0 92:76.0 96:121.0 97:393.0 98:4971.0 99:3535.0 100:36180.0 101:6289.0 102:5611.0 103:4037.0 106:477.0 110:1113.0 111:320.0 112:297.0 113:1915.0 114:9996.0 115:9536.0 116:129085.0 117:1885</t>
  </si>
  <si>
    <t xml:space="preserve">85:213.0 86:79.0 87:140.0 88:32.0 89:17.0 91:53.0 92:21.0 93:66.0 94:15.0 97:3.0 98:19.0 99:228.0 100:795.0 101:273.0 102:27.0 103:733.0 104:19.0 105:21.0 106:69.0 107:11.0 108:12.0 110:4.0 111:79.0 113:175.0 115:57.0 116:38.0 117:251.0 119:107.0 120:3.0 </t>
  </si>
  <si>
    <t>85:416.0 86:210.0 87:140.0 88:111.0 89:675.0 90:120.0 92:132.0 93:183.0 94:22.0 95:657.0 96:62.0 97:455.0 98:384.0 99:309.0 100:253.0 101:342.0 102:103.0 103:393.0 104:2.0 105:426.0 106:30.0 107:104.0 108:4.0 109:155.0 110:23.0 111:174.0 112:80.0 113:55.0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</si>
</sst>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00"/>
    <numFmt numFmtId="166" formatCode="0.0"/>
    <numFmt numFmtId="167" formatCode="0.0%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26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1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" borderId="0" xfId="0" applyFill="1" applyAlignment="1">
      <alignment/>
    </xf>
    <xf numFmtId="0" fontId="0" fillId="0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0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Alignment="1">
      <alignment/>
    </xf>
    <xf numFmtId="0" fontId="0" fillId="24" borderId="0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65" fontId="6" fillId="0" borderId="0" xfId="0" applyNumberFormat="1" applyFont="1" applyBorder="1" applyAlignment="1">
      <alignment/>
    </xf>
    <xf numFmtId="0" fontId="1" fillId="4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1" fontId="4" fillId="2" borderId="0" xfId="0" applyNumberFormat="1" applyFont="1" applyFill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24" borderId="0" xfId="0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4" borderId="0" xfId="0" applyFont="1" applyFill="1" applyAlignment="1">
      <alignment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auto="1"/>
      </font>
      <fill>
        <patternFill>
          <bgColor indexed="34"/>
        </patternFill>
      </fill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413"/>
  <sheetViews>
    <sheetView tabSelected="1" zoomScale="75" zoomScaleNormal="75" zoomScalePageLayoutView="0" workbookViewId="0" topLeftCell="A1">
      <selection activeCell="A3" sqref="A3:K3"/>
    </sheetView>
  </sheetViews>
  <sheetFormatPr defaultColWidth="9.140625" defaultRowHeight="15"/>
  <cols>
    <col min="1" max="1" width="41.7109375" style="0" customWidth="1"/>
    <col min="2" max="2" width="10.7109375" style="0" customWidth="1"/>
    <col min="3" max="3" width="11.57421875" style="0" customWidth="1"/>
    <col min="4" max="4" width="12.57421875" style="0" customWidth="1"/>
    <col min="5" max="5" width="12.421875" style="0" customWidth="1"/>
    <col min="7" max="7" width="89.8515625" style="0" customWidth="1"/>
    <col min="8" max="8" width="19.7109375" style="0" customWidth="1"/>
    <col min="9" max="22" width="15.7109375" style="0" customWidth="1"/>
    <col min="23" max="23" width="15.7109375" style="19" customWidth="1"/>
    <col min="24" max="26" width="15.7109375" style="14" customWidth="1"/>
    <col min="27" max="38" width="15.7109375" style="0" customWidth="1"/>
    <col min="39" max="42" width="15.7109375" style="14" customWidth="1"/>
    <col min="43" max="43" width="14.57421875" style="0" customWidth="1"/>
    <col min="44" max="44" width="38.8515625" style="0" customWidth="1"/>
    <col min="45" max="57" width="15.7109375" style="0" customWidth="1"/>
    <col min="58" max="58" width="15.7109375" style="14" customWidth="1"/>
    <col min="59" max="71" width="15.7109375" style="0" customWidth="1"/>
    <col min="72" max="72" width="15.7109375" style="14" customWidth="1"/>
    <col min="73" max="85" width="15.7109375" style="0" customWidth="1"/>
    <col min="86" max="86" width="15.7109375" style="14" customWidth="1"/>
    <col min="87" max="99" width="15.7109375" style="0" customWidth="1"/>
    <col min="100" max="100" width="15.7109375" style="14" customWidth="1"/>
    <col min="117" max="118" width="15.7109375" style="14" customWidth="1"/>
    <col min="119" max="132" width="15.7109375" style="0" customWidth="1"/>
    <col min="133" max="133" width="15.7109375" style="14" customWidth="1"/>
    <col min="134" max="147" width="15.7109375" style="0" customWidth="1"/>
    <col min="148" max="148" width="15.7109375" style="14" customWidth="1"/>
    <col min="149" max="162" width="15.7109375" style="0" customWidth="1"/>
    <col min="163" max="163" width="15.7109375" style="14" customWidth="1"/>
    <col min="164" max="177" width="15.7109375" style="0" customWidth="1"/>
  </cols>
  <sheetData>
    <row r="1" spans="1:23" ht="33.75">
      <c r="A1" s="49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W1" s="14"/>
    </row>
    <row r="2" spans="1:23" ht="18.75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W2" s="14"/>
    </row>
    <row r="3" spans="1:44" ht="19.5" thickBot="1">
      <c r="A3" s="52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W3" s="14"/>
      <c r="AQ3" s="45"/>
      <c r="AR3" s="46" t="s">
        <v>1091</v>
      </c>
    </row>
    <row r="4" spans="1:44" ht="34.5" thickBot="1">
      <c r="A4" s="54" t="s">
        <v>18</v>
      </c>
      <c r="B4" s="55"/>
      <c r="C4" s="55"/>
      <c r="D4" s="55"/>
      <c r="E4" s="55"/>
      <c r="F4" s="55"/>
      <c r="G4" s="56"/>
      <c r="H4" s="48" t="s">
        <v>641</v>
      </c>
      <c r="W4" s="14"/>
      <c r="AA4" s="48" t="s">
        <v>642</v>
      </c>
      <c r="AQ4" s="47" t="s">
        <v>1092</v>
      </c>
      <c r="AR4" s="47" t="s">
        <v>1093</v>
      </c>
    </row>
    <row r="5" spans="1:179" ht="15">
      <c r="A5" s="8"/>
      <c r="B5" s="8"/>
      <c r="C5" s="8"/>
      <c r="D5" s="8"/>
      <c r="E5" s="8"/>
      <c r="F5" s="8"/>
      <c r="G5" s="9" t="s">
        <v>1075</v>
      </c>
      <c r="H5" s="5" t="s">
        <v>56</v>
      </c>
      <c r="I5" s="4" t="s">
        <v>1072</v>
      </c>
      <c r="J5" s="4" t="s">
        <v>1074</v>
      </c>
      <c r="K5" s="4" t="s">
        <v>1067</v>
      </c>
      <c r="L5" s="4" t="s">
        <v>1073</v>
      </c>
      <c r="M5" s="4" t="s">
        <v>1065</v>
      </c>
      <c r="N5" s="4" t="s">
        <v>1071</v>
      </c>
      <c r="O5" s="4" t="s">
        <v>1066</v>
      </c>
      <c r="P5" s="4" t="s">
        <v>1061</v>
      </c>
      <c r="Q5" s="4" t="s">
        <v>1060</v>
      </c>
      <c r="R5" s="4" t="s">
        <v>1062</v>
      </c>
      <c r="S5" s="4" t="s">
        <v>1069</v>
      </c>
      <c r="T5" s="4" t="s">
        <v>1070</v>
      </c>
      <c r="U5" s="4" t="s">
        <v>1064</v>
      </c>
      <c r="V5" s="4" t="s">
        <v>1068</v>
      </c>
      <c r="W5" s="12"/>
      <c r="X5" s="12"/>
      <c r="Y5" s="12"/>
      <c r="Z5" s="12"/>
      <c r="AA5" s="4" t="s">
        <v>1063</v>
      </c>
      <c r="AB5" s="4" t="s">
        <v>1067</v>
      </c>
      <c r="AC5" s="4" t="s">
        <v>1065</v>
      </c>
      <c r="AD5" s="4" t="s">
        <v>1071</v>
      </c>
      <c r="AE5" s="4" t="s">
        <v>1066</v>
      </c>
      <c r="AF5" s="4" t="s">
        <v>1061</v>
      </c>
      <c r="AG5" s="4" t="s">
        <v>1060</v>
      </c>
      <c r="AH5" s="4" t="s">
        <v>1062</v>
      </c>
      <c r="AI5" s="4" t="s">
        <v>1069</v>
      </c>
      <c r="AJ5" s="4" t="s">
        <v>1070</v>
      </c>
      <c r="AK5" s="4" t="s">
        <v>1064</v>
      </c>
      <c r="AL5" s="4" t="s">
        <v>1068</v>
      </c>
      <c r="AM5" s="12"/>
      <c r="AN5" s="12"/>
      <c r="AO5" s="12"/>
      <c r="AP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7"/>
      <c r="CV5" s="17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3"/>
      <c r="FW5" s="3"/>
    </row>
    <row r="6" spans="1:179" ht="45">
      <c r="A6" s="10" t="s">
        <v>1054</v>
      </c>
      <c r="B6" s="9" t="s">
        <v>1053</v>
      </c>
      <c r="C6" s="9" t="s">
        <v>1055</v>
      </c>
      <c r="D6" s="9" t="s">
        <v>1056</v>
      </c>
      <c r="E6" s="9" t="s">
        <v>1057</v>
      </c>
      <c r="F6" s="9" t="s">
        <v>1058</v>
      </c>
      <c r="G6" s="9" t="s">
        <v>1059</v>
      </c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2" t="s">
        <v>567</v>
      </c>
      <c r="X6" s="22" t="s">
        <v>58</v>
      </c>
      <c r="Y6" s="22"/>
      <c r="Z6" s="2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3" t="s">
        <v>567</v>
      </c>
      <c r="AN6" s="23" t="s">
        <v>58</v>
      </c>
      <c r="AO6" s="23"/>
      <c r="AP6" s="23" t="s">
        <v>82</v>
      </c>
      <c r="AQ6" s="23" t="s">
        <v>108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8"/>
      <c r="CV6" s="18"/>
      <c r="DM6" s="20" t="s">
        <v>57</v>
      </c>
      <c r="DN6" s="20" t="s">
        <v>59</v>
      </c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3"/>
      <c r="FW6" s="3"/>
    </row>
    <row r="7" spans="1:179" ht="18.75">
      <c r="A7" s="1" t="s">
        <v>1004</v>
      </c>
      <c r="B7" s="2" t="s">
        <v>1005</v>
      </c>
      <c r="C7" s="2" t="s">
        <v>749</v>
      </c>
      <c r="D7" s="2" t="str">
        <f>HYPERLINK("http://eros.fiehnlab.ucdavis.edu:8080/binbase-compound/bin/show/206309?db=rtx5","206309")</f>
        <v>206309</v>
      </c>
      <c r="E7" s="2" t="s">
        <v>70</v>
      </c>
      <c r="F7" s="2" t="s">
        <v>83</v>
      </c>
      <c r="G7" s="2" t="s">
        <v>83</v>
      </c>
      <c r="H7" s="7">
        <v>6118</v>
      </c>
      <c r="I7" s="7">
        <v>6047</v>
      </c>
      <c r="J7" s="7">
        <v>14274</v>
      </c>
      <c r="K7" s="7">
        <v>8629</v>
      </c>
      <c r="L7" s="7">
        <v>333660</v>
      </c>
      <c r="M7" s="7">
        <v>7905</v>
      </c>
      <c r="N7" s="7">
        <v>24738</v>
      </c>
      <c r="O7" s="7">
        <v>6485</v>
      </c>
      <c r="P7" s="7">
        <v>4879</v>
      </c>
      <c r="Q7" s="7">
        <v>24817</v>
      </c>
      <c r="R7" s="7">
        <v>13536</v>
      </c>
      <c r="S7" s="7">
        <v>9733</v>
      </c>
      <c r="T7" s="7">
        <v>6178</v>
      </c>
      <c r="U7" s="7">
        <v>11360</v>
      </c>
      <c r="V7" s="7">
        <v>13632</v>
      </c>
      <c r="W7" s="24">
        <f aca="true" t="shared" si="0" ref="W7:W70">AVERAGE(H7:V7)</f>
        <v>32799.4</v>
      </c>
      <c r="X7" s="25">
        <f aca="true" t="shared" si="1" ref="X7:X70">STDEV(H7:V7)</f>
        <v>83465.72999124508</v>
      </c>
      <c r="Y7" s="25"/>
      <c r="Z7" s="26"/>
      <c r="AA7" s="7">
        <v>5047</v>
      </c>
      <c r="AB7" s="7">
        <v>8345</v>
      </c>
      <c r="AC7" s="7">
        <v>4359</v>
      </c>
      <c r="AD7" s="7">
        <v>11614</v>
      </c>
      <c r="AE7" s="7">
        <v>11903</v>
      </c>
      <c r="AF7" s="7">
        <v>4835</v>
      </c>
      <c r="AG7" s="7">
        <v>5229</v>
      </c>
      <c r="AH7" s="7">
        <v>6388</v>
      </c>
      <c r="AI7" s="7">
        <v>7763</v>
      </c>
      <c r="AJ7" s="7">
        <v>11965</v>
      </c>
      <c r="AK7" s="7">
        <v>7221</v>
      </c>
      <c r="AL7" s="7">
        <v>6807</v>
      </c>
      <c r="AM7" s="30">
        <f aca="true" t="shared" si="2" ref="AM7:AM70">AVERAGE(AA7:AL7)</f>
        <v>7623</v>
      </c>
      <c r="AN7" s="30">
        <f aca="true" t="shared" si="3" ref="AN7:AN70">STDEV(AA7:AL7)</f>
        <v>2808.8604289090104</v>
      </c>
      <c r="AO7" s="30"/>
      <c r="AP7" s="29">
        <f aca="true" t="shared" si="4" ref="AP7:AP70">AM7/W7</f>
        <v>0.23241278803880558</v>
      </c>
      <c r="AQ7" s="31">
        <f aca="true" t="shared" si="5" ref="AQ7:AQ70">TTEST(AA7:AL7,H7:V7,2,2)</f>
        <v>0.3081639416584342</v>
      </c>
      <c r="AR7" s="21" t="s">
        <v>1004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DM7" s="16"/>
      <c r="DN7" s="16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3"/>
      <c r="FW7" s="11"/>
    </row>
    <row r="8" spans="1:179" ht="18.75">
      <c r="A8" s="1" t="s">
        <v>950</v>
      </c>
      <c r="B8" s="2" t="s">
        <v>951</v>
      </c>
      <c r="C8" s="2" t="s">
        <v>775</v>
      </c>
      <c r="D8" s="2" t="str">
        <f>HYPERLINK("http://eros.fiehnlab.ucdavis.edu:8080/binbase-compound/bin/show/224551?db=rtx5","224551")</f>
        <v>224551</v>
      </c>
      <c r="E8" s="2" t="s">
        <v>112</v>
      </c>
      <c r="F8" s="2" t="s">
        <v>83</v>
      </c>
      <c r="G8" s="2" t="s">
        <v>83</v>
      </c>
      <c r="H8" s="7">
        <v>277</v>
      </c>
      <c r="I8" s="7">
        <v>271</v>
      </c>
      <c r="J8" s="7">
        <v>1523</v>
      </c>
      <c r="K8" s="7">
        <v>1582</v>
      </c>
      <c r="L8" s="7">
        <v>25777</v>
      </c>
      <c r="M8" s="7">
        <v>3349</v>
      </c>
      <c r="N8" s="7">
        <v>10010</v>
      </c>
      <c r="O8" s="7">
        <v>205</v>
      </c>
      <c r="P8" s="7">
        <v>241</v>
      </c>
      <c r="Q8" s="7">
        <v>424</v>
      </c>
      <c r="R8" s="7">
        <v>304</v>
      </c>
      <c r="S8" s="7">
        <v>232</v>
      </c>
      <c r="T8" s="7">
        <v>321</v>
      </c>
      <c r="U8" s="7">
        <v>4598</v>
      </c>
      <c r="V8" s="7">
        <v>8400</v>
      </c>
      <c r="W8" s="24">
        <f t="shared" si="0"/>
        <v>3834.266666666667</v>
      </c>
      <c r="X8" s="25">
        <f t="shared" si="1"/>
        <v>6827.197746269451</v>
      </c>
      <c r="Y8" s="25"/>
      <c r="Z8" s="26"/>
      <c r="AA8" s="7">
        <v>244</v>
      </c>
      <c r="AB8" s="7">
        <v>537</v>
      </c>
      <c r="AC8" s="7">
        <v>272</v>
      </c>
      <c r="AD8" s="7">
        <v>463</v>
      </c>
      <c r="AE8" s="7">
        <v>3453</v>
      </c>
      <c r="AF8" s="7">
        <v>565</v>
      </c>
      <c r="AG8" s="7">
        <v>182</v>
      </c>
      <c r="AH8" s="7">
        <v>604</v>
      </c>
      <c r="AI8" s="7">
        <v>3271</v>
      </c>
      <c r="AJ8" s="7">
        <v>4061</v>
      </c>
      <c r="AK8" s="7">
        <v>446</v>
      </c>
      <c r="AL8" s="7">
        <v>1686</v>
      </c>
      <c r="AM8" s="30">
        <f t="shared" si="2"/>
        <v>1315.3333333333333</v>
      </c>
      <c r="AN8" s="30">
        <f t="shared" si="3"/>
        <v>1438.0569171523416</v>
      </c>
      <c r="AO8" s="30"/>
      <c r="AP8" s="29">
        <f t="shared" si="4"/>
        <v>0.34304691031748785</v>
      </c>
      <c r="AQ8" s="31">
        <f t="shared" si="5"/>
        <v>0.2223747954535937</v>
      </c>
      <c r="AR8" s="21" t="s">
        <v>950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DM8" s="16"/>
      <c r="DN8" s="16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3"/>
      <c r="FW8" s="11"/>
    </row>
    <row r="9" spans="1:179" ht="18.75">
      <c r="A9" s="1" t="s">
        <v>773</v>
      </c>
      <c r="B9" s="2" t="s">
        <v>774</v>
      </c>
      <c r="C9" s="2" t="s">
        <v>351</v>
      </c>
      <c r="D9" s="2" t="str">
        <f>HYPERLINK("http://eros.fiehnlab.ucdavis.edu:8080/binbase-compound/bin/show/299159?db=rtx5","299159")</f>
        <v>299159</v>
      </c>
      <c r="E9" s="2" t="s">
        <v>74</v>
      </c>
      <c r="F9" s="2" t="s">
        <v>83</v>
      </c>
      <c r="G9" s="2" t="s">
        <v>83</v>
      </c>
      <c r="H9" s="7">
        <v>8507</v>
      </c>
      <c r="I9" s="7">
        <v>1095</v>
      </c>
      <c r="J9" s="7">
        <v>2786</v>
      </c>
      <c r="K9" s="7">
        <v>2769</v>
      </c>
      <c r="L9" s="7">
        <v>8309</v>
      </c>
      <c r="M9" s="7">
        <v>2531</v>
      </c>
      <c r="N9" s="7">
        <v>10215</v>
      </c>
      <c r="O9" s="7">
        <v>427</v>
      </c>
      <c r="P9" s="7">
        <v>714</v>
      </c>
      <c r="Q9" s="7">
        <v>808</v>
      </c>
      <c r="R9" s="7">
        <v>8715</v>
      </c>
      <c r="S9" s="7">
        <v>1355</v>
      </c>
      <c r="T9" s="7">
        <v>827</v>
      </c>
      <c r="U9" s="7">
        <v>6518</v>
      </c>
      <c r="V9" s="7">
        <v>5480</v>
      </c>
      <c r="W9" s="24">
        <f t="shared" si="0"/>
        <v>4070.4</v>
      </c>
      <c r="X9" s="25">
        <f t="shared" si="1"/>
        <v>3511.1805869658306</v>
      </c>
      <c r="Y9" s="25"/>
      <c r="Z9" s="26"/>
      <c r="AA9" s="7">
        <v>712</v>
      </c>
      <c r="AB9" s="7">
        <v>1392</v>
      </c>
      <c r="AC9" s="7">
        <v>573</v>
      </c>
      <c r="AD9" s="7">
        <v>3636</v>
      </c>
      <c r="AE9" s="7">
        <v>1600</v>
      </c>
      <c r="AF9" s="7">
        <v>1849</v>
      </c>
      <c r="AG9" s="7">
        <v>1054</v>
      </c>
      <c r="AH9" s="7">
        <v>434</v>
      </c>
      <c r="AI9" s="7">
        <v>2537</v>
      </c>
      <c r="AJ9" s="7">
        <v>4005</v>
      </c>
      <c r="AK9" s="7">
        <v>643</v>
      </c>
      <c r="AL9" s="7">
        <v>1230</v>
      </c>
      <c r="AM9" s="30">
        <f t="shared" si="2"/>
        <v>1638.75</v>
      </c>
      <c r="AN9" s="30">
        <f t="shared" si="3"/>
        <v>1185.0673264341642</v>
      </c>
      <c r="AO9" s="30"/>
      <c r="AP9" s="29">
        <f t="shared" si="4"/>
        <v>0.40260170990566035</v>
      </c>
      <c r="AQ9" s="31">
        <f t="shared" si="5"/>
        <v>0.030781182439605665</v>
      </c>
      <c r="AR9" s="21" t="s">
        <v>773</v>
      </c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DM9" s="16"/>
      <c r="DN9" s="16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3"/>
      <c r="FW9" s="11"/>
    </row>
    <row r="10" spans="1:179" ht="18.75">
      <c r="A10" s="1" t="s">
        <v>552</v>
      </c>
      <c r="B10" s="2" t="s">
        <v>553</v>
      </c>
      <c r="C10" s="2" t="s">
        <v>456</v>
      </c>
      <c r="D10" s="2" t="str">
        <f>HYPERLINK("http://eros.fiehnlab.ucdavis.edu:8080/binbase-compound/bin/show/205107?db=rtx5","205107")</f>
        <v>205107</v>
      </c>
      <c r="E10" s="2" t="s">
        <v>572</v>
      </c>
      <c r="F10" s="2" t="str">
        <f>HYPERLINK("http://www.genome.ad.jp/dbget-bin/www_bget?compound+C00156","C00156")</f>
        <v>C00156</v>
      </c>
      <c r="G10" s="2" t="str">
        <f>HYPERLINK("http://pubchem.ncbi.nlm.nih.gov/summary/summary.cgi?cid=105001","105001")</f>
        <v>105001</v>
      </c>
      <c r="H10" s="7">
        <v>157</v>
      </c>
      <c r="I10" s="7">
        <v>218</v>
      </c>
      <c r="J10" s="7">
        <v>5778</v>
      </c>
      <c r="K10" s="7">
        <v>5539</v>
      </c>
      <c r="L10" s="7">
        <v>1012</v>
      </c>
      <c r="M10" s="7">
        <v>493</v>
      </c>
      <c r="N10" s="7">
        <v>818</v>
      </c>
      <c r="O10" s="7">
        <v>490</v>
      </c>
      <c r="P10" s="7">
        <v>180</v>
      </c>
      <c r="Q10" s="7">
        <v>456</v>
      </c>
      <c r="R10" s="7">
        <v>1707</v>
      </c>
      <c r="S10" s="7">
        <v>397</v>
      </c>
      <c r="T10" s="7">
        <v>401</v>
      </c>
      <c r="U10" s="7">
        <v>1674</v>
      </c>
      <c r="V10" s="7">
        <v>567</v>
      </c>
      <c r="W10" s="24">
        <f t="shared" si="0"/>
        <v>1325.8</v>
      </c>
      <c r="X10" s="25">
        <f t="shared" si="1"/>
        <v>1823.3519055378672</v>
      </c>
      <c r="Y10" s="25"/>
      <c r="Z10" s="26"/>
      <c r="AA10" s="7">
        <v>430</v>
      </c>
      <c r="AB10" s="7">
        <v>1386</v>
      </c>
      <c r="AC10" s="7">
        <v>965</v>
      </c>
      <c r="AD10" s="7">
        <v>287</v>
      </c>
      <c r="AE10" s="7">
        <v>1750</v>
      </c>
      <c r="AF10" s="7">
        <v>217</v>
      </c>
      <c r="AG10" s="7">
        <v>154</v>
      </c>
      <c r="AH10" s="7">
        <v>345</v>
      </c>
      <c r="AI10" s="7">
        <v>523</v>
      </c>
      <c r="AJ10" s="7">
        <v>288</v>
      </c>
      <c r="AK10" s="7">
        <v>425</v>
      </c>
      <c r="AL10" s="7">
        <v>540</v>
      </c>
      <c r="AM10" s="30">
        <f t="shared" si="2"/>
        <v>609.1666666666666</v>
      </c>
      <c r="AN10" s="30">
        <f t="shared" si="3"/>
        <v>499.77355478316986</v>
      </c>
      <c r="AO10" s="30"/>
      <c r="AP10" s="29">
        <f t="shared" si="4"/>
        <v>0.45947101121335543</v>
      </c>
      <c r="AQ10" s="31">
        <f t="shared" si="5"/>
        <v>0.19953622512243518</v>
      </c>
      <c r="AR10" s="21" t="s">
        <v>552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DM10" s="16"/>
      <c r="DN10" s="16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3"/>
      <c r="FW10" s="11"/>
    </row>
    <row r="11" spans="1:179" ht="18.75">
      <c r="A11" s="1" t="s">
        <v>730</v>
      </c>
      <c r="B11" s="2" t="s">
        <v>731</v>
      </c>
      <c r="C11" s="2" t="s">
        <v>218</v>
      </c>
      <c r="D11" s="2" t="str">
        <f>HYPERLINK("http://eros.fiehnlab.ucdavis.edu:8080/binbase-compound/bin/show/337286?db=rtx5","337286")</f>
        <v>337286</v>
      </c>
      <c r="E11" s="2" t="s">
        <v>135</v>
      </c>
      <c r="F11" s="2" t="s">
        <v>83</v>
      </c>
      <c r="G11" s="2" t="s">
        <v>83</v>
      </c>
      <c r="H11" s="7">
        <v>379</v>
      </c>
      <c r="I11" s="7">
        <v>338</v>
      </c>
      <c r="J11" s="7">
        <v>12584</v>
      </c>
      <c r="K11" s="7">
        <v>2146</v>
      </c>
      <c r="L11" s="7">
        <v>933</v>
      </c>
      <c r="M11" s="7">
        <v>900</v>
      </c>
      <c r="N11" s="7">
        <v>2886</v>
      </c>
      <c r="O11" s="7">
        <v>111</v>
      </c>
      <c r="P11" s="7">
        <v>148</v>
      </c>
      <c r="Q11" s="7">
        <v>327</v>
      </c>
      <c r="R11" s="7">
        <v>2848</v>
      </c>
      <c r="S11" s="7">
        <v>197</v>
      </c>
      <c r="T11" s="7">
        <v>238</v>
      </c>
      <c r="U11" s="7">
        <v>3450</v>
      </c>
      <c r="V11" s="7">
        <v>2104</v>
      </c>
      <c r="W11" s="24">
        <f t="shared" si="0"/>
        <v>1972.6</v>
      </c>
      <c r="X11" s="25">
        <f t="shared" si="1"/>
        <v>3157.0726449852696</v>
      </c>
      <c r="Y11" s="25"/>
      <c r="Z11" s="26"/>
      <c r="AA11" s="7">
        <v>538</v>
      </c>
      <c r="AB11" s="7">
        <v>1419</v>
      </c>
      <c r="AC11" s="7">
        <v>291</v>
      </c>
      <c r="AD11" s="7">
        <v>2690</v>
      </c>
      <c r="AE11" s="7">
        <v>960</v>
      </c>
      <c r="AF11" s="7">
        <v>336</v>
      </c>
      <c r="AG11" s="7">
        <v>224</v>
      </c>
      <c r="AH11" s="7">
        <v>169</v>
      </c>
      <c r="AI11" s="7">
        <v>1413</v>
      </c>
      <c r="AJ11" s="7">
        <v>2688</v>
      </c>
      <c r="AK11" s="7">
        <v>367</v>
      </c>
      <c r="AL11" s="7">
        <v>610</v>
      </c>
      <c r="AM11" s="30">
        <f t="shared" si="2"/>
        <v>975.4166666666666</v>
      </c>
      <c r="AN11" s="30">
        <f t="shared" si="3"/>
        <v>906.9664179744105</v>
      </c>
      <c r="AO11" s="30"/>
      <c r="AP11" s="29">
        <f t="shared" si="4"/>
        <v>0.4944827469667782</v>
      </c>
      <c r="AQ11" s="31">
        <f t="shared" si="5"/>
        <v>0.30101919882815314</v>
      </c>
      <c r="AR11" s="21" t="s">
        <v>730</v>
      </c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DM11" s="16"/>
      <c r="DN11" s="16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3"/>
      <c r="FW11" s="11"/>
    </row>
    <row r="12" spans="1:179" ht="18.75">
      <c r="A12" s="1" t="s">
        <v>770</v>
      </c>
      <c r="B12" s="2" t="s">
        <v>771</v>
      </c>
      <c r="C12" s="2" t="s">
        <v>772</v>
      </c>
      <c r="D12" s="2" t="str">
        <f>HYPERLINK("http://eros.fiehnlab.ucdavis.edu:8080/binbase-compound/bin/show/299211?db=rtx5","299211")</f>
        <v>299211</v>
      </c>
      <c r="E12" s="2" t="s">
        <v>46</v>
      </c>
      <c r="F12" s="2" t="s">
        <v>83</v>
      </c>
      <c r="G12" s="2" t="s">
        <v>83</v>
      </c>
      <c r="H12" s="7">
        <v>996</v>
      </c>
      <c r="I12" s="7">
        <v>430</v>
      </c>
      <c r="J12" s="7">
        <v>537</v>
      </c>
      <c r="K12" s="7">
        <v>200</v>
      </c>
      <c r="L12" s="7">
        <v>1418</v>
      </c>
      <c r="M12" s="7">
        <v>251</v>
      </c>
      <c r="N12" s="7">
        <v>991</v>
      </c>
      <c r="O12" s="7">
        <v>93</v>
      </c>
      <c r="P12" s="7">
        <v>172</v>
      </c>
      <c r="Q12" s="7">
        <v>134</v>
      </c>
      <c r="R12" s="7">
        <v>1178</v>
      </c>
      <c r="S12" s="7">
        <v>317</v>
      </c>
      <c r="T12" s="7">
        <v>265</v>
      </c>
      <c r="U12" s="7">
        <v>179</v>
      </c>
      <c r="V12" s="7">
        <v>987</v>
      </c>
      <c r="W12" s="24">
        <f t="shared" si="0"/>
        <v>543.2</v>
      </c>
      <c r="X12" s="25">
        <f t="shared" si="1"/>
        <v>443.6773602517938</v>
      </c>
      <c r="Y12" s="25"/>
      <c r="Z12" s="26"/>
      <c r="AA12" s="7">
        <v>216</v>
      </c>
      <c r="AB12" s="7">
        <v>189</v>
      </c>
      <c r="AC12" s="7">
        <v>116</v>
      </c>
      <c r="AD12" s="7">
        <v>170</v>
      </c>
      <c r="AE12" s="7">
        <v>166</v>
      </c>
      <c r="AF12" s="7">
        <v>416</v>
      </c>
      <c r="AG12" s="7">
        <v>290</v>
      </c>
      <c r="AH12" s="7">
        <v>198</v>
      </c>
      <c r="AI12" s="7">
        <v>493</v>
      </c>
      <c r="AJ12" s="7">
        <v>516</v>
      </c>
      <c r="AK12" s="7">
        <v>376</v>
      </c>
      <c r="AL12" s="7">
        <v>198</v>
      </c>
      <c r="AM12" s="30">
        <f t="shared" si="2"/>
        <v>278.6666666666667</v>
      </c>
      <c r="AN12" s="30">
        <f t="shared" si="3"/>
        <v>137.07087306362442</v>
      </c>
      <c r="AO12" s="30"/>
      <c r="AP12" s="29">
        <f t="shared" si="4"/>
        <v>0.5130093274423171</v>
      </c>
      <c r="AQ12" s="31">
        <f t="shared" si="5"/>
        <v>0.05832240797363525</v>
      </c>
      <c r="AR12" s="21" t="s">
        <v>770</v>
      </c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DM12" s="16"/>
      <c r="DN12" s="16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3"/>
      <c r="FW12" s="11"/>
    </row>
    <row r="13" spans="1:179" ht="18.75">
      <c r="A13" s="1" t="s">
        <v>693</v>
      </c>
      <c r="B13" s="2" t="s">
        <v>694</v>
      </c>
      <c r="C13" s="2" t="s">
        <v>533</v>
      </c>
      <c r="D13" s="2" t="str">
        <f>HYPERLINK("http://eros.fiehnlab.ucdavis.edu:8080/binbase-compound/bin/show/401721?db=rtx5","401721")</f>
        <v>401721</v>
      </c>
      <c r="E13" s="2" t="s">
        <v>126</v>
      </c>
      <c r="F13" s="2" t="s">
        <v>83</v>
      </c>
      <c r="G13" s="2" t="s">
        <v>83</v>
      </c>
      <c r="H13" s="7">
        <v>1398</v>
      </c>
      <c r="I13" s="7">
        <v>1675</v>
      </c>
      <c r="J13" s="7">
        <v>20757</v>
      </c>
      <c r="K13" s="7">
        <v>5812</v>
      </c>
      <c r="L13" s="7">
        <v>4645</v>
      </c>
      <c r="M13" s="7">
        <v>3197</v>
      </c>
      <c r="N13" s="7">
        <v>4644</v>
      </c>
      <c r="O13" s="7">
        <v>441</v>
      </c>
      <c r="P13" s="7">
        <v>1747</v>
      </c>
      <c r="Q13" s="7">
        <v>2086</v>
      </c>
      <c r="R13" s="7">
        <v>5370</v>
      </c>
      <c r="S13" s="7">
        <v>1508</v>
      </c>
      <c r="T13" s="7">
        <v>1435</v>
      </c>
      <c r="U13" s="7">
        <v>6292</v>
      </c>
      <c r="V13" s="7">
        <v>3700</v>
      </c>
      <c r="W13" s="24">
        <f t="shared" si="0"/>
        <v>4313.8</v>
      </c>
      <c r="X13" s="25">
        <f t="shared" si="1"/>
        <v>4911.140938141128</v>
      </c>
      <c r="Y13" s="25"/>
      <c r="Z13" s="26"/>
      <c r="AA13" s="7">
        <v>2424</v>
      </c>
      <c r="AB13" s="7">
        <v>2330</v>
      </c>
      <c r="AC13" s="7">
        <v>2076</v>
      </c>
      <c r="AD13" s="7">
        <v>3016</v>
      </c>
      <c r="AE13" s="7">
        <v>1988</v>
      </c>
      <c r="AF13" s="7">
        <v>2002</v>
      </c>
      <c r="AG13" s="7">
        <v>1117</v>
      </c>
      <c r="AH13" s="7">
        <v>982</v>
      </c>
      <c r="AI13" s="7">
        <v>5303</v>
      </c>
      <c r="AJ13" s="7">
        <v>2766</v>
      </c>
      <c r="AK13" s="7">
        <v>1994</v>
      </c>
      <c r="AL13" s="7">
        <v>2122</v>
      </c>
      <c r="AM13" s="30">
        <f t="shared" si="2"/>
        <v>2343.3333333333335</v>
      </c>
      <c r="AN13" s="30">
        <f t="shared" si="3"/>
        <v>1097.0961947824176</v>
      </c>
      <c r="AO13" s="30"/>
      <c r="AP13" s="29">
        <f t="shared" si="4"/>
        <v>0.5432178898728113</v>
      </c>
      <c r="AQ13" s="31">
        <f t="shared" si="5"/>
        <v>0.1865987061220686</v>
      </c>
      <c r="AR13" s="21" t="s">
        <v>693</v>
      </c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DM13" s="16"/>
      <c r="DN13" s="16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3"/>
      <c r="FW13" s="11"/>
    </row>
    <row r="14" spans="1:179" ht="18.75">
      <c r="A14" s="1" t="s">
        <v>876</v>
      </c>
      <c r="B14" s="2" t="s">
        <v>877</v>
      </c>
      <c r="C14" s="2" t="s">
        <v>402</v>
      </c>
      <c r="D14" s="2" t="str">
        <f>HYPERLINK("http://eros.fiehnlab.ucdavis.edu:8080/binbase-compound/bin/show/235972?db=rtx5","235972")</f>
        <v>235972</v>
      </c>
      <c r="E14" s="2" t="s">
        <v>190</v>
      </c>
      <c r="F14" s="2" t="s">
        <v>83</v>
      </c>
      <c r="G14" s="2" t="s">
        <v>83</v>
      </c>
      <c r="H14" s="7">
        <v>625</v>
      </c>
      <c r="I14" s="7">
        <v>177</v>
      </c>
      <c r="J14" s="7">
        <v>1721</v>
      </c>
      <c r="K14" s="7">
        <v>1094</v>
      </c>
      <c r="L14" s="7">
        <v>1119</v>
      </c>
      <c r="M14" s="7">
        <v>1001</v>
      </c>
      <c r="N14" s="7">
        <v>1500</v>
      </c>
      <c r="O14" s="7">
        <v>302</v>
      </c>
      <c r="P14" s="7">
        <v>376</v>
      </c>
      <c r="Q14" s="7">
        <v>759</v>
      </c>
      <c r="R14" s="7">
        <v>2022</v>
      </c>
      <c r="S14" s="7">
        <v>572</v>
      </c>
      <c r="T14" s="7">
        <v>540</v>
      </c>
      <c r="U14" s="7">
        <v>1232</v>
      </c>
      <c r="V14" s="7">
        <v>2222</v>
      </c>
      <c r="W14" s="24">
        <f t="shared" si="0"/>
        <v>1017.4666666666667</v>
      </c>
      <c r="X14" s="25">
        <f t="shared" si="1"/>
        <v>628.334177086714</v>
      </c>
      <c r="Y14" s="25"/>
      <c r="Z14" s="26"/>
      <c r="AA14" s="7">
        <v>308</v>
      </c>
      <c r="AB14" s="7">
        <v>525</v>
      </c>
      <c r="AC14" s="7">
        <v>279</v>
      </c>
      <c r="AD14" s="7">
        <v>2196</v>
      </c>
      <c r="AE14" s="7">
        <v>565</v>
      </c>
      <c r="AF14" s="7">
        <v>447</v>
      </c>
      <c r="AG14" s="7">
        <v>445</v>
      </c>
      <c r="AH14" s="7">
        <v>111</v>
      </c>
      <c r="AI14" s="7">
        <v>736</v>
      </c>
      <c r="AJ14" s="7">
        <v>389</v>
      </c>
      <c r="AK14" s="7">
        <v>291</v>
      </c>
      <c r="AL14" s="7">
        <v>398</v>
      </c>
      <c r="AM14" s="30">
        <f t="shared" si="2"/>
        <v>557.5</v>
      </c>
      <c r="AN14" s="30">
        <f t="shared" si="3"/>
        <v>539.9118614939092</v>
      </c>
      <c r="AO14" s="30"/>
      <c r="AP14" s="29">
        <f t="shared" si="4"/>
        <v>0.5479294980998558</v>
      </c>
      <c r="AQ14" s="31">
        <f t="shared" si="5"/>
        <v>0.05541575555593795</v>
      </c>
      <c r="AR14" s="21" t="s">
        <v>876</v>
      </c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DM14" s="16"/>
      <c r="DN14" s="16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3"/>
      <c r="FW14" s="11"/>
    </row>
    <row r="15" spans="1:179" ht="18.75">
      <c r="A15" s="1" t="s">
        <v>1088</v>
      </c>
      <c r="B15" s="2" t="s">
        <v>534</v>
      </c>
      <c r="C15" s="2" t="s">
        <v>535</v>
      </c>
      <c r="D15" s="2" t="str">
        <f>HYPERLINK("http://eros.fiehnlab.ucdavis.edu:8080/binbase-compound/bin/show/339426?db=rtx5","339426")</f>
        <v>339426</v>
      </c>
      <c r="E15" s="2" t="s">
        <v>585</v>
      </c>
      <c r="F15" s="2" t="str">
        <f>HYPERLINK("http://www.genome.ad.jp/dbget-bin/www_bget?compound+n/a","n/a")</f>
        <v>n/a</v>
      </c>
      <c r="G15" s="2" t="str">
        <f>HYPERLINK("http://pubchem.ncbi.nlm.nih.gov/summary/summary.cgi?cid=553857","553857")</f>
        <v>553857</v>
      </c>
      <c r="H15" s="7">
        <v>784</v>
      </c>
      <c r="I15" s="7">
        <v>353</v>
      </c>
      <c r="J15" s="7">
        <v>4050</v>
      </c>
      <c r="K15" s="7">
        <v>1084</v>
      </c>
      <c r="L15" s="7">
        <v>1510</v>
      </c>
      <c r="M15" s="7">
        <v>931</v>
      </c>
      <c r="N15" s="7">
        <v>1696</v>
      </c>
      <c r="O15" s="7">
        <v>178</v>
      </c>
      <c r="P15" s="7">
        <v>260</v>
      </c>
      <c r="Q15" s="7">
        <v>370</v>
      </c>
      <c r="R15" s="7">
        <v>1653</v>
      </c>
      <c r="S15" s="7">
        <v>417</v>
      </c>
      <c r="T15" s="7">
        <v>281</v>
      </c>
      <c r="U15" s="7">
        <v>1446</v>
      </c>
      <c r="V15" s="7">
        <v>1470</v>
      </c>
      <c r="W15" s="24">
        <f t="shared" si="0"/>
        <v>1098.8666666666666</v>
      </c>
      <c r="X15" s="25">
        <f t="shared" si="1"/>
        <v>989.2543271623955</v>
      </c>
      <c r="Y15" s="25"/>
      <c r="Z15" s="26"/>
      <c r="AA15" s="7">
        <v>371</v>
      </c>
      <c r="AB15" s="7">
        <v>673</v>
      </c>
      <c r="AC15" s="7">
        <v>292</v>
      </c>
      <c r="AD15" s="7">
        <v>1308</v>
      </c>
      <c r="AE15" s="7">
        <v>606</v>
      </c>
      <c r="AF15" s="7">
        <v>494</v>
      </c>
      <c r="AG15" s="7">
        <v>258</v>
      </c>
      <c r="AH15" s="7">
        <v>208</v>
      </c>
      <c r="AI15" s="7">
        <v>1058</v>
      </c>
      <c r="AJ15" s="7">
        <v>1311</v>
      </c>
      <c r="AK15" s="7">
        <v>353</v>
      </c>
      <c r="AL15" s="7">
        <v>448</v>
      </c>
      <c r="AM15" s="30">
        <f t="shared" si="2"/>
        <v>615</v>
      </c>
      <c r="AN15" s="30">
        <f t="shared" si="3"/>
        <v>396.862238520669</v>
      </c>
      <c r="AO15" s="30"/>
      <c r="AP15" s="29">
        <f t="shared" si="4"/>
        <v>0.5596675362494692</v>
      </c>
      <c r="AQ15" s="31">
        <f t="shared" si="5"/>
        <v>0.12438230027487984</v>
      </c>
      <c r="AR15" s="21" t="s">
        <v>1088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DM15" s="16"/>
      <c r="DN15" s="16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3"/>
      <c r="FW15" s="11"/>
    </row>
    <row r="16" spans="1:179" ht="18.75">
      <c r="A16" s="1" t="s">
        <v>946</v>
      </c>
      <c r="B16" s="2" t="s">
        <v>947</v>
      </c>
      <c r="C16" s="2" t="s">
        <v>316</v>
      </c>
      <c r="D16" s="2" t="str">
        <f>HYPERLINK("http://eros.fiehnlab.ucdavis.edu:8080/binbase-compound/bin/show/225427?db=rtx5","225427")</f>
        <v>225427</v>
      </c>
      <c r="E16" s="2" t="s">
        <v>194</v>
      </c>
      <c r="F16" s="2" t="s">
        <v>83</v>
      </c>
      <c r="G16" s="2" t="s">
        <v>83</v>
      </c>
      <c r="H16" s="7">
        <v>165</v>
      </c>
      <c r="I16" s="7">
        <v>1249</v>
      </c>
      <c r="J16" s="7">
        <v>620</v>
      </c>
      <c r="K16" s="7">
        <v>276</v>
      </c>
      <c r="L16" s="7">
        <v>131</v>
      </c>
      <c r="M16" s="7">
        <v>679</v>
      </c>
      <c r="N16" s="7">
        <v>1322</v>
      </c>
      <c r="O16" s="7">
        <v>115</v>
      </c>
      <c r="P16" s="7">
        <v>1460</v>
      </c>
      <c r="Q16" s="7">
        <v>248</v>
      </c>
      <c r="R16" s="7">
        <v>1907</v>
      </c>
      <c r="S16" s="7">
        <v>645</v>
      </c>
      <c r="T16" s="7">
        <v>1116</v>
      </c>
      <c r="U16" s="7">
        <v>199</v>
      </c>
      <c r="V16" s="7">
        <v>700</v>
      </c>
      <c r="W16" s="24">
        <f t="shared" si="0"/>
        <v>722.1333333333333</v>
      </c>
      <c r="X16" s="25">
        <f t="shared" si="1"/>
        <v>566.0388510980329</v>
      </c>
      <c r="Y16" s="25"/>
      <c r="Z16" s="26"/>
      <c r="AA16" s="7">
        <v>413</v>
      </c>
      <c r="AB16" s="7">
        <v>385</v>
      </c>
      <c r="AC16" s="7">
        <v>255</v>
      </c>
      <c r="AD16" s="7">
        <v>242</v>
      </c>
      <c r="AE16" s="7">
        <v>197</v>
      </c>
      <c r="AF16" s="7">
        <v>176</v>
      </c>
      <c r="AG16" s="7">
        <v>155</v>
      </c>
      <c r="AH16" s="7">
        <v>462</v>
      </c>
      <c r="AI16" s="7">
        <v>496</v>
      </c>
      <c r="AJ16" s="7">
        <v>202</v>
      </c>
      <c r="AK16" s="7">
        <v>664</v>
      </c>
      <c r="AL16" s="7">
        <v>1234</v>
      </c>
      <c r="AM16" s="30">
        <f t="shared" si="2"/>
        <v>406.75</v>
      </c>
      <c r="AN16" s="30">
        <f t="shared" si="3"/>
        <v>303.72868425020977</v>
      </c>
      <c r="AO16" s="30"/>
      <c r="AP16" s="29">
        <f t="shared" si="4"/>
        <v>0.5632616322008863</v>
      </c>
      <c r="AQ16" s="31">
        <f t="shared" si="5"/>
        <v>0.0948619901289256</v>
      </c>
      <c r="AR16" s="21" t="s">
        <v>946</v>
      </c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DM16" s="16"/>
      <c r="DN16" s="16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3"/>
      <c r="FW16" s="11"/>
    </row>
    <row r="17" spans="1:179" ht="18.75">
      <c r="A17" s="1" t="s">
        <v>531</v>
      </c>
      <c r="B17" s="2" t="s">
        <v>532</v>
      </c>
      <c r="C17" s="2" t="s">
        <v>533</v>
      </c>
      <c r="D17" s="2" t="str">
        <f>HYPERLINK("http://eros.fiehnlab.ucdavis.edu:8080/binbase-compound/bin/show/200425?db=rtx5","200425")</f>
        <v>200425</v>
      </c>
      <c r="E17" s="2" t="s">
        <v>633</v>
      </c>
      <c r="F17" s="2" t="str">
        <f>HYPERLINK("http://www.genome.ad.jp/dbget-bin/www_bget?compound+C00026","C00026")</f>
        <v>C00026</v>
      </c>
      <c r="G17" s="2" t="str">
        <f>HYPERLINK("http://pubchem.ncbi.nlm.nih.gov/summary/summary.cgi?cid=51","51")</f>
        <v>51</v>
      </c>
      <c r="H17" s="7">
        <v>1559</v>
      </c>
      <c r="I17" s="7">
        <v>571</v>
      </c>
      <c r="J17" s="7">
        <v>883</v>
      </c>
      <c r="K17" s="7">
        <v>577</v>
      </c>
      <c r="L17" s="7">
        <v>570</v>
      </c>
      <c r="M17" s="7">
        <v>1211</v>
      </c>
      <c r="N17" s="7">
        <v>442</v>
      </c>
      <c r="O17" s="7">
        <v>408</v>
      </c>
      <c r="P17" s="7">
        <v>437</v>
      </c>
      <c r="Q17" s="7">
        <v>669</v>
      </c>
      <c r="R17" s="7">
        <v>1184</v>
      </c>
      <c r="S17" s="7">
        <v>651</v>
      </c>
      <c r="T17" s="7">
        <v>1036</v>
      </c>
      <c r="U17" s="7">
        <v>755</v>
      </c>
      <c r="V17" s="7">
        <v>1109</v>
      </c>
      <c r="W17" s="24">
        <f t="shared" si="0"/>
        <v>804.1333333333333</v>
      </c>
      <c r="X17" s="25">
        <f t="shared" si="1"/>
        <v>344.375390415473</v>
      </c>
      <c r="Y17" s="25"/>
      <c r="Z17" s="26"/>
      <c r="AA17" s="7">
        <v>462</v>
      </c>
      <c r="AB17" s="7">
        <v>364</v>
      </c>
      <c r="AC17" s="7">
        <v>495</v>
      </c>
      <c r="AD17" s="7">
        <v>399</v>
      </c>
      <c r="AE17" s="7">
        <v>159</v>
      </c>
      <c r="AF17" s="7">
        <v>299</v>
      </c>
      <c r="AG17" s="7">
        <v>508</v>
      </c>
      <c r="AH17" s="7">
        <v>1187</v>
      </c>
      <c r="AI17" s="7">
        <v>445</v>
      </c>
      <c r="AJ17" s="7">
        <v>630</v>
      </c>
      <c r="AK17" s="7">
        <v>541</v>
      </c>
      <c r="AL17" s="7">
        <v>272</v>
      </c>
      <c r="AM17" s="30">
        <f t="shared" si="2"/>
        <v>480.0833333333333</v>
      </c>
      <c r="AN17" s="30">
        <f t="shared" si="3"/>
        <v>257.20718862191205</v>
      </c>
      <c r="AO17" s="30"/>
      <c r="AP17" s="29">
        <f t="shared" si="4"/>
        <v>0.5970195655778477</v>
      </c>
      <c r="AQ17" s="31">
        <f t="shared" si="5"/>
        <v>0.012056239747417388</v>
      </c>
      <c r="AR17" s="21" t="s">
        <v>531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DM17" s="16"/>
      <c r="DN17" s="16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3"/>
      <c r="FW17" s="11"/>
    </row>
    <row r="18" spans="1:179" ht="18.75">
      <c r="A18" s="1" t="s">
        <v>897</v>
      </c>
      <c r="B18" s="2" t="s">
        <v>898</v>
      </c>
      <c r="C18" s="2" t="s">
        <v>806</v>
      </c>
      <c r="D18" s="2" t="str">
        <f>HYPERLINK("http://eros.fiehnlab.ucdavis.edu:8080/binbase-compound/bin/show/228147?db=rtx5","228147")</f>
        <v>228147</v>
      </c>
      <c r="E18" s="2" t="s">
        <v>156</v>
      </c>
      <c r="F18" s="2" t="s">
        <v>83</v>
      </c>
      <c r="G18" s="2" t="s">
        <v>83</v>
      </c>
      <c r="H18" s="7">
        <v>439</v>
      </c>
      <c r="I18" s="7">
        <v>994</v>
      </c>
      <c r="J18" s="7">
        <v>114</v>
      </c>
      <c r="K18" s="7">
        <v>1049</v>
      </c>
      <c r="L18" s="7">
        <v>1630</v>
      </c>
      <c r="M18" s="7">
        <v>1033</v>
      </c>
      <c r="N18" s="7">
        <v>1253</v>
      </c>
      <c r="O18" s="7">
        <v>924</v>
      </c>
      <c r="P18" s="7">
        <v>1332</v>
      </c>
      <c r="Q18" s="7">
        <v>937</v>
      </c>
      <c r="R18" s="7">
        <v>1393</v>
      </c>
      <c r="S18" s="7">
        <v>994</v>
      </c>
      <c r="T18" s="7">
        <v>607</v>
      </c>
      <c r="U18" s="7">
        <v>319</v>
      </c>
      <c r="V18" s="7">
        <v>1189</v>
      </c>
      <c r="W18" s="24">
        <f t="shared" si="0"/>
        <v>947.1333333333333</v>
      </c>
      <c r="X18" s="25">
        <f t="shared" si="1"/>
        <v>418.3824065316777</v>
      </c>
      <c r="Y18" s="25"/>
      <c r="Z18" s="26"/>
      <c r="AA18" s="7">
        <v>761</v>
      </c>
      <c r="AB18" s="7">
        <v>595</v>
      </c>
      <c r="AC18" s="7">
        <v>542</v>
      </c>
      <c r="AD18" s="7">
        <v>432</v>
      </c>
      <c r="AE18" s="7">
        <v>319</v>
      </c>
      <c r="AF18" s="7">
        <v>424</v>
      </c>
      <c r="AG18" s="7">
        <v>979</v>
      </c>
      <c r="AH18" s="7">
        <v>525</v>
      </c>
      <c r="AI18" s="7">
        <v>744</v>
      </c>
      <c r="AJ18" s="7">
        <v>581</v>
      </c>
      <c r="AK18" s="7">
        <v>470</v>
      </c>
      <c r="AL18" s="7">
        <v>859</v>
      </c>
      <c r="AM18" s="30">
        <f t="shared" si="2"/>
        <v>602.5833333333334</v>
      </c>
      <c r="AN18" s="30">
        <f t="shared" si="3"/>
        <v>195.80484641292185</v>
      </c>
      <c r="AO18" s="30"/>
      <c r="AP18" s="29">
        <f t="shared" si="4"/>
        <v>0.6362180615189695</v>
      </c>
      <c r="AQ18" s="31">
        <f t="shared" si="5"/>
        <v>0.014583043299670454</v>
      </c>
      <c r="AR18" s="21" t="s">
        <v>897</v>
      </c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DM18" s="16"/>
      <c r="DN18" s="16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3"/>
      <c r="FW18" s="11"/>
    </row>
    <row r="19" spans="1:179" ht="18.75">
      <c r="A19" s="1" t="s">
        <v>996</v>
      </c>
      <c r="B19" s="2" t="s">
        <v>997</v>
      </c>
      <c r="C19" s="2" t="s">
        <v>845</v>
      </c>
      <c r="D19" s="2" t="str">
        <f>HYPERLINK("http://eros.fiehnlab.ucdavis.edu:8080/binbase-compound/bin/show/212022?db=rtx5","212022")</f>
        <v>212022</v>
      </c>
      <c r="E19" s="2" t="s">
        <v>184</v>
      </c>
      <c r="F19" s="2" t="s">
        <v>83</v>
      </c>
      <c r="G19" s="2" t="s">
        <v>83</v>
      </c>
      <c r="H19" s="7">
        <v>235</v>
      </c>
      <c r="I19" s="7">
        <v>518</v>
      </c>
      <c r="J19" s="7">
        <v>853</v>
      </c>
      <c r="K19" s="7">
        <v>339</v>
      </c>
      <c r="L19" s="7">
        <v>5306</v>
      </c>
      <c r="M19" s="7">
        <v>2082</v>
      </c>
      <c r="N19" s="7">
        <v>266</v>
      </c>
      <c r="O19" s="7">
        <v>263</v>
      </c>
      <c r="P19" s="7">
        <v>576</v>
      </c>
      <c r="Q19" s="7">
        <v>266</v>
      </c>
      <c r="R19" s="7">
        <v>483</v>
      </c>
      <c r="S19" s="7">
        <v>315</v>
      </c>
      <c r="T19" s="7">
        <v>275</v>
      </c>
      <c r="U19" s="7">
        <v>234</v>
      </c>
      <c r="V19" s="7">
        <v>1061</v>
      </c>
      <c r="W19" s="24">
        <f t="shared" si="0"/>
        <v>871.4666666666667</v>
      </c>
      <c r="X19" s="25">
        <f t="shared" si="1"/>
        <v>1320.0026984099404</v>
      </c>
      <c r="Y19" s="25"/>
      <c r="Z19" s="26"/>
      <c r="AA19" s="7">
        <v>514</v>
      </c>
      <c r="AB19" s="7">
        <v>656</v>
      </c>
      <c r="AC19" s="7">
        <v>303</v>
      </c>
      <c r="AD19" s="7">
        <v>2300</v>
      </c>
      <c r="AE19" s="7">
        <v>293</v>
      </c>
      <c r="AF19" s="7">
        <v>728</v>
      </c>
      <c r="AG19" s="7">
        <v>256</v>
      </c>
      <c r="AH19" s="7">
        <v>228</v>
      </c>
      <c r="AI19" s="7">
        <v>567</v>
      </c>
      <c r="AJ19" s="7">
        <v>255</v>
      </c>
      <c r="AK19" s="7">
        <v>295</v>
      </c>
      <c r="AL19" s="7">
        <v>303</v>
      </c>
      <c r="AM19" s="30">
        <f t="shared" si="2"/>
        <v>558.1666666666666</v>
      </c>
      <c r="AN19" s="30">
        <f t="shared" si="3"/>
        <v>574.9657433800783</v>
      </c>
      <c r="AO19" s="30"/>
      <c r="AP19" s="29">
        <f t="shared" si="4"/>
        <v>0.6404911260709913</v>
      </c>
      <c r="AQ19" s="31">
        <f t="shared" si="5"/>
        <v>0.4520400062927591</v>
      </c>
      <c r="AR19" s="21" t="s">
        <v>996</v>
      </c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DM19" s="16"/>
      <c r="DN19" s="16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3"/>
      <c r="FW19" s="11"/>
    </row>
    <row r="20" spans="1:179" ht="18.75">
      <c r="A20" s="1" t="s">
        <v>88</v>
      </c>
      <c r="B20" s="2" t="s">
        <v>306</v>
      </c>
      <c r="C20" s="2" t="s">
        <v>307</v>
      </c>
      <c r="D20" s="2" t="str">
        <f>HYPERLINK("http://eros.fiehnlab.ucdavis.edu:8080/binbase-compound/bin/show/223933?db=rtx5","223933")</f>
        <v>223933</v>
      </c>
      <c r="E20" s="2" t="s">
        <v>163</v>
      </c>
      <c r="F20" s="2" t="str">
        <f>HYPERLINK("http://www.genome.ad.jp/dbget-bin/www_bget?compound+C00802","C00802")</f>
        <v>C00802</v>
      </c>
      <c r="G20" s="2" t="str">
        <f>HYPERLINK("http://pubchem.ncbi.nlm.nih.gov/summary/summary.cgi?cid=67126","67126")</f>
        <v>67126</v>
      </c>
      <c r="H20" s="7">
        <v>3439</v>
      </c>
      <c r="I20" s="7">
        <v>1750</v>
      </c>
      <c r="J20" s="7">
        <v>14567</v>
      </c>
      <c r="K20" s="7">
        <v>4128</v>
      </c>
      <c r="L20" s="7">
        <v>6006</v>
      </c>
      <c r="M20" s="7">
        <v>3706</v>
      </c>
      <c r="N20" s="7">
        <v>6807</v>
      </c>
      <c r="O20" s="7">
        <v>842</v>
      </c>
      <c r="P20" s="7">
        <v>1027</v>
      </c>
      <c r="Q20" s="7">
        <v>1693</v>
      </c>
      <c r="R20" s="7">
        <v>7180</v>
      </c>
      <c r="S20" s="7">
        <v>1842</v>
      </c>
      <c r="T20" s="7">
        <v>1432</v>
      </c>
      <c r="U20" s="7">
        <v>6625</v>
      </c>
      <c r="V20" s="7">
        <v>6139</v>
      </c>
      <c r="W20" s="24">
        <f t="shared" si="0"/>
        <v>4478.866666666667</v>
      </c>
      <c r="X20" s="25">
        <f t="shared" si="1"/>
        <v>3611.182945610298</v>
      </c>
      <c r="Y20" s="25"/>
      <c r="Z20" s="26"/>
      <c r="AA20" s="7">
        <v>2287</v>
      </c>
      <c r="AB20" s="7">
        <v>2514</v>
      </c>
      <c r="AC20" s="7">
        <v>1305</v>
      </c>
      <c r="AD20" s="7">
        <v>5975</v>
      </c>
      <c r="AE20" s="7">
        <v>2716</v>
      </c>
      <c r="AF20" s="7">
        <v>1977</v>
      </c>
      <c r="AG20" s="7">
        <v>1297</v>
      </c>
      <c r="AH20" s="7">
        <v>1115</v>
      </c>
      <c r="AI20" s="7">
        <v>4629</v>
      </c>
      <c r="AJ20" s="7">
        <v>6866</v>
      </c>
      <c r="AK20" s="7">
        <v>1663</v>
      </c>
      <c r="AL20" s="7">
        <v>2407</v>
      </c>
      <c r="AM20" s="30">
        <f t="shared" si="2"/>
        <v>2895.9166666666665</v>
      </c>
      <c r="AN20" s="30">
        <f t="shared" si="3"/>
        <v>1898.7471686894128</v>
      </c>
      <c r="AO20" s="30"/>
      <c r="AP20" s="29">
        <f t="shared" si="4"/>
        <v>0.6465735379485882</v>
      </c>
      <c r="AQ20" s="31">
        <f t="shared" si="5"/>
        <v>0.18260085391601213</v>
      </c>
      <c r="AR20" s="21" t="s">
        <v>88</v>
      </c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DM20" s="16"/>
      <c r="DN20" s="16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3"/>
      <c r="FW20" s="11"/>
    </row>
    <row r="21" spans="1:179" ht="18.75">
      <c r="A21" s="1" t="s">
        <v>403</v>
      </c>
      <c r="B21" s="2" t="s">
        <v>404</v>
      </c>
      <c r="C21" s="2" t="s">
        <v>207</v>
      </c>
      <c r="D21" s="2" t="str">
        <f>HYPERLINK("http://eros.fiehnlab.ucdavis.edu:8080/binbase-compound/bin/show/336352?db=rtx5","336352")</f>
        <v>336352</v>
      </c>
      <c r="E21" s="2" t="s">
        <v>166</v>
      </c>
      <c r="F21" s="2" t="str">
        <f>HYPERLINK("http://www.genome.ad.jp/dbget-bin/www_bget?compound+C00192","C00192")</f>
        <v>C00192</v>
      </c>
      <c r="G21" s="2" t="str">
        <f>HYPERLINK("http://pubchem.ncbi.nlm.nih.gov/summary/summary.cgi?cid=787","787")</f>
        <v>787</v>
      </c>
      <c r="H21" s="7">
        <v>3057</v>
      </c>
      <c r="I21" s="7">
        <v>2287</v>
      </c>
      <c r="J21" s="7">
        <v>15237</v>
      </c>
      <c r="K21" s="7">
        <v>2560</v>
      </c>
      <c r="L21" s="7">
        <v>2246</v>
      </c>
      <c r="M21" s="7">
        <v>2255</v>
      </c>
      <c r="N21" s="7">
        <v>4216</v>
      </c>
      <c r="O21" s="7">
        <v>1263</v>
      </c>
      <c r="P21" s="7">
        <v>1738</v>
      </c>
      <c r="Q21" s="7">
        <v>1596</v>
      </c>
      <c r="R21" s="7">
        <v>4272</v>
      </c>
      <c r="S21" s="7">
        <v>1787</v>
      </c>
      <c r="T21" s="7">
        <v>1620</v>
      </c>
      <c r="U21" s="7">
        <v>3837</v>
      </c>
      <c r="V21" s="7">
        <v>3856</v>
      </c>
      <c r="W21" s="24">
        <f t="shared" si="0"/>
        <v>3455.133333333333</v>
      </c>
      <c r="X21" s="25">
        <f t="shared" si="1"/>
        <v>3411.665656593704</v>
      </c>
      <c r="Y21" s="25"/>
      <c r="Z21" s="26"/>
      <c r="AA21" s="7">
        <v>2261</v>
      </c>
      <c r="AB21" s="7">
        <v>2661</v>
      </c>
      <c r="AC21" s="7">
        <v>1484</v>
      </c>
      <c r="AD21" s="7">
        <v>2319</v>
      </c>
      <c r="AE21" s="7">
        <v>2355</v>
      </c>
      <c r="AF21" s="7">
        <v>3336</v>
      </c>
      <c r="AG21" s="7">
        <v>1943</v>
      </c>
      <c r="AH21" s="7">
        <v>1359</v>
      </c>
      <c r="AI21" s="7">
        <v>2885</v>
      </c>
      <c r="AJ21" s="7">
        <v>2525</v>
      </c>
      <c r="AK21" s="7">
        <v>1918</v>
      </c>
      <c r="AL21" s="7">
        <v>2051</v>
      </c>
      <c r="AM21" s="30">
        <f t="shared" si="2"/>
        <v>2258.0833333333335</v>
      </c>
      <c r="AN21" s="30">
        <f t="shared" si="3"/>
        <v>561.4106353776631</v>
      </c>
      <c r="AO21" s="30"/>
      <c r="AP21" s="29">
        <f t="shared" si="4"/>
        <v>0.653544484535088</v>
      </c>
      <c r="AQ21" s="31">
        <f t="shared" si="5"/>
        <v>0.24217522409927159</v>
      </c>
      <c r="AR21" s="21" t="s">
        <v>403</v>
      </c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DM21" s="16"/>
      <c r="DN21" s="16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3"/>
      <c r="FW21" s="11"/>
    </row>
    <row r="22" spans="1:179" ht="18.75">
      <c r="A22" s="1" t="s">
        <v>698</v>
      </c>
      <c r="B22" s="2" t="s">
        <v>699</v>
      </c>
      <c r="C22" s="2" t="s">
        <v>700</v>
      </c>
      <c r="D22" s="2" t="str">
        <f>HYPERLINK("http://eros.fiehnlab.ucdavis.edu:8080/binbase-compound/bin/show/372993?db=rtx5","372993")</f>
        <v>372993</v>
      </c>
      <c r="E22" s="2" t="s">
        <v>3</v>
      </c>
      <c r="F22" s="2" t="s">
        <v>83</v>
      </c>
      <c r="G22" s="2" t="s">
        <v>83</v>
      </c>
      <c r="H22" s="7">
        <v>3114</v>
      </c>
      <c r="I22" s="7">
        <v>934</v>
      </c>
      <c r="J22" s="7">
        <v>4043</v>
      </c>
      <c r="K22" s="7">
        <v>1406</v>
      </c>
      <c r="L22" s="7">
        <v>878</v>
      </c>
      <c r="M22" s="7">
        <v>349</v>
      </c>
      <c r="N22" s="7">
        <v>1179</v>
      </c>
      <c r="O22" s="7">
        <v>122</v>
      </c>
      <c r="P22" s="7">
        <v>2357</v>
      </c>
      <c r="Q22" s="7">
        <v>741</v>
      </c>
      <c r="R22" s="7">
        <v>1680</v>
      </c>
      <c r="S22" s="7">
        <v>910</v>
      </c>
      <c r="T22" s="7">
        <v>538</v>
      </c>
      <c r="U22" s="7">
        <v>1162</v>
      </c>
      <c r="V22" s="7">
        <v>448</v>
      </c>
      <c r="W22" s="24">
        <f t="shared" si="0"/>
        <v>1324.0666666666666</v>
      </c>
      <c r="X22" s="25">
        <f t="shared" si="1"/>
        <v>1085.2182444537311</v>
      </c>
      <c r="Y22" s="25"/>
      <c r="Z22" s="26"/>
      <c r="AA22" s="7">
        <v>1441</v>
      </c>
      <c r="AB22" s="7">
        <v>1532</v>
      </c>
      <c r="AC22" s="7">
        <v>803</v>
      </c>
      <c r="AD22" s="7">
        <v>199</v>
      </c>
      <c r="AE22" s="7">
        <v>790</v>
      </c>
      <c r="AF22" s="7">
        <v>1599</v>
      </c>
      <c r="AG22" s="7">
        <v>1268</v>
      </c>
      <c r="AH22" s="7">
        <v>853</v>
      </c>
      <c r="AI22" s="7">
        <v>545</v>
      </c>
      <c r="AJ22" s="7">
        <v>184</v>
      </c>
      <c r="AK22" s="7">
        <v>940</v>
      </c>
      <c r="AL22" s="7">
        <v>255</v>
      </c>
      <c r="AM22" s="30">
        <f t="shared" si="2"/>
        <v>867.4166666666666</v>
      </c>
      <c r="AN22" s="30">
        <f t="shared" si="3"/>
        <v>511.22090196514904</v>
      </c>
      <c r="AO22" s="30"/>
      <c r="AP22" s="29">
        <f t="shared" si="4"/>
        <v>0.6551155530940034</v>
      </c>
      <c r="AQ22" s="31">
        <f t="shared" si="5"/>
        <v>0.19237639763958936</v>
      </c>
      <c r="AR22" s="21" t="s">
        <v>698</v>
      </c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DM22" s="16"/>
      <c r="DN22" s="16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3"/>
      <c r="FW22" s="11"/>
    </row>
    <row r="23" spans="1:179" ht="18.75">
      <c r="A23" s="1" t="s">
        <v>961</v>
      </c>
      <c r="B23" s="2" t="s">
        <v>962</v>
      </c>
      <c r="C23" s="2" t="s">
        <v>472</v>
      </c>
      <c r="D23" s="2" t="str">
        <f>HYPERLINK("http://eros.fiehnlab.ucdavis.edu:8080/binbase-compound/bin/show/223513?db=rtx5","223513")</f>
        <v>223513</v>
      </c>
      <c r="E23" s="2" t="s">
        <v>11</v>
      </c>
      <c r="F23" s="2" t="s">
        <v>83</v>
      </c>
      <c r="G23" s="2" t="s">
        <v>83</v>
      </c>
      <c r="H23" s="7">
        <v>3483</v>
      </c>
      <c r="I23" s="7">
        <v>5133</v>
      </c>
      <c r="J23" s="7">
        <v>1599</v>
      </c>
      <c r="K23" s="7">
        <v>4401</v>
      </c>
      <c r="L23" s="7">
        <v>1381</v>
      </c>
      <c r="M23" s="7">
        <v>3383</v>
      </c>
      <c r="N23" s="7">
        <v>2881</v>
      </c>
      <c r="O23" s="7">
        <v>1492</v>
      </c>
      <c r="P23" s="7">
        <v>4093</v>
      </c>
      <c r="Q23" s="7">
        <v>3255</v>
      </c>
      <c r="R23" s="7">
        <v>4221</v>
      </c>
      <c r="S23" s="7">
        <v>2365</v>
      </c>
      <c r="T23" s="7">
        <v>3382</v>
      </c>
      <c r="U23" s="7">
        <v>1371</v>
      </c>
      <c r="V23" s="7">
        <v>2404</v>
      </c>
      <c r="W23" s="24">
        <f t="shared" si="0"/>
        <v>2989.6</v>
      </c>
      <c r="X23" s="25">
        <f t="shared" si="1"/>
        <v>1197.3647731581214</v>
      </c>
      <c r="Y23" s="25"/>
      <c r="Z23" s="26"/>
      <c r="AA23" s="7">
        <v>2708</v>
      </c>
      <c r="AB23" s="7">
        <v>2349</v>
      </c>
      <c r="AC23" s="7">
        <v>2324</v>
      </c>
      <c r="AD23" s="7">
        <v>940</v>
      </c>
      <c r="AE23" s="7">
        <v>1063</v>
      </c>
      <c r="AF23" s="7">
        <v>2578</v>
      </c>
      <c r="AG23" s="7">
        <v>1793</v>
      </c>
      <c r="AH23" s="7">
        <v>2940</v>
      </c>
      <c r="AI23" s="7">
        <v>1443</v>
      </c>
      <c r="AJ23" s="7">
        <v>1097</v>
      </c>
      <c r="AK23" s="7">
        <v>1331</v>
      </c>
      <c r="AL23" s="7">
        <v>3085</v>
      </c>
      <c r="AM23" s="30">
        <f t="shared" si="2"/>
        <v>1970.9166666666667</v>
      </c>
      <c r="AN23" s="30">
        <f t="shared" si="3"/>
        <v>782.2134628828318</v>
      </c>
      <c r="AO23" s="30"/>
      <c r="AP23" s="29">
        <f t="shared" si="4"/>
        <v>0.6592576487378468</v>
      </c>
      <c r="AQ23" s="31">
        <f t="shared" si="5"/>
        <v>0.017665709075769486</v>
      </c>
      <c r="AR23" s="21" t="s">
        <v>961</v>
      </c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DM23" s="16"/>
      <c r="DN23" s="16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3"/>
      <c r="FW23" s="11"/>
    </row>
    <row r="24" spans="1:179" ht="18.75">
      <c r="A24" s="1" t="s">
        <v>96</v>
      </c>
      <c r="B24" s="2" t="s">
        <v>288</v>
      </c>
      <c r="C24" s="2" t="s">
        <v>289</v>
      </c>
      <c r="D24" s="2" t="str">
        <f>HYPERLINK("http://eros.fiehnlab.ucdavis.edu:8080/binbase-compound/bin/show/272670?db=rtx5","272670")</f>
        <v>272670</v>
      </c>
      <c r="E24" s="2" t="s">
        <v>584</v>
      </c>
      <c r="F24" s="2" t="str">
        <f>HYPERLINK("http://www.genome.ad.jp/dbget-bin/www_bget?compound+n/a","n/a")</f>
        <v>n/a</v>
      </c>
      <c r="G24" s="2" t="str">
        <f>HYPERLINK("http://pubchem.ncbi.nlm.nih.gov/summary/summary.cgi?cid=14925","14925")</f>
        <v>14925</v>
      </c>
      <c r="H24" s="7">
        <v>1545</v>
      </c>
      <c r="I24" s="7">
        <v>2491</v>
      </c>
      <c r="J24" s="7">
        <v>2630</v>
      </c>
      <c r="K24" s="7">
        <v>1482</v>
      </c>
      <c r="L24" s="7">
        <v>1978</v>
      </c>
      <c r="M24" s="7">
        <v>1725</v>
      </c>
      <c r="N24" s="7">
        <v>2636</v>
      </c>
      <c r="O24" s="7">
        <v>475</v>
      </c>
      <c r="P24" s="7">
        <v>1255</v>
      </c>
      <c r="Q24" s="7">
        <v>856</v>
      </c>
      <c r="R24" s="7">
        <v>2429</v>
      </c>
      <c r="S24" s="7">
        <v>996</v>
      </c>
      <c r="T24" s="7">
        <v>661</v>
      </c>
      <c r="U24" s="7">
        <v>1360</v>
      </c>
      <c r="V24" s="7">
        <v>3072</v>
      </c>
      <c r="W24" s="24">
        <f t="shared" si="0"/>
        <v>1706.0666666666666</v>
      </c>
      <c r="X24" s="25">
        <f t="shared" si="1"/>
        <v>803.1692106601079</v>
      </c>
      <c r="Y24" s="25"/>
      <c r="Z24" s="26"/>
      <c r="AA24" s="7">
        <v>919</v>
      </c>
      <c r="AB24" s="7">
        <v>1291</v>
      </c>
      <c r="AC24" s="7">
        <v>743</v>
      </c>
      <c r="AD24" s="7">
        <v>2168</v>
      </c>
      <c r="AE24" s="7">
        <v>422</v>
      </c>
      <c r="AF24" s="7">
        <v>1291</v>
      </c>
      <c r="AG24" s="7">
        <v>780</v>
      </c>
      <c r="AH24" s="7">
        <v>429</v>
      </c>
      <c r="AI24" s="7">
        <v>1769</v>
      </c>
      <c r="AJ24" s="7">
        <v>2383</v>
      </c>
      <c r="AK24" s="7">
        <v>61</v>
      </c>
      <c r="AL24" s="7">
        <v>1260</v>
      </c>
      <c r="AM24" s="30">
        <f t="shared" si="2"/>
        <v>1126.3333333333333</v>
      </c>
      <c r="AN24" s="30">
        <f t="shared" si="3"/>
        <v>712.0119168223026</v>
      </c>
      <c r="AO24" s="30"/>
      <c r="AP24" s="29">
        <f t="shared" si="4"/>
        <v>0.6601930366144347</v>
      </c>
      <c r="AQ24" s="31">
        <f t="shared" si="5"/>
        <v>0.0614520618257119</v>
      </c>
      <c r="AR24" s="21" t="s">
        <v>96</v>
      </c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DM24" s="16"/>
      <c r="DN24" s="16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3"/>
      <c r="FW24" s="11"/>
    </row>
    <row r="25" spans="1:179" ht="18.75">
      <c r="A25" s="1" t="s">
        <v>935</v>
      </c>
      <c r="B25" s="2" t="s">
        <v>936</v>
      </c>
      <c r="C25" s="2" t="s">
        <v>218</v>
      </c>
      <c r="D25" s="2" t="str">
        <f>HYPERLINK("http://eros.fiehnlab.ucdavis.edu:8080/binbase-compound/bin/show/226842?db=rtx5","226842")</f>
        <v>226842</v>
      </c>
      <c r="E25" s="2" t="s">
        <v>33</v>
      </c>
      <c r="F25" s="2" t="s">
        <v>83</v>
      </c>
      <c r="G25" s="2" t="s">
        <v>83</v>
      </c>
      <c r="H25" s="7">
        <v>37088</v>
      </c>
      <c r="I25" s="7">
        <v>21645</v>
      </c>
      <c r="J25" s="7">
        <v>73484</v>
      </c>
      <c r="K25" s="7">
        <v>48886</v>
      </c>
      <c r="L25" s="7">
        <v>58514</v>
      </c>
      <c r="M25" s="7">
        <v>34738</v>
      </c>
      <c r="N25" s="7">
        <v>68521</v>
      </c>
      <c r="O25" s="7">
        <v>10120</v>
      </c>
      <c r="P25" s="7">
        <v>16227</v>
      </c>
      <c r="Q25" s="7">
        <v>17319</v>
      </c>
      <c r="R25" s="7">
        <v>70567</v>
      </c>
      <c r="S25" s="7">
        <v>22251</v>
      </c>
      <c r="T25" s="7">
        <v>14941</v>
      </c>
      <c r="U25" s="7">
        <v>55990</v>
      </c>
      <c r="V25" s="7">
        <v>67257</v>
      </c>
      <c r="W25" s="24">
        <f t="shared" si="0"/>
        <v>41169.86666666667</v>
      </c>
      <c r="X25" s="25">
        <f t="shared" si="1"/>
        <v>23233.664448279313</v>
      </c>
      <c r="Y25" s="25"/>
      <c r="Z25" s="26"/>
      <c r="AA25" s="7">
        <v>15640</v>
      </c>
      <c r="AB25" s="7">
        <v>31712</v>
      </c>
      <c r="AC25" s="7">
        <v>13484</v>
      </c>
      <c r="AD25" s="7">
        <v>50340</v>
      </c>
      <c r="AE25" s="7">
        <v>30866</v>
      </c>
      <c r="AF25" s="7">
        <v>19711</v>
      </c>
      <c r="AG25" s="7">
        <v>20061</v>
      </c>
      <c r="AH25" s="7">
        <v>10491</v>
      </c>
      <c r="AI25" s="7">
        <v>39669</v>
      </c>
      <c r="AJ25" s="7">
        <v>57633</v>
      </c>
      <c r="AK25" s="7">
        <v>13767</v>
      </c>
      <c r="AL25" s="7">
        <v>27757</v>
      </c>
      <c r="AM25" s="30">
        <f t="shared" si="2"/>
        <v>27594.25</v>
      </c>
      <c r="AN25" s="30">
        <f t="shared" si="3"/>
        <v>15189.094982465664</v>
      </c>
      <c r="AO25" s="30"/>
      <c r="AP25" s="29">
        <f t="shared" si="4"/>
        <v>0.6702535673340372</v>
      </c>
      <c r="AQ25" s="31">
        <f t="shared" si="5"/>
        <v>0.09338539111078233</v>
      </c>
      <c r="AR25" s="21" t="s">
        <v>935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DM25" s="16"/>
      <c r="DN25" s="16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3"/>
      <c r="FW25" s="11"/>
    </row>
    <row r="26" spans="1:179" ht="18.75">
      <c r="A26" s="1" t="s">
        <v>1027</v>
      </c>
      <c r="B26" s="2" t="s">
        <v>1028</v>
      </c>
      <c r="C26" s="2" t="s">
        <v>206</v>
      </c>
      <c r="D26" s="2" t="str">
        <f>HYPERLINK("http://eros.fiehnlab.ucdavis.edu:8080/binbase-compound/bin/show/200464?db=rtx5","200464")</f>
        <v>200464</v>
      </c>
      <c r="E26" s="2" t="s">
        <v>129</v>
      </c>
      <c r="F26" s="2" t="s">
        <v>83</v>
      </c>
      <c r="G26" s="2" t="s">
        <v>83</v>
      </c>
      <c r="H26" s="7">
        <v>1333</v>
      </c>
      <c r="I26" s="7">
        <v>714</v>
      </c>
      <c r="J26" s="7">
        <v>2855</v>
      </c>
      <c r="K26" s="7">
        <v>2231</v>
      </c>
      <c r="L26" s="7">
        <v>5181</v>
      </c>
      <c r="M26" s="7">
        <v>1381</v>
      </c>
      <c r="N26" s="7">
        <v>3709</v>
      </c>
      <c r="O26" s="7">
        <v>471</v>
      </c>
      <c r="P26" s="7">
        <v>331</v>
      </c>
      <c r="Q26" s="7">
        <v>473</v>
      </c>
      <c r="R26" s="7">
        <v>3927</v>
      </c>
      <c r="S26" s="7">
        <v>1014</v>
      </c>
      <c r="T26" s="7">
        <v>395</v>
      </c>
      <c r="U26" s="7">
        <v>4121</v>
      </c>
      <c r="V26" s="7">
        <v>6276</v>
      </c>
      <c r="W26" s="24">
        <f t="shared" si="0"/>
        <v>2294.133333333333</v>
      </c>
      <c r="X26" s="25">
        <f t="shared" si="1"/>
        <v>1936.6291726556617</v>
      </c>
      <c r="Y26" s="25"/>
      <c r="Z26" s="26"/>
      <c r="AA26" s="7">
        <v>581</v>
      </c>
      <c r="AB26" s="7">
        <v>1079</v>
      </c>
      <c r="AC26" s="7">
        <v>441</v>
      </c>
      <c r="AD26" s="7">
        <v>3966</v>
      </c>
      <c r="AE26" s="7">
        <v>1366</v>
      </c>
      <c r="AF26" s="7">
        <v>589</v>
      </c>
      <c r="AG26" s="7">
        <v>502</v>
      </c>
      <c r="AH26" s="7">
        <v>466</v>
      </c>
      <c r="AI26" s="7">
        <v>2682</v>
      </c>
      <c r="AJ26" s="7">
        <v>5117</v>
      </c>
      <c r="AK26" s="7">
        <v>629</v>
      </c>
      <c r="AL26" s="7">
        <v>1102</v>
      </c>
      <c r="AM26" s="30">
        <f t="shared" si="2"/>
        <v>1543.3333333333333</v>
      </c>
      <c r="AN26" s="30">
        <f t="shared" si="3"/>
        <v>1552.4701919746149</v>
      </c>
      <c r="AO26" s="30"/>
      <c r="AP26" s="29">
        <f t="shared" si="4"/>
        <v>0.6727304428687667</v>
      </c>
      <c r="AQ26" s="31">
        <f t="shared" si="5"/>
        <v>0.28593961659927125</v>
      </c>
      <c r="AR26" s="21" t="s">
        <v>1027</v>
      </c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DM26" s="16"/>
      <c r="DN26" s="16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3"/>
      <c r="FW26" s="11"/>
    </row>
    <row r="27" spans="1:179" ht="18.75">
      <c r="A27" s="1" t="s">
        <v>278</v>
      </c>
      <c r="B27" s="2" t="s">
        <v>279</v>
      </c>
      <c r="C27" s="2" t="s">
        <v>280</v>
      </c>
      <c r="D27" s="2" t="str">
        <f>HYPERLINK("http://eros.fiehnlab.ucdavis.edu:8080/binbase-compound/bin/show/241869?db=rtx5","241869")</f>
        <v>241869</v>
      </c>
      <c r="E27" s="2" t="s">
        <v>1137</v>
      </c>
      <c r="F27" s="2" t="str">
        <f>HYPERLINK("http://www.genome.ad.jp/dbget-bin/www_bget?compound+C00022","C00022")</f>
        <v>C00022</v>
      </c>
      <c r="G27" s="2" t="str">
        <f>HYPERLINK("http://pubchem.ncbi.nlm.nih.gov/summary/summary.cgi?cid=1060","1060")</f>
        <v>1060</v>
      </c>
      <c r="H27" s="7">
        <v>5347</v>
      </c>
      <c r="I27" s="7">
        <v>3317</v>
      </c>
      <c r="J27" s="7">
        <v>2630</v>
      </c>
      <c r="K27" s="7">
        <v>2014</v>
      </c>
      <c r="L27" s="7">
        <v>3937</v>
      </c>
      <c r="M27" s="7">
        <v>7849</v>
      </c>
      <c r="N27" s="7">
        <v>2532</v>
      </c>
      <c r="O27" s="7">
        <v>2317</v>
      </c>
      <c r="P27" s="7">
        <v>4248</v>
      </c>
      <c r="Q27" s="7">
        <v>10909</v>
      </c>
      <c r="R27" s="7">
        <v>5688</v>
      </c>
      <c r="S27" s="7">
        <v>6444</v>
      </c>
      <c r="T27" s="7">
        <v>11359</v>
      </c>
      <c r="U27" s="7">
        <v>2078</v>
      </c>
      <c r="V27" s="7">
        <v>4989</v>
      </c>
      <c r="W27" s="24">
        <f t="shared" si="0"/>
        <v>5043.866666666667</v>
      </c>
      <c r="X27" s="25">
        <f t="shared" si="1"/>
        <v>3011.9851514210613</v>
      </c>
      <c r="Y27" s="25"/>
      <c r="Z27" s="26"/>
      <c r="AA27" s="7">
        <v>2645</v>
      </c>
      <c r="AB27" s="7">
        <v>2338</v>
      </c>
      <c r="AC27" s="7">
        <v>7504</v>
      </c>
      <c r="AD27" s="7">
        <v>1426</v>
      </c>
      <c r="AE27" s="7">
        <v>1736</v>
      </c>
      <c r="AF27" s="7">
        <v>3995</v>
      </c>
      <c r="AG27" s="7">
        <v>2609</v>
      </c>
      <c r="AH27" s="7">
        <v>11135</v>
      </c>
      <c r="AI27" s="7">
        <v>1760</v>
      </c>
      <c r="AJ27" s="7">
        <v>1404</v>
      </c>
      <c r="AK27" s="7">
        <v>2872</v>
      </c>
      <c r="AL27" s="7">
        <v>1416</v>
      </c>
      <c r="AM27" s="30">
        <f t="shared" si="2"/>
        <v>3403.3333333333335</v>
      </c>
      <c r="AN27" s="30">
        <f t="shared" si="3"/>
        <v>2968.0834138405125</v>
      </c>
      <c r="AO27" s="30"/>
      <c r="AP27" s="29">
        <f t="shared" si="4"/>
        <v>0.6747468873086785</v>
      </c>
      <c r="AQ27" s="31">
        <f t="shared" si="5"/>
        <v>0.16929791025611782</v>
      </c>
      <c r="AR27" s="21" t="s">
        <v>278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DM27" s="16"/>
      <c r="DN27" s="16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3"/>
      <c r="FW27" s="11"/>
    </row>
    <row r="28" spans="1:179" ht="18.75">
      <c r="A28" s="1" t="s">
        <v>457</v>
      </c>
      <c r="B28" s="2" t="s">
        <v>458</v>
      </c>
      <c r="C28" s="2" t="s">
        <v>280</v>
      </c>
      <c r="D28" s="2" t="str">
        <f>HYPERLINK("http://eros.fiehnlab.ucdavis.edu:8080/binbase-compound/bin/show/218463?db=rtx5","218463")</f>
        <v>218463</v>
      </c>
      <c r="E28" s="2" t="s">
        <v>586</v>
      </c>
      <c r="F28" s="2" t="str">
        <f>HYPERLINK("http://www.genome.ad.jp/dbget-bin/www_bget?compound+C00334","C00334")</f>
        <v>C00334</v>
      </c>
      <c r="G28" s="2" t="str">
        <f>HYPERLINK("http://pubchem.ncbi.nlm.nih.gov/summary/summary.cgi?cid=119","119")</f>
        <v>119</v>
      </c>
      <c r="H28" s="7">
        <v>5107</v>
      </c>
      <c r="I28" s="7">
        <v>5689</v>
      </c>
      <c r="J28" s="7">
        <v>4903</v>
      </c>
      <c r="K28" s="7">
        <v>4273</v>
      </c>
      <c r="L28" s="7">
        <v>8441</v>
      </c>
      <c r="M28" s="7">
        <v>7031</v>
      </c>
      <c r="N28" s="7">
        <v>6413</v>
      </c>
      <c r="O28" s="7">
        <v>2394</v>
      </c>
      <c r="P28" s="7">
        <v>11091</v>
      </c>
      <c r="Q28" s="7">
        <v>3201</v>
      </c>
      <c r="R28" s="7">
        <v>4563</v>
      </c>
      <c r="S28" s="7">
        <v>2776</v>
      </c>
      <c r="T28" s="7">
        <v>6277</v>
      </c>
      <c r="U28" s="7">
        <v>2953</v>
      </c>
      <c r="V28" s="7">
        <v>2641</v>
      </c>
      <c r="W28" s="24">
        <f t="shared" si="0"/>
        <v>5183.533333333334</v>
      </c>
      <c r="X28" s="25">
        <f t="shared" si="1"/>
        <v>2422.096696980492</v>
      </c>
      <c r="Y28" s="25"/>
      <c r="Z28" s="26"/>
      <c r="AA28" s="7">
        <v>2155</v>
      </c>
      <c r="AB28" s="7">
        <v>3522</v>
      </c>
      <c r="AC28" s="7">
        <v>3894</v>
      </c>
      <c r="AD28" s="7">
        <v>2109</v>
      </c>
      <c r="AE28" s="7">
        <v>2245</v>
      </c>
      <c r="AF28" s="7">
        <v>8154</v>
      </c>
      <c r="AG28" s="7">
        <v>5386</v>
      </c>
      <c r="AH28" s="7">
        <v>4653</v>
      </c>
      <c r="AI28" s="7">
        <v>3540</v>
      </c>
      <c r="AJ28" s="7">
        <v>2703</v>
      </c>
      <c r="AK28" s="7">
        <v>2083</v>
      </c>
      <c r="AL28" s="7">
        <v>1848</v>
      </c>
      <c r="AM28" s="30">
        <f t="shared" si="2"/>
        <v>3524.3333333333335</v>
      </c>
      <c r="AN28" s="30">
        <f t="shared" si="3"/>
        <v>1843.5999533192626</v>
      </c>
      <c r="AO28" s="30"/>
      <c r="AP28" s="29">
        <f t="shared" si="4"/>
        <v>0.6799094568698314</v>
      </c>
      <c r="AQ28" s="31">
        <f t="shared" si="5"/>
        <v>0.06131699625292597</v>
      </c>
      <c r="AR28" s="21" t="s">
        <v>457</v>
      </c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DM28" s="16"/>
      <c r="DN28" s="16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3"/>
      <c r="FW28" s="11"/>
    </row>
    <row r="29" spans="1:179" ht="18.75">
      <c r="A29" s="1" t="s">
        <v>886</v>
      </c>
      <c r="B29" s="2" t="s">
        <v>887</v>
      </c>
      <c r="C29" s="2" t="s">
        <v>406</v>
      </c>
      <c r="D29" s="2" t="str">
        <f>HYPERLINK("http://eros.fiehnlab.ucdavis.edu:8080/binbase-compound/bin/show/232946?db=rtx5","232946")</f>
        <v>232946</v>
      </c>
      <c r="E29" s="2" t="s">
        <v>182</v>
      </c>
      <c r="F29" s="2" t="s">
        <v>83</v>
      </c>
      <c r="G29" s="2" t="s">
        <v>83</v>
      </c>
      <c r="H29" s="7">
        <v>1022</v>
      </c>
      <c r="I29" s="7">
        <v>659</v>
      </c>
      <c r="J29" s="7">
        <v>1229</v>
      </c>
      <c r="K29" s="7">
        <v>1117</v>
      </c>
      <c r="L29" s="7">
        <v>1941</v>
      </c>
      <c r="M29" s="7">
        <v>1689</v>
      </c>
      <c r="N29" s="7">
        <v>2026</v>
      </c>
      <c r="O29" s="7">
        <v>375</v>
      </c>
      <c r="P29" s="7">
        <v>461</v>
      </c>
      <c r="Q29" s="7">
        <v>618</v>
      </c>
      <c r="R29" s="7">
        <v>2059</v>
      </c>
      <c r="S29" s="7">
        <v>822</v>
      </c>
      <c r="T29" s="7">
        <v>607</v>
      </c>
      <c r="U29" s="7">
        <v>1366</v>
      </c>
      <c r="V29" s="7">
        <v>1765</v>
      </c>
      <c r="W29" s="24">
        <f t="shared" si="0"/>
        <v>1183.7333333333333</v>
      </c>
      <c r="X29" s="25">
        <f t="shared" si="1"/>
        <v>594.2143031728857</v>
      </c>
      <c r="Y29" s="25"/>
      <c r="Z29" s="26"/>
      <c r="AA29" s="7">
        <v>584</v>
      </c>
      <c r="AB29" s="7">
        <v>717</v>
      </c>
      <c r="AC29" s="7">
        <v>514</v>
      </c>
      <c r="AD29" s="7">
        <v>1058</v>
      </c>
      <c r="AE29" s="7">
        <v>830</v>
      </c>
      <c r="AF29" s="7">
        <v>683</v>
      </c>
      <c r="AG29" s="7">
        <v>630</v>
      </c>
      <c r="AH29" s="7">
        <v>407</v>
      </c>
      <c r="AI29" s="7">
        <v>1274</v>
      </c>
      <c r="AJ29" s="7">
        <v>1863</v>
      </c>
      <c r="AK29" s="7">
        <v>566</v>
      </c>
      <c r="AL29" s="7">
        <v>896</v>
      </c>
      <c r="AM29" s="30">
        <f t="shared" si="2"/>
        <v>835.1666666666666</v>
      </c>
      <c r="AN29" s="30">
        <f t="shared" si="3"/>
        <v>404.9264430022128</v>
      </c>
      <c r="AO29" s="30"/>
      <c r="AP29" s="29">
        <f t="shared" si="4"/>
        <v>0.7055361567920703</v>
      </c>
      <c r="AQ29" s="31">
        <f t="shared" si="5"/>
        <v>0.0955168152110121</v>
      </c>
      <c r="AR29" s="21" t="s">
        <v>886</v>
      </c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DM29" s="16"/>
      <c r="DN29" s="16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3"/>
      <c r="FW29" s="11"/>
    </row>
    <row r="30" spans="1:179" ht="18.75">
      <c r="A30" s="1" t="s">
        <v>796</v>
      </c>
      <c r="B30" s="2" t="s">
        <v>797</v>
      </c>
      <c r="C30" s="2" t="s">
        <v>402</v>
      </c>
      <c r="D30" s="2" t="str">
        <f>HYPERLINK("http://eros.fiehnlab.ucdavis.edu:8080/binbase-compound/bin/show/288808?db=rtx5","288808")</f>
        <v>288808</v>
      </c>
      <c r="E30" s="2" t="s">
        <v>45</v>
      </c>
      <c r="F30" s="2" t="s">
        <v>83</v>
      </c>
      <c r="G30" s="2" t="s">
        <v>83</v>
      </c>
      <c r="H30" s="7">
        <v>624</v>
      </c>
      <c r="I30" s="7">
        <v>502</v>
      </c>
      <c r="J30" s="7">
        <v>1344</v>
      </c>
      <c r="K30" s="7">
        <v>903</v>
      </c>
      <c r="L30" s="7">
        <v>964</v>
      </c>
      <c r="M30" s="7">
        <v>667</v>
      </c>
      <c r="N30" s="7">
        <v>992</v>
      </c>
      <c r="O30" s="7">
        <v>418</v>
      </c>
      <c r="P30" s="7">
        <v>553</v>
      </c>
      <c r="Q30" s="7">
        <v>1222</v>
      </c>
      <c r="R30" s="7">
        <v>650</v>
      </c>
      <c r="S30" s="7">
        <v>386</v>
      </c>
      <c r="T30" s="7">
        <v>362</v>
      </c>
      <c r="U30" s="7">
        <v>687</v>
      </c>
      <c r="V30" s="7">
        <v>624</v>
      </c>
      <c r="W30" s="24">
        <f t="shared" si="0"/>
        <v>726.5333333333333</v>
      </c>
      <c r="X30" s="25">
        <f t="shared" si="1"/>
        <v>297.7673748478996</v>
      </c>
      <c r="Y30" s="25"/>
      <c r="Z30" s="26"/>
      <c r="AA30" s="7">
        <v>718</v>
      </c>
      <c r="AB30" s="7">
        <v>728</v>
      </c>
      <c r="AC30" s="7">
        <v>520</v>
      </c>
      <c r="AD30" s="7">
        <v>533</v>
      </c>
      <c r="AE30" s="7">
        <v>464</v>
      </c>
      <c r="AF30" s="7">
        <v>617</v>
      </c>
      <c r="AG30" s="7">
        <v>378</v>
      </c>
      <c r="AH30" s="7">
        <v>522</v>
      </c>
      <c r="AI30" s="7">
        <v>594</v>
      </c>
      <c r="AJ30" s="7">
        <v>404</v>
      </c>
      <c r="AK30" s="7">
        <v>344</v>
      </c>
      <c r="AL30" s="7">
        <v>389</v>
      </c>
      <c r="AM30" s="30">
        <f t="shared" si="2"/>
        <v>517.5833333333334</v>
      </c>
      <c r="AN30" s="30">
        <f t="shared" si="3"/>
        <v>128.75237567681705</v>
      </c>
      <c r="AO30" s="30"/>
      <c r="AP30" s="29">
        <f t="shared" si="4"/>
        <v>0.7124013580473482</v>
      </c>
      <c r="AQ30" s="31">
        <f t="shared" si="5"/>
        <v>0.032728228716894604</v>
      </c>
      <c r="AR30" s="21" t="s">
        <v>796</v>
      </c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DM30" s="16"/>
      <c r="DN30" s="16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3"/>
      <c r="FW30" s="11"/>
    </row>
    <row r="31" spans="1:179" ht="18.75">
      <c r="A31" s="1" t="s">
        <v>942</v>
      </c>
      <c r="B31" s="2" t="s">
        <v>943</v>
      </c>
      <c r="C31" s="2" t="s">
        <v>874</v>
      </c>
      <c r="D31" s="2" t="str">
        <f>HYPERLINK("http://eros.fiehnlab.ucdavis.edu:8080/binbase-compound/bin/show/225548?db=rtx5","225548")</f>
        <v>225548</v>
      </c>
      <c r="E31" s="2" t="s">
        <v>183</v>
      </c>
      <c r="F31" s="2" t="s">
        <v>83</v>
      </c>
      <c r="G31" s="2" t="s">
        <v>83</v>
      </c>
      <c r="H31" s="7">
        <v>418</v>
      </c>
      <c r="I31" s="7">
        <v>1911</v>
      </c>
      <c r="J31" s="7">
        <v>856</v>
      </c>
      <c r="K31" s="7">
        <v>1140</v>
      </c>
      <c r="L31" s="7">
        <v>578</v>
      </c>
      <c r="M31" s="7">
        <v>2381</v>
      </c>
      <c r="N31" s="7">
        <v>631</v>
      </c>
      <c r="O31" s="7">
        <v>811</v>
      </c>
      <c r="P31" s="7">
        <v>324</v>
      </c>
      <c r="Q31" s="7">
        <v>433</v>
      </c>
      <c r="R31" s="7">
        <v>1076</v>
      </c>
      <c r="S31" s="7">
        <v>3524</v>
      </c>
      <c r="T31" s="7">
        <v>1937</v>
      </c>
      <c r="U31" s="7">
        <v>899</v>
      </c>
      <c r="V31" s="7">
        <v>820</v>
      </c>
      <c r="W31" s="24">
        <f t="shared" si="0"/>
        <v>1182.6</v>
      </c>
      <c r="X31" s="25">
        <f t="shared" si="1"/>
        <v>888.0698814202148</v>
      </c>
      <c r="Y31" s="25"/>
      <c r="Z31" s="26"/>
      <c r="AA31" s="7">
        <v>754</v>
      </c>
      <c r="AB31" s="7">
        <v>1600</v>
      </c>
      <c r="AC31" s="7">
        <v>387</v>
      </c>
      <c r="AD31" s="7">
        <v>487</v>
      </c>
      <c r="AE31" s="7">
        <v>891</v>
      </c>
      <c r="AF31" s="7">
        <v>681</v>
      </c>
      <c r="AG31" s="7">
        <v>374</v>
      </c>
      <c r="AH31" s="7">
        <v>1311</v>
      </c>
      <c r="AI31" s="7">
        <v>1413</v>
      </c>
      <c r="AJ31" s="7">
        <v>599</v>
      </c>
      <c r="AK31" s="7">
        <v>1102</v>
      </c>
      <c r="AL31" s="7">
        <v>551</v>
      </c>
      <c r="AM31" s="30">
        <f t="shared" si="2"/>
        <v>845.8333333333334</v>
      </c>
      <c r="AN31" s="30">
        <f t="shared" si="3"/>
        <v>417.77110595360335</v>
      </c>
      <c r="AO31" s="30"/>
      <c r="AP31" s="29">
        <f t="shared" si="4"/>
        <v>0.7152319747449124</v>
      </c>
      <c r="AQ31" s="31">
        <f t="shared" si="5"/>
        <v>0.23849417119266775</v>
      </c>
      <c r="AR31" s="21" t="s">
        <v>942</v>
      </c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DM31" s="16"/>
      <c r="DN31" s="16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3"/>
      <c r="FW31" s="11"/>
    </row>
    <row r="32" spans="1:179" ht="18.75">
      <c r="A32" s="1" t="s">
        <v>459</v>
      </c>
      <c r="B32" s="2" t="s">
        <v>460</v>
      </c>
      <c r="C32" s="2" t="s">
        <v>389</v>
      </c>
      <c r="D32" s="2" t="str">
        <f>HYPERLINK("http://eros.fiehnlab.ucdavis.edu:8080/binbase-compound/bin/show/199198?db=rtx5","199198")</f>
        <v>199198</v>
      </c>
      <c r="E32" s="2" t="s">
        <v>625</v>
      </c>
      <c r="F32" s="2" t="str">
        <f>HYPERLINK("http://www.genome.ad.jp/dbget-bin/www_bget?compound+C00122","C00122")</f>
        <v>C00122</v>
      </c>
      <c r="G32" s="2" t="str">
        <f>HYPERLINK("http://pubchem.ncbi.nlm.nih.gov/summary/summary.cgi?cid=444972","444972")</f>
        <v>444972</v>
      </c>
      <c r="H32" s="7">
        <v>938</v>
      </c>
      <c r="I32" s="7">
        <v>942</v>
      </c>
      <c r="J32" s="7">
        <v>4130</v>
      </c>
      <c r="K32" s="7">
        <v>3493</v>
      </c>
      <c r="L32" s="7">
        <v>2629</v>
      </c>
      <c r="M32" s="7">
        <v>960</v>
      </c>
      <c r="N32" s="7">
        <v>1174</v>
      </c>
      <c r="O32" s="7">
        <v>1110</v>
      </c>
      <c r="P32" s="7">
        <v>671</v>
      </c>
      <c r="Q32" s="7">
        <v>928</v>
      </c>
      <c r="R32" s="7">
        <v>1784</v>
      </c>
      <c r="S32" s="7">
        <v>670</v>
      </c>
      <c r="T32" s="7">
        <v>711</v>
      </c>
      <c r="U32" s="7">
        <v>2567</v>
      </c>
      <c r="V32" s="7">
        <v>1276</v>
      </c>
      <c r="W32" s="24">
        <f t="shared" si="0"/>
        <v>1598.8666666666666</v>
      </c>
      <c r="X32" s="25">
        <f t="shared" si="1"/>
        <v>1095.0969211292063</v>
      </c>
      <c r="Y32" s="25"/>
      <c r="Z32" s="26"/>
      <c r="AA32" s="7">
        <v>617</v>
      </c>
      <c r="AB32" s="7">
        <v>1466</v>
      </c>
      <c r="AC32" s="7">
        <v>1143</v>
      </c>
      <c r="AD32" s="7">
        <v>1237</v>
      </c>
      <c r="AE32" s="7">
        <v>2504</v>
      </c>
      <c r="AF32" s="7">
        <v>626</v>
      </c>
      <c r="AG32" s="7">
        <v>866</v>
      </c>
      <c r="AH32" s="7">
        <v>718</v>
      </c>
      <c r="AI32" s="7">
        <v>933</v>
      </c>
      <c r="AJ32" s="7">
        <v>1719</v>
      </c>
      <c r="AK32" s="7">
        <v>641</v>
      </c>
      <c r="AL32" s="7">
        <v>1270</v>
      </c>
      <c r="AM32" s="30">
        <f t="shared" si="2"/>
        <v>1145</v>
      </c>
      <c r="AN32" s="30">
        <f t="shared" si="3"/>
        <v>556.8389680721316</v>
      </c>
      <c r="AO32" s="30"/>
      <c r="AP32" s="29">
        <f t="shared" si="4"/>
        <v>0.716132260351082</v>
      </c>
      <c r="AQ32" s="31">
        <f t="shared" si="5"/>
        <v>0.20421550037747344</v>
      </c>
      <c r="AR32" s="21" t="s">
        <v>459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DM32" s="16"/>
      <c r="DN32" s="16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3"/>
      <c r="FW32" s="11"/>
    </row>
    <row r="33" spans="1:179" ht="18.75">
      <c r="A33" s="1" t="s">
        <v>727</v>
      </c>
      <c r="B33" s="2" t="s">
        <v>728</v>
      </c>
      <c r="C33" s="2" t="s">
        <v>729</v>
      </c>
      <c r="D33" s="2" t="str">
        <f>HYPERLINK("http://eros.fiehnlab.ucdavis.edu:8080/binbase-compound/bin/show/339431?db=rtx5","339431")</f>
        <v>339431</v>
      </c>
      <c r="E33" s="2" t="s">
        <v>157</v>
      </c>
      <c r="F33" s="2" t="s">
        <v>83</v>
      </c>
      <c r="G33" s="2" t="s">
        <v>83</v>
      </c>
      <c r="H33" s="7">
        <v>1729</v>
      </c>
      <c r="I33" s="7">
        <v>794</v>
      </c>
      <c r="J33" s="7">
        <v>2082</v>
      </c>
      <c r="K33" s="7">
        <v>1374</v>
      </c>
      <c r="L33" s="7">
        <v>1824</v>
      </c>
      <c r="M33" s="7">
        <v>1315</v>
      </c>
      <c r="N33" s="7">
        <v>1886</v>
      </c>
      <c r="O33" s="7">
        <v>341</v>
      </c>
      <c r="P33" s="7">
        <v>563</v>
      </c>
      <c r="Q33" s="7">
        <v>635</v>
      </c>
      <c r="R33" s="7">
        <v>2112</v>
      </c>
      <c r="S33" s="7">
        <v>892</v>
      </c>
      <c r="T33" s="7">
        <v>730</v>
      </c>
      <c r="U33" s="7">
        <v>1459</v>
      </c>
      <c r="V33" s="7">
        <v>2550</v>
      </c>
      <c r="W33" s="24">
        <f t="shared" si="0"/>
        <v>1352.4</v>
      </c>
      <c r="X33" s="25">
        <f t="shared" si="1"/>
        <v>669.6295137718213</v>
      </c>
      <c r="Y33" s="25"/>
      <c r="Z33" s="26"/>
      <c r="AA33" s="7">
        <v>729</v>
      </c>
      <c r="AB33" s="7">
        <v>1018</v>
      </c>
      <c r="AC33" s="7">
        <v>473</v>
      </c>
      <c r="AD33" s="7">
        <v>1660</v>
      </c>
      <c r="AE33" s="7">
        <v>747</v>
      </c>
      <c r="AF33" s="7">
        <v>1280</v>
      </c>
      <c r="AG33" s="7">
        <v>709</v>
      </c>
      <c r="AH33" s="7">
        <v>491</v>
      </c>
      <c r="AI33" s="7">
        <v>1270</v>
      </c>
      <c r="AJ33" s="7">
        <v>1616</v>
      </c>
      <c r="AK33" s="7">
        <v>696</v>
      </c>
      <c r="AL33" s="7">
        <v>1006</v>
      </c>
      <c r="AM33" s="30">
        <f t="shared" si="2"/>
        <v>974.5833333333334</v>
      </c>
      <c r="AN33" s="30">
        <f t="shared" si="3"/>
        <v>405.67798657048024</v>
      </c>
      <c r="AO33" s="30"/>
      <c r="AP33" s="29">
        <f t="shared" si="4"/>
        <v>0.7206324558809031</v>
      </c>
      <c r="AQ33" s="31">
        <f t="shared" si="5"/>
        <v>0.0987010252393844</v>
      </c>
      <c r="AR33" s="21" t="s">
        <v>727</v>
      </c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DM33" s="16"/>
      <c r="DN33" s="16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3"/>
      <c r="FW33" s="11"/>
    </row>
    <row r="34" spans="1:179" ht="18.75">
      <c r="A34" s="1" t="s">
        <v>512</v>
      </c>
      <c r="B34" s="2" t="s">
        <v>513</v>
      </c>
      <c r="C34" s="2" t="s">
        <v>243</v>
      </c>
      <c r="D34" s="2" t="str">
        <f>HYPERLINK("http://eros.fiehnlab.ucdavis.edu:8080/binbase-compound/bin/show/203290?db=rtx5","203290")</f>
        <v>203290</v>
      </c>
      <c r="E34" s="2" t="s">
        <v>573</v>
      </c>
      <c r="F34" s="2" t="str">
        <f>HYPERLINK("http://www.genome.ad.jp/dbget-bin/www_bget?compound+C08281","C08281")</f>
        <v>C08281</v>
      </c>
      <c r="G34" s="2" t="str">
        <f>HYPERLINK("http://pubchem.ncbi.nlm.nih.gov/summary/summary.cgi?cid=8215","8215")</f>
        <v>8215</v>
      </c>
      <c r="H34" s="7">
        <v>935</v>
      </c>
      <c r="I34" s="7">
        <v>1261</v>
      </c>
      <c r="J34" s="7">
        <v>3993</v>
      </c>
      <c r="K34" s="7">
        <v>2091</v>
      </c>
      <c r="L34" s="7">
        <v>500</v>
      </c>
      <c r="M34" s="7">
        <v>1509</v>
      </c>
      <c r="N34" s="7">
        <v>1237</v>
      </c>
      <c r="O34" s="7">
        <v>885</v>
      </c>
      <c r="P34" s="7">
        <v>1269</v>
      </c>
      <c r="Q34" s="7">
        <v>750</v>
      </c>
      <c r="R34" s="7">
        <v>1567</v>
      </c>
      <c r="S34" s="7">
        <v>1405</v>
      </c>
      <c r="T34" s="7">
        <v>1475</v>
      </c>
      <c r="U34" s="7">
        <v>1744</v>
      </c>
      <c r="V34" s="7">
        <v>1404</v>
      </c>
      <c r="W34" s="24">
        <f t="shared" si="0"/>
        <v>1468.3333333333333</v>
      </c>
      <c r="X34" s="25">
        <f t="shared" si="1"/>
        <v>804.978319731715</v>
      </c>
      <c r="Y34" s="25"/>
      <c r="Z34" s="26"/>
      <c r="AA34" s="7">
        <v>1216</v>
      </c>
      <c r="AB34" s="7">
        <v>1188</v>
      </c>
      <c r="AC34" s="7">
        <v>871</v>
      </c>
      <c r="AD34" s="7">
        <v>683</v>
      </c>
      <c r="AE34" s="7">
        <v>1227</v>
      </c>
      <c r="AF34" s="7">
        <v>1036</v>
      </c>
      <c r="AG34" s="7">
        <v>499</v>
      </c>
      <c r="AH34" s="7">
        <v>756</v>
      </c>
      <c r="AI34" s="7">
        <v>1296</v>
      </c>
      <c r="AJ34" s="7">
        <v>931</v>
      </c>
      <c r="AK34" s="7">
        <v>1273</v>
      </c>
      <c r="AL34" s="7">
        <v>1725</v>
      </c>
      <c r="AM34" s="30">
        <f t="shared" si="2"/>
        <v>1058.4166666666667</v>
      </c>
      <c r="AN34" s="30">
        <f t="shared" si="3"/>
        <v>332.22020581463</v>
      </c>
      <c r="AO34" s="30"/>
      <c r="AP34" s="29">
        <f t="shared" si="4"/>
        <v>0.720828603859251</v>
      </c>
      <c r="AQ34" s="31">
        <f t="shared" si="5"/>
        <v>0.11144164115793484</v>
      </c>
      <c r="AR34" s="21" t="s">
        <v>512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DM34" s="16"/>
      <c r="DN34" s="16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3"/>
      <c r="FW34" s="11"/>
    </row>
    <row r="35" spans="1:179" ht="18.75">
      <c r="A35" s="1" t="s">
        <v>925</v>
      </c>
      <c r="B35" s="2" t="s">
        <v>926</v>
      </c>
      <c r="C35" s="2" t="s">
        <v>855</v>
      </c>
      <c r="D35" s="2" t="str">
        <f>HYPERLINK("http://eros.fiehnlab.ucdavis.edu:8080/binbase-compound/bin/show/226851?db=rtx5","226851")</f>
        <v>226851</v>
      </c>
      <c r="E35" s="2" t="s">
        <v>189</v>
      </c>
      <c r="F35" s="2" t="s">
        <v>83</v>
      </c>
      <c r="G35" s="2" t="s">
        <v>83</v>
      </c>
      <c r="H35" s="7">
        <v>1258</v>
      </c>
      <c r="I35" s="7">
        <v>2094</v>
      </c>
      <c r="J35" s="7">
        <v>438</v>
      </c>
      <c r="K35" s="7">
        <v>2163</v>
      </c>
      <c r="L35" s="7">
        <v>805</v>
      </c>
      <c r="M35" s="7">
        <v>1475</v>
      </c>
      <c r="N35" s="7">
        <v>1080</v>
      </c>
      <c r="O35" s="7">
        <v>556</v>
      </c>
      <c r="P35" s="7">
        <v>1341</v>
      </c>
      <c r="Q35" s="7">
        <v>1159</v>
      </c>
      <c r="R35" s="7">
        <v>1886</v>
      </c>
      <c r="S35" s="7">
        <v>1112</v>
      </c>
      <c r="T35" s="7">
        <v>1726</v>
      </c>
      <c r="U35" s="7">
        <v>527</v>
      </c>
      <c r="V35" s="7">
        <v>1300</v>
      </c>
      <c r="W35" s="24">
        <f t="shared" si="0"/>
        <v>1261.3333333333333</v>
      </c>
      <c r="X35" s="25">
        <f t="shared" si="1"/>
        <v>544.7462930663445</v>
      </c>
      <c r="Y35" s="25"/>
      <c r="Z35" s="26"/>
      <c r="AA35" s="7">
        <v>1359</v>
      </c>
      <c r="AB35" s="7">
        <v>1085</v>
      </c>
      <c r="AC35" s="7">
        <v>1020</v>
      </c>
      <c r="AD35" s="7">
        <v>490</v>
      </c>
      <c r="AE35" s="7">
        <v>556</v>
      </c>
      <c r="AF35" s="7">
        <v>879</v>
      </c>
      <c r="AG35" s="7">
        <v>937</v>
      </c>
      <c r="AH35" s="7">
        <v>1613</v>
      </c>
      <c r="AI35" s="7">
        <v>638</v>
      </c>
      <c r="AJ35" s="7">
        <v>668</v>
      </c>
      <c r="AK35" s="7">
        <v>509</v>
      </c>
      <c r="AL35" s="7">
        <v>1191</v>
      </c>
      <c r="AM35" s="30">
        <f t="shared" si="2"/>
        <v>912.0833333333334</v>
      </c>
      <c r="AN35" s="30">
        <f t="shared" si="3"/>
        <v>358.5575795863027</v>
      </c>
      <c r="AO35" s="30"/>
      <c r="AP35" s="29">
        <f t="shared" si="4"/>
        <v>0.7231104651162792</v>
      </c>
      <c r="AQ35" s="31">
        <f t="shared" si="5"/>
        <v>0.06758092042071111</v>
      </c>
      <c r="AR35" s="21" t="s">
        <v>925</v>
      </c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DM35" s="16"/>
      <c r="DN35" s="16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3"/>
      <c r="FW35" s="11"/>
    </row>
    <row r="36" spans="1:179" ht="18.75">
      <c r="A36" s="1" t="s">
        <v>833</v>
      </c>
      <c r="B36" s="2" t="s">
        <v>834</v>
      </c>
      <c r="C36" s="2" t="s">
        <v>389</v>
      </c>
      <c r="D36" s="2" t="str">
        <f>HYPERLINK("http://eros.fiehnlab.ucdavis.edu:8080/binbase-compound/bin/show/269625?db=rtx5","269625")</f>
        <v>269625</v>
      </c>
      <c r="E36" s="2" t="s">
        <v>149</v>
      </c>
      <c r="F36" s="2" t="s">
        <v>83</v>
      </c>
      <c r="G36" s="2" t="s">
        <v>83</v>
      </c>
      <c r="H36" s="7">
        <v>1284</v>
      </c>
      <c r="I36" s="7">
        <v>680</v>
      </c>
      <c r="J36" s="7">
        <v>1176</v>
      </c>
      <c r="K36" s="7">
        <v>889</v>
      </c>
      <c r="L36" s="7">
        <v>1624</v>
      </c>
      <c r="M36" s="7">
        <v>1769</v>
      </c>
      <c r="N36" s="7">
        <v>2133</v>
      </c>
      <c r="O36" s="7">
        <v>587</v>
      </c>
      <c r="P36" s="7">
        <v>511</v>
      </c>
      <c r="Q36" s="7">
        <v>583</v>
      </c>
      <c r="R36" s="7">
        <v>2237</v>
      </c>
      <c r="S36" s="7">
        <v>729</v>
      </c>
      <c r="T36" s="7">
        <v>482</v>
      </c>
      <c r="U36" s="7">
        <v>1365</v>
      </c>
      <c r="V36" s="7">
        <v>1991</v>
      </c>
      <c r="W36" s="24">
        <f t="shared" si="0"/>
        <v>1202.6666666666667</v>
      </c>
      <c r="X36" s="25">
        <f t="shared" si="1"/>
        <v>623.669517185718</v>
      </c>
      <c r="Y36" s="25"/>
      <c r="Z36" s="26"/>
      <c r="AA36" s="7">
        <v>543</v>
      </c>
      <c r="AB36" s="7">
        <v>816</v>
      </c>
      <c r="AC36" s="7">
        <v>574</v>
      </c>
      <c r="AD36" s="7">
        <v>1345</v>
      </c>
      <c r="AE36" s="7">
        <v>973</v>
      </c>
      <c r="AF36" s="7">
        <v>617</v>
      </c>
      <c r="AG36" s="7">
        <v>754</v>
      </c>
      <c r="AH36" s="7">
        <v>427</v>
      </c>
      <c r="AI36" s="7">
        <v>1386</v>
      </c>
      <c r="AJ36" s="7">
        <v>1419</v>
      </c>
      <c r="AK36" s="7">
        <v>442</v>
      </c>
      <c r="AL36" s="7">
        <v>1140</v>
      </c>
      <c r="AM36" s="30">
        <f t="shared" si="2"/>
        <v>869.6666666666666</v>
      </c>
      <c r="AN36" s="30">
        <f t="shared" si="3"/>
        <v>373.088908081349</v>
      </c>
      <c r="AO36" s="30"/>
      <c r="AP36" s="29">
        <f t="shared" si="4"/>
        <v>0.7231152993348114</v>
      </c>
      <c r="AQ36" s="31">
        <f t="shared" si="5"/>
        <v>0.11615090440452318</v>
      </c>
      <c r="AR36" s="21" t="s">
        <v>833</v>
      </c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DM36" s="16"/>
      <c r="DN36" s="16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3"/>
      <c r="FW36" s="11"/>
    </row>
    <row r="37" spans="1:179" ht="18.75">
      <c r="A37" s="1" t="s">
        <v>908</v>
      </c>
      <c r="B37" s="2" t="s">
        <v>909</v>
      </c>
      <c r="C37" s="2" t="s">
        <v>779</v>
      </c>
      <c r="D37" s="2" t="str">
        <f>HYPERLINK("http://eros.fiehnlab.ucdavis.edu:8080/binbase-compound/bin/show/226922?db=rtx5","226922")</f>
        <v>226922</v>
      </c>
      <c r="E37" s="2" t="s">
        <v>657</v>
      </c>
      <c r="F37" s="2" t="s">
        <v>83</v>
      </c>
      <c r="G37" s="2" t="s">
        <v>83</v>
      </c>
      <c r="H37" s="7">
        <v>12444</v>
      </c>
      <c r="I37" s="7">
        <v>5201</v>
      </c>
      <c r="J37" s="7">
        <v>2261</v>
      </c>
      <c r="K37" s="7">
        <v>6356</v>
      </c>
      <c r="L37" s="7">
        <v>12181</v>
      </c>
      <c r="M37" s="7">
        <v>10670</v>
      </c>
      <c r="N37" s="7">
        <v>14448</v>
      </c>
      <c r="O37" s="7">
        <v>2326</v>
      </c>
      <c r="P37" s="7">
        <v>3678</v>
      </c>
      <c r="Q37" s="7">
        <v>4089</v>
      </c>
      <c r="R37" s="7">
        <v>13232</v>
      </c>
      <c r="S37" s="7">
        <v>5590</v>
      </c>
      <c r="T37" s="7">
        <v>3947</v>
      </c>
      <c r="U37" s="7">
        <v>8189</v>
      </c>
      <c r="V37" s="7">
        <v>22541</v>
      </c>
      <c r="W37" s="24">
        <f t="shared" si="0"/>
        <v>8476.866666666667</v>
      </c>
      <c r="X37" s="25">
        <f t="shared" si="1"/>
        <v>5689.92058526889</v>
      </c>
      <c r="Y37" s="25"/>
      <c r="Z37" s="26"/>
      <c r="AA37" s="7">
        <v>3069</v>
      </c>
      <c r="AB37" s="7">
        <v>3786</v>
      </c>
      <c r="AC37" s="7">
        <v>2298</v>
      </c>
      <c r="AD37" s="7">
        <v>9687</v>
      </c>
      <c r="AE37" s="7">
        <v>2510</v>
      </c>
      <c r="AF37" s="7">
        <v>6561</v>
      </c>
      <c r="AG37" s="7">
        <v>4320</v>
      </c>
      <c r="AH37" s="7">
        <v>2599</v>
      </c>
      <c r="AI37" s="7">
        <v>13670</v>
      </c>
      <c r="AJ37" s="7">
        <v>15244</v>
      </c>
      <c r="AK37" s="7">
        <v>3563</v>
      </c>
      <c r="AL37" s="7">
        <v>6642</v>
      </c>
      <c r="AM37" s="30">
        <f t="shared" si="2"/>
        <v>6162.416666666667</v>
      </c>
      <c r="AN37" s="30">
        <f t="shared" si="3"/>
        <v>4451.663334863689</v>
      </c>
      <c r="AO37" s="30"/>
      <c r="AP37" s="29">
        <f t="shared" si="4"/>
        <v>0.7269686912617084</v>
      </c>
      <c r="AQ37" s="31">
        <f t="shared" si="5"/>
        <v>0.2597057414236348</v>
      </c>
      <c r="AR37" s="21" t="s">
        <v>908</v>
      </c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DM37" s="16"/>
      <c r="DN37" s="16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3"/>
      <c r="FW37" s="11"/>
    </row>
    <row r="38" spans="1:179" ht="18.75">
      <c r="A38" s="1" t="s">
        <v>807</v>
      </c>
      <c r="B38" s="2" t="s">
        <v>808</v>
      </c>
      <c r="C38" s="2" t="s">
        <v>210</v>
      </c>
      <c r="D38" s="2" t="str">
        <f>HYPERLINK("http://eros.fiehnlab.ucdavis.edu:8080/binbase-compound/bin/show/281216?db=rtx5","281216")</f>
        <v>281216</v>
      </c>
      <c r="E38" s="2" t="s">
        <v>1</v>
      </c>
      <c r="F38" s="2" t="s">
        <v>83</v>
      </c>
      <c r="G38" s="2" t="s">
        <v>83</v>
      </c>
      <c r="H38" s="7">
        <v>730</v>
      </c>
      <c r="I38" s="7">
        <v>462</v>
      </c>
      <c r="J38" s="7">
        <v>1507</v>
      </c>
      <c r="K38" s="7">
        <v>1228</v>
      </c>
      <c r="L38" s="7">
        <v>1910</v>
      </c>
      <c r="M38" s="7">
        <v>1170</v>
      </c>
      <c r="N38" s="7">
        <v>1788</v>
      </c>
      <c r="O38" s="7">
        <v>616</v>
      </c>
      <c r="P38" s="7">
        <v>537</v>
      </c>
      <c r="Q38" s="7">
        <v>740</v>
      </c>
      <c r="R38" s="7">
        <v>2060</v>
      </c>
      <c r="S38" s="7">
        <v>522</v>
      </c>
      <c r="T38" s="7">
        <v>509</v>
      </c>
      <c r="U38" s="7">
        <v>1424</v>
      </c>
      <c r="V38" s="7">
        <v>1752</v>
      </c>
      <c r="W38" s="24">
        <f t="shared" si="0"/>
        <v>1130.3333333333333</v>
      </c>
      <c r="X38" s="25">
        <f t="shared" si="1"/>
        <v>577.0856171520907</v>
      </c>
      <c r="Y38" s="25"/>
      <c r="Z38" s="26"/>
      <c r="AA38" s="7">
        <v>572</v>
      </c>
      <c r="AB38" s="7">
        <v>975</v>
      </c>
      <c r="AC38" s="7">
        <v>604</v>
      </c>
      <c r="AD38" s="7">
        <v>1241</v>
      </c>
      <c r="AE38" s="7">
        <v>504</v>
      </c>
      <c r="AF38" s="7">
        <v>780</v>
      </c>
      <c r="AG38" s="7">
        <v>609</v>
      </c>
      <c r="AH38" s="7">
        <v>438</v>
      </c>
      <c r="AI38" s="7">
        <v>1372</v>
      </c>
      <c r="AJ38" s="7">
        <v>1410</v>
      </c>
      <c r="AK38" s="7">
        <v>517</v>
      </c>
      <c r="AL38" s="7">
        <v>842</v>
      </c>
      <c r="AM38" s="30">
        <f t="shared" si="2"/>
        <v>822</v>
      </c>
      <c r="AN38" s="30">
        <f t="shared" si="3"/>
        <v>349.85399552072886</v>
      </c>
      <c r="AO38" s="30"/>
      <c r="AP38" s="29">
        <f t="shared" si="4"/>
        <v>0.7272191094072545</v>
      </c>
      <c r="AQ38" s="31">
        <f t="shared" si="5"/>
        <v>0.11694618504371056</v>
      </c>
      <c r="AR38" s="21" t="s">
        <v>807</v>
      </c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DM38" s="16"/>
      <c r="DN38" s="16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3"/>
      <c r="FW38" s="11"/>
    </row>
    <row r="39" spans="1:179" s="37" customFormat="1" ht="18.75">
      <c r="A39" s="40" t="s">
        <v>376</v>
      </c>
      <c r="B39" s="32" t="s">
        <v>377</v>
      </c>
      <c r="C39" s="32" t="s">
        <v>230</v>
      </c>
      <c r="D39" s="32" t="str">
        <f>HYPERLINK("http://eros.fiehnlab.ucdavis.edu:8080/binbase-compound/bin/show/217790?db=rtx5","217790")</f>
        <v>217790</v>
      </c>
      <c r="E39" s="32" t="s">
        <v>1098</v>
      </c>
      <c r="F39" s="32" t="str">
        <f>HYPERLINK("http://www.genome.ad.jp/dbget-bin/www_bget?compound+C00186","C00186")</f>
        <v>C00186</v>
      </c>
      <c r="G39" s="32" t="str">
        <f>HYPERLINK("http://pubchem.ncbi.nlm.nih.gov/summary/summary.cgi?cid=612","612")</f>
        <v>612</v>
      </c>
      <c r="H39" s="33">
        <v>271929</v>
      </c>
      <c r="I39" s="33">
        <v>149319</v>
      </c>
      <c r="J39" s="33">
        <v>289602</v>
      </c>
      <c r="K39" s="33">
        <v>207606</v>
      </c>
      <c r="L39" s="33">
        <v>427232</v>
      </c>
      <c r="M39" s="33">
        <v>140076</v>
      </c>
      <c r="N39" s="33">
        <v>296476</v>
      </c>
      <c r="O39" s="33">
        <v>143596</v>
      </c>
      <c r="P39" s="33">
        <v>205930</v>
      </c>
      <c r="Q39" s="33">
        <v>400556</v>
      </c>
      <c r="R39" s="33">
        <v>148097</v>
      </c>
      <c r="S39" s="33">
        <v>190472</v>
      </c>
      <c r="T39" s="33">
        <v>251591</v>
      </c>
      <c r="U39" s="33">
        <v>182582</v>
      </c>
      <c r="V39" s="33">
        <v>94458</v>
      </c>
      <c r="W39" s="24">
        <f t="shared" si="0"/>
        <v>226634.8</v>
      </c>
      <c r="X39" s="25">
        <f t="shared" si="1"/>
        <v>96380.39711269093</v>
      </c>
      <c r="Y39" s="25"/>
      <c r="Z39" s="26"/>
      <c r="AA39" s="33">
        <v>337790</v>
      </c>
      <c r="AB39" s="33">
        <v>271214</v>
      </c>
      <c r="AC39" s="33">
        <v>186461</v>
      </c>
      <c r="AD39" s="33">
        <v>83356</v>
      </c>
      <c r="AE39" s="33">
        <v>141357</v>
      </c>
      <c r="AF39" s="33">
        <v>168055</v>
      </c>
      <c r="AG39" s="33">
        <v>118991</v>
      </c>
      <c r="AH39" s="33">
        <v>244279</v>
      </c>
      <c r="AI39" s="33">
        <v>118030</v>
      </c>
      <c r="AJ39" s="33">
        <v>69628</v>
      </c>
      <c r="AK39" s="33">
        <v>144417</v>
      </c>
      <c r="AL39" s="33">
        <v>98941</v>
      </c>
      <c r="AM39" s="30">
        <f t="shared" si="2"/>
        <v>165209.91666666666</v>
      </c>
      <c r="AN39" s="30">
        <f t="shared" si="3"/>
        <v>81644.0998385491</v>
      </c>
      <c r="AO39" s="30"/>
      <c r="AP39" s="29">
        <f t="shared" si="4"/>
        <v>0.728969763984466</v>
      </c>
      <c r="AQ39" s="31">
        <f t="shared" si="5"/>
        <v>0.0909134220025992</v>
      </c>
      <c r="AR39" s="35" t="s">
        <v>376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DM39" s="43"/>
      <c r="DN39" s="43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8"/>
      <c r="FW39" s="39"/>
    </row>
    <row r="40" spans="1:179" ht="18.75">
      <c r="A40" s="1" t="s">
        <v>281</v>
      </c>
      <c r="B40" s="2" t="s">
        <v>282</v>
      </c>
      <c r="C40" s="2" t="s">
        <v>283</v>
      </c>
      <c r="D40" s="2" t="str">
        <f>HYPERLINK("http://eros.fiehnlab.ucdavis.edu:8080/binbase-compound/bin/show/268215?db=rtx5","268215")</f>
        <v>268215</v>
      </c>
      <c r="E40" s="2" t="s">
        <v>570</v>
      </c>
      <c r="F40" s="2" t="str">
        <f>HYPERLINK("http://www.genome.ad.jp/dbget-bin/www_bget?compound+C0013","C0013")</f>
        <v>C0013</v>
      </c>
      <c r="G40" s="2" t="str">
        <f>HYPERLINK("http://pubchem.ncbi.nlm.nih.gov/summary/summary.cgi?cid=1023","1023")</f>
        <v>1023</v>
      </c>
      <c r="H40" s="7">
        <v>16750</v>
      </c>
      <c r="I40" s="7">
        <v>3876</v>
      </c>
      <c r="J40" s="7">
        <v>25507</v>
      </c>
      <c r="K40" s="7">
        <v>7231</v>
      </c>
      <c r="L40" s="7">
        <v>13440</v>
      </c>
      <c r="M40" s="7">
        <v>4286</v>
      </c>
      <c r="N40" s="7">
        <v>6250</v>
      </c>
      <c r="O40" s="7">
        <v>2764</v>
      </c>
      <c r="P40" s="7">
        <v>3073</v>
      </c>
      <c r="Q40" s="7">
        <v>4097</v>
      </c>
      <c r="R40" s="7">
        <v>7076</v>
      </c>
      <c r="S40" s="7">
        <v>5150</v>
      </c>
      <c r="T40" s="7">
        <v>3525</v>
      </c>
      <c r="U40" s="7">
        <v>13494</v>
      </c>
      <c r="V40" s="7">
        <v>17567</v>
      </c>
      <c r="W40" s="24">
        <f t="shared" si="0"/>
        <v>8939.066666666668</v>
      </c>
      <c r="X40" s="25">
        <f t="shared" si="1"/>
        <v>6821.794636799518</v>
      </c>
      <c r="Y40" s="25"/>
      <c r="Z40" s="26"/>
      <c r="AA40" s="7">
        <v>3734</v>
      </c>
      <c r="AB40" s="7">
        <v>4771</v>
      </c>
      <c r="AC40" s="7">
        <v>3401</v>
      </c>
      <c r="AD40" s="7">
        <v>10815</v>
      </c>
      <c r="AE40" s="7">
        <v>5470</v>
      </c>
      <c r="AF40" s="7">
        <v>10646</v>
      </c>
      <c r="AG40" s="7">
        <v>2837</v>
      </c>
      <c r="AH40" s="7">
        <v>4874</v>
      </c>
      <c r="AI40" s="7">
        <v>7905</v>
      </c>
      <c r="AJ40" s="7">
        <v>15593</v>
      </c>
      <c r="AK40" s="7">
        <v>3667</v>
      </c>
      <c r="AL40" s="7">
        <v>4546</v>
      </c>
      <c r="AM40" s="30">
        <f t="shared" si="2"/>
        <v>6521.583333333333</v>
      </c>
      <c r="AN40" s="30">
        <f t="shared" si="3"/>
        <v>3927.409195948933</v>
      </c>
      <c r="AO40" s="30"/>
      <c r="AP40" s="29">
        <f t="shared" si="4"/>
        <v>0.729559760153931</v>
      </c>
      <c r="AQ40" s="31">
        <f t="shared" si="5"/>
        <v>0.28649817505485864</v>
      </c>
      <c r="AR40" s="21" t="s">
        <v>281</v>
      </c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DM40" s="16"/>
      <c r="DN40" s="16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3"/>
      <c r="FW40" s="11"/>
    </row>
    <row r="41" spans="1:179" ht="18.75">
      <c r="A41" s="1" t="s">
        <v>454</v>
      </c>
      <c r="B41" s="2" t="s">
        <v>455</v>
      </c>
      <c r="C41" s="2" t="s">
        <v>456</v>
      </c>
      <c r="D41" s="2" t="str">
        <f>HYPERLINK("http://eros.fiehnlab.ucdavis.edu:8080/binbase-compound/bin/show/202089?db=rtx5","202089")</f>
        <v>202089</v>
      </c>
      <c r="E41" s="2" t="s">
        <v>177</v>
      </c>
      <c r="F41" s="2" t="str">
        <f>HYPERLINK("http://www.genome.ad.jp/dbget-bin/www_bget?compound+C02483","C02483")</f>
        <v>C02483</v>
      </c>
      <c r="G41" s="2" t="str">
        <f>HYPERLINK("http://pubchem.ncbi.nlm.nih.gov/summary/summary.cgi?cid=92729","92729")</f>
        <v>92729</v>
      </c>
      <c r="H41" s="7">
        <v>1898</v>
      </c>
      <c r="I41" s="7">
        <v>1800</v>
      </c>
      <c r="J41" s="7">
        <v>2383</v>
      </c>
      <c r="K41" s="7">
        <v>946</v>
      </c>
      <c r="L41" s="7">
        <v>1975</v>
      </c>
      <c r="M41" s="7">
        <v>4002</v>
      </c>
      <c r="N41" s="7">
        <v>1697</v>
      </c>
      <c r="O41" s="7">
        <v>2725</v>
      </c>
      <c r="P41" s="7">
        <v>1709</v>
      </c>
      <c r="Q41" s="7">
        <v>1709</v>
      </c>
      <c r="R41" s="7">
        <v>1957</v>
      </c>
      <c r="S41" s="7">
        <v>3118</v>
      </c>
      <c r="T41" s="7">
        <v>3089</v>
      </c>
      <c r="U41" s="7">
        <v>1988</v>
      </c>
      <c r="V41" s="7">
        <v>704</v>
      </c>
      <c r="W41" s="24">
        <f t="shared" si="0"/>
        <v>2113.3333333333335</v>
      </c>
      <c r="X41" s="25">
        <f t="shared" si="1"/>
        <v>846.3459835135534</v>
      </c>
      <c r="Y41" s="25"/>
      <c r="Z41" s="26"/>
      <c r="AA41" s="7">
        <v>927</v>
      </c>
      <c r="AB41" s="7">
        <v>726</v>
      </c>
      <c r="AC41" s="7">
        <v>3368</v>
      </c>
      <c r="AD41" s="7">
        <v>559</v>
      </c>
      <c r="AE41" s="7">
        <v>1864</v>
      </c>
      <c r="AF41" s="7">
        <v>1259</v>
      </c>
      <c r="AG41" s="7">
        <v>2924</v>
      </c>
      <c r="AH41" s="7">
        <v>1787</v>
      </c>
      <c r="AI41" s="7">
        <v>1985</v>
      </c>
      <c r="AJ41" s="7">
        <v>1051</v>
      </c>
      <c r="AK41" s="7">
        <v>1233</v>
      </c>
      <c r="AL41" s="7">
        <v>819</v>
      </c>
      <c r="AM41" s="30">
        <f t="shared" si="2"/>
        <v>1541.8333333333333</v>
      </c>
      <c r="AN41" s="30">
        <f t="shared" si="3"/>
        <v>881.8321663995762</v>
      </c>
      <c r="AO41" s="30"/>
      <c r="AP41" s="29">
        <f t="shared" si="4"/>
        <v>0.7295741324921134</v>
      </c>
      <c r="AQ41" s="31">
        <f t="shared" si="5"/>
        <v>0.09935805996151481</v>
      </c>
      <c r="AR41" s="21" t="s">
        <v>454</v>
      </c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DM41" s="16"/>
      <c r="DN41" s="16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3"/>
      <c r="FW41" s="11"/>
    </row>
    <row r="42" spans="1:179" ht="18.75">
      <c r="A42" s="1" t="s">
        <v>963</v>
      </c>
      <c r="B42" s="2" t="s">
        <v>964</v>
      </c>
      <c r="C42" s="2" t="s">
        <v>446</v>
      </c>
      <c r="D42" s="2" t="str">
        <f>HYPERLINK("http://eros.fiehnlab.ucdavis.edu:8080/binbase-compound/bin/show/223505?db=rtx5","223505")</f>
        <v>223505</v>
      </c>
      <c r="E42" s="2" t="s">
        <v>51</v>
      </c>
      <c r="F42" s="2" t="s">
        <v>83</v>
      </c>
      <c r="G42" s="2" t="s">
        <v>83</v>
      </c>
      <c r="H42" s="7">
        <v>193</v>
      </c>
      <c r="I42" s="7">
        <v>564</v>
      </c>
      <c r="J42" s="7">
        <v>499</v>
      </c>
      <c r="K42" s="7">
        <v>411</v>
      </c>
      <c r="L42" s="7">
        <v>199</v>
      </c>
      <c r="M42" s="7">
        <v>352</v>
      </c>
      <c r="N42" s="7">
        <v>203</v>
      </c>
      <c r="O42" s="7">
        <v>168</v>
      </c>
      <c r="P42" s="7">
        <v>322</v>
      </c>
      <c r="Q42" s="7">
        <v>261</v>
      </c>
      <c r="R42" s="7">
        <v>654</v>
      </c>
      <c r="S42" s="7">
        <v>210</v>
      </c>
      <c r="T42" s="7">
        <v>343</v>
      </c>
      <c r="U42" s="7">
        <v>313</v>
      </c>
      <c r="V42" s="7">
        <v>546</v>
      </c>
      <c r="W42" s="24">
        <f t="shared" si="0"/>
        <v>349.2</v>
      </c>
      <c r="X42" s="25">
        <f t="shared" si="1"/>
        <v>154.5616844037172</v>
      </c>
      <c r="Y42" s="25"/>
      <c r="Z42" s="26"/>
      <c r="AA42" s="7">
        <v>329</v>
      </c>
      <c r="AB42" s="7">
        <v>159</v>
      </c>
      <c r="AC42" s="7">
        <v>302</v>
      </c>
      <c r="AD42" s="7">
        <v>248</v>
      </c>
      <c r="AE42" s="7">
        <v>269</v>
      </c>
      <c r="AF42" s="7">
        <v>209</v>
      </c>
      <c r="AG42" s="7">
        <v>180</v>
      </c>
      <c r="AH42" s="7">
        <v>235</v>
      </c>
      <c r="AI42" s="7">
        <v>299</v>
      </c>
      <c r="AJ42" s="7">
        <v>273</v>
      </c>
      <c r="AK42" s="7">
        <v>157</v>
      </c>
      <c r="AL42" s="7">
        <v>399</v>
      </c>
      <c r="AM42" s="30">
        <f t="shared" si="2"/>
        <v>254.91666666666666</v>
      </c>
      <c r="AN42" s="30">
        <f t="shared" si="3"/>
        <v>72.54272513282753</v>
      </c>
      <c r="AO42" s="30"/>
      <c r="AP42" s="29">
        <f t="shared" si="4"/>
        <v>0.7300019091256205</v>
      </c>
      <c r="AQ42" s="31">
        <f t="shared" si="5"/>
        <v>0.06332626456428805</v>
      </c>
      <c r="AR42" s="21" t="s">
        <v>963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DM42" s="16"/>
      <c r="DN42" s="16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3"/>
      <c r="FW42" s="11"/>
    </row>
    <row r="43" spans="1:179" ht="18.75">
      <c r="A43" s="1" t="s">
        <v>258</v>
      </c>
      <c r="B43" s="2" t="s">
        <v>259</v>
      </c>
      <c r="C43" s="2" t="s">
        <v>260</v>
      </c>
      <c r="D43" s="2" t="str">
        <f>HYPERLINK("http://eros.fiehnlab.ucdavis.edu:8080/binbase-compound/bin/show/199227?db=rtx5","199227")</f>
        <v>199227</v>
      </c>
      <c r="E43" s="2" t="s">
        <v>609</v>
      </c>
      <c r="F43" s="2" t="str">
        <f>HYPERLINK("http://www.genome.ad.jp/dbget-bin/www_bget?compound+C05442","C05442")</f>
        <v>C05442</v>
      </c>
      <c r="G43" s="2" t="str">
        <f>HYPERLINK("http://pubchem.ncbi.nlm.nih.gov/summary/summary.cgi?cid=5280794","5280794")</f>
        <v>5280794</v>
      </c>
      <c r="H43" s="7">
        <v>313</v>
      </c>
      <c r="I43" s="7">
        <v>22</v>
      </c>
      <c r="J43" s="7">
        <v>811</v>
      </c>
      <c r="K43" s="7">
        <v>357</v>
      </c>
      <c r="L43" s="7">
        <v>331</v>
      </c>
      <c r="M43" s="7">
        <v>240</v>
      </c>
      <c r="N43" s="7">
        <v>401</v>
      </c>
      <c r="O43" s="7">
        <v>152</v>
      </c>
      <c r="P43" s="7">
        <v>188</v>
      </c>
      <c r="Q43" s="7">
        <v>172</v>
      </c>
      <c r="R43" s="7">
        <v>221</v>
      </c>
      <c r="S43" s="7">
        <v>269</v>
      </c>
      <c r="T43" s="7">
        <v>197</v>
      </c>
      <c r="U43" s="7">
        <v>313</v>
      </c>
      <c r="V43" s="7">
        <v>348</v>
      </c>
      <c r="W43" s="24">
        <f t="shared" si="0"/>
        <v>289</v>
      </c>
      <c r="X43" s="25">
        <f t="shared" si="1"/>
        <v>174.41453084943518</v>
      </c>
      <c r="Y43" s="25"/>
      <c r="Z43" s="26"/>
      <c r="AA43" s="7">
        <v>257</v>
      </c>
      <c r="AB43" s="7">
        <v>223</v>
      </c>
      <c r="AC43" s="7">
        <v>163</v>
      </c>
      <c r="AD43" s="7">
        <v>240</v>
      </c>
      <c r="AE43" s="7">
        <v>104</v>
      </c>
      <c r="AF43" s="7">
        <v>258</v>
      </c>
      <c r="AG43" s="7">
        <v>339</v>
      </c>
      <c r="AH43" s="7">
        <v>163</v>
      </c>
      <c r="AI43" s="7">
        <v>115</v>
      </c>
      <c r="AJ43" s="7">
        <v>143</v>
      </c>
      <c r="AK43" s="7">
        <v>201</v>
      </c>
      <c r="AL43" s="7">
        <v>331</v>
      </c>
      <c r="AM43" s="30">
        <f t="shared" si="2"/>
        <v>211.41666666666666</v>
      </c>
      <c r="AN43" s="30">
        <f t="shared" si="3"/>
        <v>77.51182705454265</v>
      </c>
      <c r="AO43" s="30"/>
      <c r="AP43" s="29">
        <f t="shared" si="4"/>
        <v>0.7315455594002307</v>
      </c>
      <c r="AQ43" s="31">
        <f t="shared" si="5"/>
        <v>0.16567238572981985</v>
      </c>
      <c r="AR43" s="21" t="s">
        <v>258</v>
      </c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DM43" s="16"/>
      <c r="DN43" s="16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3"/>
      <c r="FW43" s="11"/>
    </row>
    <row r="44" spans="1:179" ht="18.75">
      <c r="A44" s="1" t="s">
        <v>272</v>
      </c>
      <c r="B44" s="2" t="s">
        <v>273</v>
      </c>
      <c r="C44" s="2" t="s">
        <v>274</v>
      </c>
      <c r="D44" s="2" t="str">
        <f>HYPERLINK("http://eros.fiehnlab.ucdavis.edu:8080/binbase-compound/bin/show/213449?db=rtx5","213449")</f>
        <v>213449</v>
      </c>
      <c r="E44" s="2" t="s">
        <v>615</v>
      </c>
      <c r="F44" s="2" t="str">
        <f>HYPERLINK("http://www.genome.ad.jp/dbget-bin/www_bget?compound+C06202","C06202")</f>
        <v>C06202</v>
      </c>
      <c r="G44" s="2" t="str">
        <f>HYPERLINK("http://pubchem.ncbi.nlm.nih.gov/summary/summary.cgi?cid=6998","6998")</f>
        <v>6998</v>
      </c>
      <c r="H44" s="7">
        <v>294</v>
      </c>
      <c r="I44" s="7">
        <v>483</v>
      </c>
      <c r="J44" s="7">
        <v>2630</v>
      </c>
      <c r="K44" s="7">
        <v>1944</v>
      </c>
      <c r="L44" s="7">
        <v>575</v>
      </c>
      <c r="M44" s="7">
        <v>948</v>
      </c>
      <c r="N44" s="7">
        <v>839</v>
      </c>
      <c r="O44" s="7">
        <v>494</v>
      </c>
      <c r="P44" s="7">
        <v>599</v>
      </c>
      <c r="Q44" s="7">
        <v>1024</v>
      </c>
      <c r="R44" s="7">
        <v>976</v>
      </c>
      <c r="S44" s="7">
        <v>644</v>
      </c>
      <c r="T44" s="7">
        <v>584</v>
      </c>
      <c r="U44" s="7">
        <v>1163</v>
      </c>
      <c r="V44" s="7">
        <v>1009</v>
      </c>
      <c r="W44" s="24">
        <f t="shared" si="0"/>
        <v>947.0666666666667</v>
      </c>
      <c r="X44" s="25">
        <f t="shared" si="1"/>
        <v>610.9368060220148</v>
      </c>
      <c r="Y44" s="25"/>
      <c r="Z44" s="26"/>
      <c r="AA44" s="7">
        <v>819</v>
      </c>
      <c r="AB44" s="7">
        <v>871</v>
      </c>
      <c r="AC44" s="7">
        <v>908</v>
      </c>
      <c r="AD44" s="7">
        <v>503</v>
      </c>
      <c r="AE44" s="7">
        <v>780</v>
      </c>
      <c r="AF44" s="7">
        <v>623</v>
      </c>
      <c r="AG44" s="7">
        <v>364</v>
      </c>
      <c r="AH44" s="7">
        <v>673</v>
      </c>
      <c r="AI44" s="7">
        <v>644</v>
      </c>
      <c r="AJ44" s="7">
        <v>540</v>
      </c>
      <c r="AK44" s="7">
        <v>700</v>
      </c>
      <c r="AL44" s="7">
        <v>900</v>
      </c>
      <c r="AM44" s="30">
        <f t="shared" si="2"/>
        <v>693.75</v>
      </c>
      <c r="AN44" s="30">
        <f t="shared" si="3"/>
        <v>170.47960421864386</v>
      </c>
      <c r="AO44" s="30"/>
      <c r="AP44" s="29">
        <f t="shared" si="4"/>
        <v>0.7325249894410812</v>
      </c>
      <c r="AQ44" s="31">
        <f t="shared" si="5"/>
        <v>0.17714950926830475</v>
      </c>
      <c r="AR44" s="21" t="s">
        <v>272</v>
      </c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DM44" s="16"/>
      <c r="DN44" s="16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3"/>
      <c r="FW44" s="11"/>
    </row>
    <row r="45" spans="1:179" ht="18.75">
      <c r="A45" s="1" t="s">
        <v>559</v>
      </c>
      <c r="B45" s="2" t="s">
        <v>560</v>
      </c>
      <c r="C45" s="2" t="s">
        <v>561</v>
      </c>
      <c r="D45" s="2" t="str">
        <f>HYPERLINK("http://eros.fiehnlab.ucdavis.edu:8080/binbase-compound/bin/show/425495?db=rtx5","425495")</f>
        <v>425495</v>
      </c>
      <c r="E45" s="2" t="s">
        <v>15</v>
      </c>
      <c r="F45" s="2" t="s">
        <v>83</v>
      </c>
      <c r="G45" s="2" t="s">
        <v>83</v>
      </c>
      <c r="H45" s="7">
        <v>471</v>
      </c>
      <c r="I45" s="7">
        <v>833</v>
      </c>
      <c r="J45" s="7">
        <v>1915</v>
      </c>
      <c r="K45" s="7">
        <v>2110</v>
      </c>
      <c r="L45" s="7">
        <v>1283</v>
      </c>
      <c r="M45" s="7">
        <v>1412</v>
      </c>
      <c r="N45" s="7">
        <v>2145</v>
      </c>
      <c r="O45" s="7">
        <v>146</v>
      </c>
      <c r="P45" s="7">
        <v>606</v>
      </c>
      <c r="Q45" s="7">
        <v>754</v>
      </c>
      <c r="R45" s="7">
        <v>2279</v>
      </c>
      <c r="S45" s="7">
        <v>810</v>
      </c>
      <c r="T45" s="7">
        <v>740</v>
      </c>
      <c r="U45" s="7">
        <v>980</v>
      </c>
      <c r="V45" s="7">
        <v>1246</v>
      </c>
      <c r="W45" s="24">
        <f t="shared" si="0"/>
        <v>1182</v>
      </c>
      <c r="X45" s="25">
        <f t="shared" si="1"/>
        <v>664.754412224115</v>
      </c>
      <c r="Y45" s="25"/>
      <c r="Z45" s="26"/>
      <c r="AA45" s="7">
        <v>504</v>
      </c>
      <c r="AB45" s="7">
        <v>1041</v>
      </c>
      <c r="AC45" s="7">
        <v>641</v>
      </c>
      <c r="AD45" s="7">
        <v>714</v>
      </c>
      <c r="AE45" s="7">
        <v>609</v>
      </c>
      <c r="AF45" s="7">
        <v>707</v>
      </c>
      <c r="AG45" s="7">
        <v>615</v>
      </c>
      <c r="AH45" s="7">
        <v>548</v>
      </c>
      <c r="AI45" s="7">
        <v>2059</v>
      </c>
      <c r="AJ45" s="7">
        <v>852</v>
      </c>
      <c r="AK45" s="7">
        <v>663</v>
      </c>
      <c r="AL45" s="7">
        <v>1445</v>
      </c>
      <c r="AM45" s="30">
        <f t="shared" si="2"/>
        <v>866.5</v>
      </c>
      <c r="AN45" s="30">
        <f t="shared" si="3"/>
        <v>456.3436703347001</v>
      </c>
      <c r="AO45" s="30"/>
      <c r="AP45" s="29">
        <f t="shared" si="4"/>
        <v>0.7330795262267343</v>
      </c>
      <c r="AQ45" s="31">
        <f t="shared" si="5"/>
        <v>0.1741201281060565</v>
      </c>
      <c r="AR45" s="21" t="s">
        <v>559</v>
      </c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DM45" s="16"/>
      <c r="DN45" s="16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3"/>
      <c r="FW45" s="11"/>
    </row>
    <row r="46" spans="1:179" ht="18.75">
      <c r="A46" s="1" t="s">
        <v>868</v>
      </c>
      <c r="B46" s="2" t="s">
        <v>869</v>
      </c>
      <c r="C46" s="2" t="s">
        <v>729</v>
      </c>
      <c r="D46" s="2" t="str">
        <f>HYPERLINK("http://eros.fiehnlab.ucdavis.edu:8080/binbase-compound/bin/show/239873?db=rtx5","239873")</f>
        <v>239873</v>
      </c>
      <c r="E46" s="2" t="s">
        <v>138</v>
      </c>
      <c r="F46" s="2" t="s">
        <v>83</v>
      </c>
      <c r="G46" s="2" t="s">
        <v>83</v>
      </c>
      <c r="H46" s="7">
        <v>1897</v>
      </c>
      <c r="I46" s="7">
        <v>751</v>
      </c>
      <c r="J46" s="7">
        <v>1519</v>
      </c>
      <c r="K46" s="7">
        <v>1438</v>
      </c>
      <c r="L46" s="7">
        <v>2022</v>
      </c>
      <c r="M46" s="7">
        <v>1253</v>
      </c>
      <c r="N46" s="7">
        <v>1892</v>
      </c>
      <c r="O46" s="7">
        <v>255</v>
      </c>
      <c r="P46" s="7">
        <v>663</v>
      </c>
      <c r="Q46" s="7">
        <v>489</v>
      </c>
      <c r="R46" s="7">
        <v>2111</v>
      </c>
      <c r="S46" s="7">
        <v>944</v>
      </c>
      <c r="T46" s="7">
        <v>657</v>
      </c>
      <c r="U46" s="7">
        <v>1631</v>
      </c>
      <c r="V46" s="7">
        <v>3478</v>
      </c>
      <c r="W46" s="24">
        <f t="shared" si="0"/>
        <v>1400</v>
      </c>
      <c r="X46" s="25">
        <f t="shared" si="1"/>
        <v>830.466220178246</v>
      </c>
      <c r="Y46" s="25"/>
      <c r="Z46" s="26"/>
      <c r="AA46" s="7">
        <v>669</v>
      </c>
      <c r="AB46" s="7">
        <v>1031</v>
      </c>
      <c r="AC46" s="7">
        <v>293</v>
      </c>
      <c r="AD46" s="7">
        <v>2004</v>
      </c>
      <c r="AE46" s="7">
        <v>745</v>
      </c>
      <c r="AF46" s="7">
        <v>1333</v>
      </c>
      <c r="AG46" s="7">
        <v>670</v>
      </c>
      <c r="AH46" s="7">
        <v>471</v>
      </c>
      <c r="AI46" s="7">
        <v>1350</v>
      </c>
      <c r="AJ46" s="7">
        <v>2188</v>
      </c>
      <c r="AK46" s="7">
        <v>555</v>
      </c>
      <c r="AL46" s="7">
        <v>1049</v>
      </c>
      <c r="AM46" s="30">
        <f t="shared" si="2"/>
        <v>1029.8333333333333</v>
      </c>
      <c r="AN46" s="30">
        <f t="shared" si="3"/>
        <v>595.9432299584695</v>
      </c>
      <c r="AO46" s="30"/>
      <c r="AP46" s="29">
        <f t="shared" si="4"/>
        <v>0.7355952380952381</v>
      </c>
      <c r="AQ46" s="31">
        <f t="shared" si="5"/>
        <v>0.20625291081050826</v>
      </c>
      <c r="AR46" s="21" t="s">
        <v>868</v>
      </c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DM46" s="16"/>
      <c r="DN46" s="16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3"/>
      <c r="FW46" s="11"/>
    </row>
    <row r="47" spans="1:179" ht="18.75">
      <c r="A47" s="1" t="s">
        <v>691</v>
      </c>
      <c r="B47" s="2" t="s">
        <v>692</v>
      </c>
      <c r="C47" s="2" t="s">
        <v>676</v>
      </c>
      <c r="D47" s="2" t="str">
        <f>HYPERLINK("http://eros.fiehnlab.ucdavis.edu:8080/binbase-compound/bin/show/402237?db=rtx5","402237")</f>
        <v>402237</v>
      </c>
      <c r="E47" s="2" t="s">
        <v>77</v>
      </c>
      <c r="F47" s="2" t="s">
        <v>83</v>
      </c>
      <c r="G47" s="2" t="s">
        <v>83</v>
      </c>
      <c r="H47" s="7">
        <v>4293</v>
      </c>
      <c r="I47" s="7">
        <v>2619</v>
      </c>
      <c r="J47" s="7">
        <v>3616</v>
      </c>
      <c r="K47" s="7">
        <v>2536</v>
      </c>
      <c r="L47" s="7">
        <v>3241</v>
      </c>
      <c r="M47" s="7">
        <v>3807</v>
      </c>
      <c r="N47" s="7">
        <v>1698</v>
      </c>
      <c r="O47" s="7">
        <v>2593</v>
      </c>
      <c r="P47" s="7">
        <v>3071</v>
      </c>
      <c r="Q47" s="7">
        <v>3536</v>
      </c>
      <c r="R47" s="7">
        <v>3474</v>
      </c>
      <c r="S47" s="7">
        <v>2619</v>
      </c>
      <c r="T47" s="7">
        <v>4074</v>
      </c>
      <c r="U47" s="7">
        <v>3116</v>
      </c>
      <c r="V47" s="7">
        <v>3911</v>
      </c>
      <c r="W47" s="24">
        <f t="shared" si="0"/>
        <v>3213.6</v>
      </c>
      <c r="X47" s="25">
        <f t="shared" si="1"/>
        <v>704.911220347235</v>
      </c>
      <c r="Y47" s="25"/>
      <c r="Z47" s="26"/>
      <c r="AA47" s="7">
        <v>1245</v>
      </c>
      <c r="AB47" s="7">
        <v>1428</v>
      </c>
      <c r="AC47" s="7">
        <v>2889</v>
      </c>
      <c r="AD47" s="7">
        <v>2218</v>
      </c>
      <c r="AE47" s="7">
        <v>1649</v>
      </c>
      <c r="AF47" s="7">
        <v>1923</v>
      </c>
      <c r="AG47" s="7">
        <v>2347</v>
      </c>
      <c r="AH47" s="7">
        <v>2971</v>
      </c>
      <c r="AI47" s="7">
        <v>2537</v>
      </c>
      <c r="AJ47" s="7">
        <v>4262</v>
      </c>
      <c r="AK47" s="7">
        <v>2383</v>
      </c>
      <c r="AL47" s="7">
        <v>2751</v>
      </c>
      <c r="AM47" s="30">
        <f t="shared" si="2"/>
        <v>2383.5833333333335</v>
      </c>
      <c r="AN47" s="30">
        <f t="shared" si="3"/>
        <v>813.3825509822698</v>
      </c>
      <c r="AO47" s="30"/>
      <c r="AP47" s="29">
        <f t="shared" si="4"/>
        <v>0.7417174923242885</v>
      </c>
      <c r="AQ47" s="31">
        <f t="shared" si="5"/>
        <v>0.008834036113145888</v>
      </c>
      <c r="AR47" s="21" t="s">
        <v>691</v>
      </c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DM47" s="16"/>
      <c r="DN47" s="16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3"/>
      <c r="FW47" s="11"/>
    </row>
    <row r="48" spans="1:179" ht="18.75">
      <c r="A48" s="1" t="s">
        <v>91</v>
      </c>
      <c r="B48" s="2" t="s">
        <v>415</v>
      </c>
      <c r="C48" s="2" t="s">
        <v>227</v>
      </c>
      <c r="D48" s="2" t="str">
        <f>HYPERLINK("http://eros.fiehnlab.ucdavis.edu:8080/binbase-compound/bin/show/339422?db=rtx5","339422")</f>
        <v>339422</v>
      </c>
      <c r="E48" s="2" t="s">
        <v>628</v>
      </c>
      <c r="F48" s="2" t="str">
        <f>HYPERLINK("http://www.genome.ad.jp/dbget-bin/www_bget?compound+n/a","n/a")</f>
        <v>n/a</v>
      </c>
      <c r="G48" s="2" t="str">
        <f>HYPERLINK("http://pubchem.ncbi.nlm.nih.gov/summary/summary.cgi?cid=4157426","4157426")</f>
        <v>4157426</v>
      </c>
      <c r="H48" s="7">
        <v>767</v>
      </c>
      <c r="I48" s="7">
        <v>335</v>
      </c>
      <c r="J48" s="7">
        <v>2371</v>
      </c>
      <c r="K48" s="7">
        <v>1365</v>
      </c>
      <c r="L48" s="7">
        <v>2065</v>
      </c>
      <c r="M48" s="7">
        <v>1598</v>
      </c>
      <c r="N48" s="7">
        <v>2097</v>
      </c>
      <c r="O48" s="7">
        <v>443</v>
      </c>
      <c r="P48" s="7">
        <v>370</v>
      </c>
      <c r="Q48" s="7">
        <v>634</v>
      </c>
      <c r="R48" s="7">
        <v>1837</v>
      </c>
      <c r="S48" s="7">
        <v>456</v>
      </c>
      <c r="T48" s="7">
        <v>451</v>
      </c>
      <c r="U48" s="7">
        <v>1931</v>
      </c>
      <c r="V48" s="7">
        <v>2137</v>
      </c>
      <c r="W48" s="24">
        <f t="shared" si="0"/>
        <v>1257.1333333333334</v>
      </c>
      <c r="X48" s="25">
        <f t="shared" si="1"/>
        <v>779.7158701060523</v>
      </c>
      <c r="Y48" s="25"/>
      <c r="Z48" s="26"/>
      <c r="AA48" s="7">
        <v>467</v>
      </c>
      <c r="AB48" s="7">
        <v>1105</v>
      </c>
      <c r="AC48" s="7">
        <v>576</v>
      </c>
      <c r="AD48" s="7">
        <v>2146</v>
      </c>
      <c r="AE48" s="7">
        <v>951</v>
      </c>
      <c r="AF48" s="7">
        <v>439</v>
      </c>
      <c r="AG48" s="7">
        <v>382</v>
      </c>
      <c r="AH48" s="7">
        <v>295</v>
      </c>
      <c r="AI48" s="7">
        <v>1425</v>
      </c>
      <c r="AJ48" s="7">
        <v>2019</v>
      </c>
      <c r="AK48" s="7">
        <v>613</v>
      </c>
      <c r="AL48" s="7">
        <v>828</v>
      </c>
      <c r="AM48" s="30">
        <f t="shared" si="2"/>
        <v>937.1666666666666</v>
      </c>
      <c r="AN48" s="30">
        <f t="shared" si="3"/>
        <v>627.7839572414199</v>
      </c>
      <c r="AO48" s="30"/>
      <c r="AP48" s="29">
        <f t="shared" si="4"/>
        <v>0.7454791324176697</v>
      </c>
      <c r="AQ48" s="31">
        <f t="shared" si="5"/>
        <v>0.26002425602388846</v>
      </c>
      <c r="AR48" s="21" t="s">
        <v>91</v>
      </c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DM48" s="16"/>
      <c r="DN48" s="16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3"/>
      <c r="FW48" s="11"/>
    </row>
    <row r="49" spans="1:179" ht="18.75">
      <c r="A49" s="1" t="s">
        <v>1045</v>
      </c>
      <c r="B49" s="2" t="s">
        <v>1046</v>
      </c>
      <c r="C49" s="2" t="s">
        <v>265</v>
      </c>
      <c r="D49" s="2" t="str">
        <f>HYPERLINK("http://eros.fiehnlab.ucdavis.edu:8080/binbase-compound/bin/show/199215?db=rtx5","199215")</f>
        <v>199215</v>
      </c>
      <c r="E49" s="2" t="s">
        <v>199</v>
      </c>
      <c r="F49" s="2" t="s">
        <v>83</v>
      </c>
      <c r="G49" s="2" t="s">
        <v>83</v>
      </c>
      <c r="H49" s="7">
        <v>242</v>
      </c>
      <c r="I49" s="7">
        <v>328</v>
      </c>
      <c r="J49" s="7">
        <v>2973</v>
      </c>
      <c r="K49" s="7">
        <v>3072</v>
      </c>
      <c r="L49" s="7">
        <v>465</v>
      </c>
      <c r="M49" s="7">
        <v>333</v>
      </c>
      <c r="N49" s="7">
        <v>482</v>
      </c>
      <c r="O49" s="7">
        <v>289</v>
      </c>
      <c r="P49" s="7">
        <v>605</v>
      </c>
      <c r="Q49" s="7">
        <v>301</v>
      </c>
      <c r="R49" s="7">
        <v>688</v>
      </c>
      <c r="S49" s="7">
        <v>663</v>
      </c>
      <c r="T49" s="7">
        <v>658</v>
      </c>
      <c r="U49" s="7">
        <v>933</v>
      </c>
      <c r="V49" s="7">
        <v>380</v>
      </c>
      <c r="W49" s="24">
        <f t="shared" si="0"/>
        <v>827.4666666666667</v>
      </c>
      <c r="X49" s="25">
        <f t="shared" si="1"/>
        <v>911.5095694714868</v>
      </c>
      <c r="Y49" s="25"/>
      <c r="Z49" s="26"/>
      <c r="AA49" s="7">
        <v>330</v>
      </c>
      <c r="AB49" s="7">
        <v>636</v>
      </c>
      <c r="AC49" s="7">
        <v>429</v>
      </c>
      <c r="AD49" s="7">
        <v>368</v>
      </c>
      <c r="AE49" s="7">
        <v>754</v>
      </c>
      <c r="AF49" s="7">
        <v>268</v>
      </c>
      <c r="AG49" s="7">
        <v>234</v>
      </c>
      <c r="AH49" s="7">
        <v>301</v>
      </c>
      <c r="AI49" s="7">
        <v>599</v>
      </c>
      <c r="AJ49" s="7">
        <v>413</v>
      </c>
      <c r="AK49" s="7">
        <v>1824</v>
      </c>
      <c r="AL49" s="7">
        <v>1269</v>
      </c>
      <c r="AM49" s="30">
        <f t="shared" si="2"/>
        <v>618.75</v>
      </c>
      <c r="AN49" s="30">
        <f t="shared" si="3"/>
        <v>475.8768222975353</v>
      </c>
      <c r="AO49" s="30"/>
      <c r="AP49" s="29">
        <f t="shared" si="4"/>
        <v>0.7477642603931679</v>
      </c>
      <c r="AQ49" s="31">
        <f t="shared" si="5"/>
        <v>0.4800201266020596</v>
      </c>
      <c r="AR49" s="21" t="s">
        <v>1045</v>
      </c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DM49" s="16"/>
      <c r="DN49" s="16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3"/>
      <c r="FW49" s="11"/>
    </row>
    <row r="50" spans="1:179" ht="18.75">
      <c r="A50" s="1" t="s">
        <v>784</v>
      </c>
      <c r="B50" s="2" t="s">
        <v>785</v>
      </c>
      <c r="C50" s="2" t="s">
        <v>687</v>
      </c>
      <c r="D50" s="2" t="str">
        <f>HYPERLINK("http://eros.fiehnlab.ucdavis.edu:8080/binbase-compound/bin/show/294988?db=rtx5","294988")</f>
        <v>294988</v>
      </c>
      <c r="E50" s="2" t="s">
        <v>118</v>
      </c>
      <c r="F50" s="2" t="s">
        <v>83</v>
      </c>
      <c r="G50" s="2" t="s">
        <v>83</v>
      </c>
      <c r="H50" s="7">
        <v>1934</v>
      </c>
      <c r="I50" s="7">
        <v>1089</v>
      </c>
      <c r="J50" s="7">
        <v>2101</v>
      </c>
      <c r="K50" s="7">
        <v>2190</v>
      </c>
      <c r="L50" s="7">
        <v>3254</v>
      </c>
      <c r="M50" s="7">
        <v>2001</v>
      </c>
      <c r="N50" s="7">
        <v>2815</v>
      </c>
      <c r="O50" s="7">
        <v>672</v>
      </c>
      <c r="P50" s="7">
        <v>571</v>
      </c>
      <c r="Q50" s="7">
        <v>1033</v>
      </c>
      <c r="R50" s="7">
        <v>2793</v>
      </c>
      <c r="S50" s="7">
        <v>1194</v>
      </c>
      <c r="T50" s="7">
        <v>914</v>
      </c>
      <c r="U50" s="7">
        <v>2521</v>
      </c>
      <c r="V50" s="7">
        <v>3556</v>
      </c>
      <c r="W50" s="24">
        <f t="shared" si="0"/>
        <v>1909.2</v>
      </c>
      <c r="X50" s="25">
        <f t="shared" si="1"/>
        <v>959.3458485566387</v>
      </c>
      <c r="Y50" s="25"/>
      <c r="Z50" s="26"/>
      <c r="AA50" s="7">
        <v>909</v>
      </c>
      <c r="AB50" s="7">
        <v>1559</v>
      </c>
      <c r="AC50" s="7">
        <v>793</v>
      </c>
      <c r="AD50" s="7">
        <v>2605</v>
      </c>
      <c r="AE50" s="7">
        <v>1268</v>
      </c>
      <c r="AF50" s="7">
        <v>1124</v>
      </c>
      <c r="AG50" s="7">
        <v>827</v>
      </c>
      <c r="AH50" s="7">
        <v>468</v>
      </c>
      <c r="AI50" s="7">
        <v>2286</v>
      </c>
      <c r="AJ50" s="7">
        <v>3204</v>
      </c>
      <c r="AK50" s="7">
        <v>831</v>
      </c>
      <c r="AL50" s="7">
        <v>1441</v>
      </c>
      <c r="AM50" s="30">
        <f t="shared" si="2"/>
        <v>1442.9166666666667</v>
      </c>
      <c r="AN50" s="30">
        <f t="shared" si="3"/>
        <v>837.7535391893266</v>
      </c>
      <c r="AO50" s="30"/>
      <c r="AP50" s="29">
        <f t="shared" si="4"/>
        <v>0.7557703051889099</v>
      </c>
      <c r="AQ50" s="31">
        <f t="shared" si="5"/>
        <v>0.19678349230259634</v>
      </c>
      <c r="AR50" s="21" t="s">
        <v>784</v>
      </c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DM50" s="16"/>
      <c r="DN50" s="16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3"/>
      <c r="FW50" s="11"/>
    </row>
    <row r="51" spans="1:179" ht="18.75">
      <c r="A51" s="1" t="s">
        <v>548</v>
      </c>
      <c r="B51" s="2" t="s">
        <v>549</v>
      </c>
      <c r="C51" s="2" t="s">
        <v>280</v>
      </c>
      <c r="D51" s="2" t="str">
        <f>HYPERLINK("http://eros.fiehnlab.ucdavis.edu:8080/binbase-compound/bin/show/200896?db=rtx5","200896")</f>
        <v>200896</v>
      </c>
      <c r="E51" s="2" t="s">
        <v>614</v>
      </c>
      <c r="F51" s="2" t="str">
        <f>HYPERLINK("http://www.genome.ad.jp/dbget-bin/www_bget?compound+C05659","C05659")</f>
        <v>C05659</v>
      </c>
      <c r="G51" s="2" t="str">
        <f>HYPERLINK("http://pubchem.ncbi.nlm.nih.gov/summary/summary.cgi?cid=1833","1833")</f>
        <v>1833</v>
      </c>
      <c r="H51" s="7">
        <v>316</v>
      </c>
      <c r="I51" s="7">
        <v>315</v>
      </c>
      <c r="J51" s="7">
        <v>1207</v>
      </c>
      <c r="K51" s="7">
        <v>440</v>
      </c>
      <c r="L51" s="7">
        <v>451</v>
      </c>
      <c r="M51" s="7">
        <v>246</v>
      </c>
      <c r="N51" s="7">
        <v>216</v>
      </c>
      <c r="O51" s="7">
        <v>232</v>
      </c>
      <c r="P51" s="7">
        <v>395</v>
      </c>
      <c r="Q51" s="7">
        <v>328</v>
      </c>
      <c r="R51" s="7">
        <v>313</v>
      </c>
      <c r="S51" s="7">
        <v>385</v>
      </c>
      <c r="T51" s="7">
        <v>234</v>
      </c>
      <c r="U51" s="7">
        <v>284</v>
      </c>
      <c r="V51" s="7">
        <v>448</v>
      </c>
      <c r="W51" s="24">
        <f t="shared" si="0"/>
        <v>387.3333333333333</v>
      </c>
      <c r="X51" s="25">
        <f t="shared" si="1"/>
        <v>240.4518563831339</v>
      </c>
      <c r="Y51" s="25"/>
      <c r="Z51" s="26"/>
      <c r="AA51" s="7">
        <v>316</v>
      </c>
      <c r="AB51" s="7">
        <v>253</v>
      </c>
      <c r="AC51" s="7">
        <v>280</v>
      </c>
      <c r="AD51" s="7">
        <v>170</v>
      </c>
      <c r="AE51" s="7">
        <v>242</v>
      </c>
      <c r="AF51" s="7">
        <v>435</v>
      </c>
      <c r="AG51" s="7">
        <v>242</v>
      </c>
      <c r="AH51" s="7">
        <v>385</v>
      </c>
      <c r="AI51" s="7">
        <v>363</v>
      </c>
      <c r="AJ51" s="7">
        <v>268</v>
      </c>
      <c r="AK51" s="7">
        <v>278</v>
      </c>
      <c r="AL51" s="7">
        <v>282</v>
      </c>
      <c r="AM51" s="30">
        <f t="shared" si="2"/>
        <v>292.8333333333333</v>
      </c>
      <c r="AN51" s="30">
        <f t="shared" si="3"/>
        <v>72.06541641053799</v>
      </c>
      <c r="AO51" s="30"/>
      <c r="AP51" s="29">
        <f t="shared" si="4"/>
        <v>0.7560240963855421</v>
      </c>
      <c r="AQ51" s="31">
        <f t="shared" si="5"/>
        <v>0.20192120129009083</v>
      </c>
      <c r="AR51" s="21" t="s">
        <v>548</v>
      </c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DM51" s="16"/>
      <c r="DN51" s="16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3"/>
      <c r="FW51" s="11"/>
    </row>
    <row r="52" spans="1:179" ht="18.75">
      <c r="A52" s="1" t="s">
        <v>959</v>
      </c>
      <c r="B52" s="2" t="s">
        <v>960</v>
      </c>
      <c r="C52" s="2" t="s">
        <v>851</v>
      </c>
      <c r="D52" s="2" t="str">
        <f>HYPERLINK("http://eros.fiehnlab.ucdavis.edu:8080/binbase-compound/bin/show/223521?db=rtx5","223521")</f>
        <v>223521</v>
      </c>
      <c r="E52" s="2" t="s">
        <v>186</v>
      </c>
      <c r="F52" s="2" t="s">
        <v>83</v>
      </c>
      <c r="G52" s="2" t="s">
        <v>83</v>
      </c>
      <c r="H52" s="7">
        <v>1309</v>
      </c>
      <c r="I52" s="7">
        <v>951</v>
      </c>
      <c r="J52" s="7">
        <v>1146</v>
      </c>
      <c r="K52" s="7">
        <v>801</v>
      </c>
      <c r="L52" s="7">
        <v>586</v>
      </c>
      <c r="M52" s="7">
        <v>719</v>
      </c>
      <c r="N52" s="7">
        <v>1076</v>
      </c>
      <c r="O52" s="7">
        <v>529</v>
      </c>
      <c r="P52" s="7">
        <v>1131</v>
      </c>
      <c r="Q52" s="7">
        <v>274</v>
      </c>
      <c r="R52" s="7">
        <v>1138</v>
      </c>
      <c r="S52" s="7">
        <v>632</v>
      </c>
      <c r="T52" s="7">
        <v>1048</v>
      </c>
      <c r="U52" s="7">
        <v>962</v>
      </c>
      <c r="V52" s="7">
        <v>567</v>
      </c>
      <c r="W52" s="24">
        <f t="shared" si="0"/>
        <v>857.9333333333333</v>
      </c>
      <c r="X52" s="25">
        <f t="shared" si="1"/>
        <v>295.6797173261894</v>
      </c>
      <c r="Y52" s="25"/>
      <c r="Z52" s="26"/>
      <c r="AA52" s="7">
        <v>402</v>
      </c>
      <c r="AB52" s="7">
        <v>485</v>
      </c>
      <c r="AC52" s="7">
        <v>514</v>
      </c>
      <c r="AD52" s="7">
        <v>359</v>
      </c>
      <c r="AE52" s="7">
        <v>448</v>
      </c>
      <c r="AF52" s="7">
        <v>671</v>
      </c>
      <c r="AG52" s="7">
        <v>1591</v>
      </c>
      <c r="AH52" s="7">
        <v>930</v>
      </c>
      <c r="AI52" s="7">
        <v>613</v>
      </c>
      <c r="AJ52" s="7">
        <v>584</v>
      </c>
      <c r="AK52" s="7">
        <v>573</v>
      </c>
      <c r="AL52" s="7">
        <v>640</v>
      </c>
      <c r="AM52" s="30">
        <f t="shared" si="2"/>
        <v>650.8333333333334</v>
      </c>
      <c r="AN52" s="30">
        <f t="shared" si="3"/>
        <v>331.49491517650586</v>
      </c>
      <c r="AO52" s="30"/>
      <c r="AP52" s="29">
        <f t="shared" si="4"/>
        <v>0.7586059522884452</v>
      </c>
      <c r="AQ52" s="31">
        <f t="shared" si="5"/>
        <v>0.09886991796368615</v>
      </c>
      <c r="AR52" s="21" t="s">
        <v>959</v>
      </c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DM52" s="16"/>
      <c r="DN52" s="16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3"/>
      <c r="FW52" s="11"/>
    </row>
    <row r="53" spans="1:179" ht="18.75">
      <c r="A53" s="1" t="s">
        <v>708</v>
      </c>
      <c r="B53" s="2" t="s">
        <v>709</v>
      </c>
      <c r="C53" s="2" t="s">
        <v>710</v>
      </c>
      <c r="D53" s="2" t="str">
        <f>HYPERLINK("http://eros.fiehnlab.ucdavis.edu:8080/binbase-compound/bin/show/356954?db=rtx5","356954")</f>
        <v>356954</v>
      </c>
      <c r="E53" s="2" t="s">
        <v>160</v>
      </c>
      <c r="F53" s="2" t="s">
        <v>83</v>
      </c>
      <c r="G53" s="2" t="s">
        <v>83</v>
      </c>
      <c r="H53" s="7">
        <v>913</v>
      </c>
      <c r="I53" s="7">
        <v>420</v>
      </c>
      <c r="J53" s="7">
        <v>2033</v>
      </c>
      <c r="K53" s="7">
        <v>1347</v>
      </c>
      <c r="L53" s="7">
        <v>1211</v>
      </c>
      <c r="M53" s="7">
        <v>637</v>
      </c>
      <c r="N53" s="7">
        <v>1099</v>
      </c>
      <c r="O53" s="7">
        <v>260</v>
      </c>
      <c r="P53" s="7">
        <v>445</v>
      </c>
      <c r="Q53" s="7">
        <v>686</v>
      </c>
      <c r="R53" s="7">
        <v>1002</v>
      </c>
      <c r="S53" s="7">
        <v>689</v>
      </c>
      <c r="T53" s="7">
        <v>539</v>
      </c>
      <c r="U53" s="7">
        <v>1566</v>
      </c>
      <c r="V53" s="7">
        <v>2626</v>
      </c>
      <c r="W53" s="24">
        <f t="shared" si="0"/>
        <v>1031.5333333333333</v>
      </c>
      <c r="X53" s="25">
        <f t="shared" si="1"/>
        <v>650.8424064973318</v>
      </c>
      <c r="Y53" s="25"/>
      <c r="Z53" s="26"/>
      <c r="AA53" s="7">
        <v>690</v>
      </c>
      <c r="AB53" s="7">
        <v>860</v>
      </c>
      <c r="AC53" s="7">
        <v>656</v>
      </c>
      <c r="AD53" s="7">
        <v>1176</v>
      </c>
      <c r="AE53" s="7">
        <v>741</v>
      </c>
      <c r="AF53" s="7">
        <v>741</v>
      </c>
      <c r="AG53" s="7">
        <v>496</v>
      </c>
      <c r="AH53" s="7">
        <v>574</v>
      </c>
      <c r="AI53" s="7">
        <v>1124</v>
      </c>
      <c r="AJ53" s="7">
        <v>1217</v>
      </c>
      <c r="AK53" s="7">
        <v>631</v>
      </c>
      <c r="AL53" s="7">
        <v>490</v>
      </c>
      <c r="AM53" s="30">
        <f t="shared" si="2"/>
        <v>783</v>
      </c>
      <c r="AN53" s="30">
        <f t="shared" si="3"/>
        <v>257.31551202225006</v>
      </c>
      <c r="AO53" s="30"/>
      <c r="AP53" s="29">
        <f t="shared" si="4"/>
        <v>0.7590641763071156</v>
      </c>
      <c r="AQ53" s="31">
        <f t="shared" si="5"/>
        <v>0.22525017683082998</v>
      </c>
      <c r="AR53" s="21" t="s">
        <v>708</v>
      </c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DM53" s="16"/>
      <c r="DN53" s="16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3"/>
      <c r="FW53" s="11"/>
    </row>
    <row r="54" spans="1:179" ht="18.75">
      <c r="A54" s="1" t="s">
        <v>994</v>
      </c>
      <c r="B54" s="2" t="s">
        <v>995</v>
      </c>
      <c r="C54" s="2" t="s">
        <v>213</v>
      </c>
      <c r="D54" s="2" t="str">
        <f>HYPERLINK("http://eros.fiehnlab.ucdavis.edu:8080/binbase-compound/bin/show/212279?db=rtx5","212279")</f>
        <v>212279</v>
      </c>
      <c r="E54" s="2" t="s">
        <v>41</v>
      </c>
      <c r="F54" s="2" t="s">
        <v>83</v>
      </c>
      <c r="G54" s="2" t="s">
        <v>83</v>
      </c>
      <c r="H54" s="7">
        <v>779</v>
      </c>
      <c r="I54" s="7">
        <v>364</v>
      </c>
      <c r="J54" s="7">
        <v>898</v>
      </c>
      <c r="K54" s="7">
        <v>768</v>
      </c>
      <c r="L54" s="7">
        <v>1694</v>
      </c>
      <c r="M54" s="7">
        <v>863</v>
      </c>
      <c r="N54" s="7">
        <v>1384</v>
      </c>
      <c r="O54" s="7">
        <v>253</v>
      </c>
      <c r="P54" s="7">
        <v>270</v>
      </c>
      <c r="Q54" s="7">
        <v>382</v>
      </c>
      <c r="R54" s="7">
        <v>1157</v>
      </c>
      <c r="S54" s="7">
        <v>645</v>
      </c>
      <c r="T54" s="7">
        <v>352</v>
      </c>
      <c r="U54" s="7">
        <v>980</v>
      </c>
      <c r="V54" s="7">
        <v>1448</v>
      </c>
      <c r="W54" s="24">
        <f t="shared" si="0"/>
        <v>815.8</v>
      </c>
      <c r="X54" s="25">
        <f t="shared" si="1"/>
        <v>455.20767630986694</v>
      </c>
      <c r="Y54" s="25"/>
      <c r="Z54" s="26"/>
      <c r="AA54" s="7">
        <v>312</v>
      </c>
      <c r="AB54" s="7">
        <v>517</v>
      </c>
      <c r="AC54" s="7">
        <v>350</v>
      </c>
      <c r="AD54" s="7">
        <v>1646</v>
      </c>
      <c r="AE54" s="7">
        <v>658</v>
      </c>
      <c r="AF54" s="7">
        <v>339</v>
      </c>
      <c r="AG54" s="7">
        <v>231</v>
      </c>
      <c r="AH54" s="7">
        <v>186</v>
      </c>
      <c r="AI54" s="7">
        <v>894</v>
      </c>
      <c r="AJ54" s="7">
        <v>1644</v>
      </c>
      <c r="AK54" s="7">
        <v>272</v>
      </c>
      <c r="AL54" s="7">
        <v>394</v>
      </c>
      <c r="AM54" s="30">
        <f t="shared" si="2"/>
        <v>620.25</v>
      </c>
      <c r="AN54" s="30">
        <f t="shared" si="3"/>
        <v>517.5960385193351</v>
      </c>
      <c r="AO54" s="30"/>
      <c r="AP54" s="29">
        <f t="shared" si="4"/>
        <v>0.7602966413336603</v>
      </c>
      <c r="AQ54" s="31">
        <f t="shared" si="5"/>
        <v>0.3064982184397694</v>
      </c>
      <c r="AR54" s="21" t="s">
        <v>994</v>
      </c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DM54" s="16"/>
      <c r="DN54" s="16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3"/>
      <c r="FW54" s="11"/>
    </row>
    <row r="55" spans="1:179" ht="18.75">
      <c r="A55" s="1" t="s">
        <v>359</v>
      </c>
      <c r="B55" s="2" t="s">
        <v>360</v>
      </c>
      <c r="C55" s="2" t="s">
        <v>361</v>
      </c>
      <c r="D55" s="2" t="str">
        <f>HYPERLINK("http://eros.fiehnlab.ucdavis.edu:8080/binbase-compound/bin/show/200907?db=rtx5","200907")</f>
        <v>200907</v>
      </c>
      <c r="E55" s="2" t="s">
        <v>637</v>
      </c>
      <c r="F55" s="2" t="str">
        <f>HYPERLINK("http://www.genome.ad.jp/dbget-bin/www_bget?compound+C07272","C07272")</f>
        <v>C07272</v>
      </c>
      <c r="G55" s="2" t="str">
        <f>HYPERLINK("http://pubchem.ncbi.nlm.nih.gov/summary/summary.cgi?cid=10935","10935")</f>
        <v>10935</v>
      </c>
      <c r="H55" s="7">
        <v>333</v>
      </c>
      <c r="I55" s="7">
        <v>2617</v>
      </c>
      <c r="J55" s="7">
        <v>2596</v>
      </c>
      <c r="K55" s="7">
        <v>1963</v>
      </c>
      <c r="L55" s="7">
        <v>573</v>
      </c>
      <c r="M55" s="7">
        <v>1066</v>
      </c>
      <c r="N55" s="7">
        <v>3564</v>
      </c>
      <c r="O55" s="7">
        <v>388</v>
      </c>
      <c r="P55" s="7">
        <v>1979</v>
      </c>
      <c r="Q55" s="7">
        <v>1543</v>
      </c>
      <c r="R55" s="7">
        <v>3534</v>
      </c>
      <c r="S55" s="7">
        <v>1926</v>
      </c>
      <c r="T55" s="7">
        <v>3650</v>
      </c>
      <c r="U55" s="7">
        <v>803</v>
      </c>
      <c r="V55" s="7">
        <v>2843</v>
      </c>
      <c r="W55" s="24">
        <f t="shared" si="0"/>
        <v>1958.5333333333333</v>
      </c>
      <c r="X55" s="25">
        <f t="shared" si="1"/>
        <v>1161.2055230090266</v>
      </c>
      <c r="Y55" s="25"/>
      <c r="Z55" s="26"/>
      <c r="AA55" s="7">
        <v>2049</v>
      </c>
      <c r="AB55" s="7">
        <v>2003</v>
      </c>
      <c r="AC55" s="7">
        <v>1402</v>
      </c>
      <c r="AD55" s="7">
        <v>504</v>
      </c>
      <c r="AE55" s="7">
        <v>661</v>
      </c>
      <c r="AF55" s="7">
        <v>1980</v>
      </c>
      <c r="AG55" s="7">
        <v>554</v>
      </c>
      <c r="AH55" s="7">
        <v>1215</v>
      </c>
      <c r="AI55" s="7">
        <v>1849</v>
      </c>
      <c r="AJ55" s="7">
        <v>606</v>
      </c>
      <c r="AK55" s="7">
        <v>3466</v>
      </c>
      <c r="AL55" s="7">
        <v>1599</v>
      </c>
      <c r="AM55" s="30">
        <f t="shared" si="2"/>
        <v>1490.6666666666667</v>
      </c>
      <c r="AN55" s="30">
        <f t="shared" si="3"/>
        <v>866.6256750212635</v>
      </c>
      <c r="AO55" s="30"/>
      <c r="AP55" s="29">
        <f t="shared" si="4"/>
        <v>0.761113758594867</v>
      </c>
      <c r="AQ55" s="31">
        <f t="shared" si="5"/>
        <v>0.257230103800299</v>
      </c>
      <c r="AR55" s="21" t="s">
        <v>359</v>
      </c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DM55" s="16"/>
      <c r="DN55" s="16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3"/>
      <c r="FW55" s="11"/>
    </row>
    <row r="56" spans="1:179" ht="18.75">
      <c r="A56" s="1" t="s">
        <v>944</v>
      </c>
      <c r="B56" s="2" t="s">
        <v>945</v>
      </c>
      <c r="C56" s="2" t="s">
        <v>914</v>
      </c>
      <c r="D56" s="2" t="str">
        <f>HYPERLINK("http://eros.fiehnlab.ucdavis.edu:8080/binbase-compound/bin/show/225539?db=rtx5","225539")</f>
        <v>225539</v>
      </c>
      <c r="E56" s="2" t="s">
        <v>50</v>
      </c>
      <c r="F56" s="2" t="s">
        <v>83</v>
      </c>
      <c r="G56" s="2" t="s">
        <v>83</v>
      </c>
      <c r="H56" s="7">
        <v>271</v>
      </c>
      <c r="I56" s="7">
        <v>450</v>
      </c>
      <c r="J56" s="7">
        <v>480</v>
      </c>
      <c r="K56" s="7">
        <v>397</v>
      </c>
      <c r="L56" s="7">
        <v>90</v>
      </c>
      <c r="M56" s="7">
        <v>311</v>
      </c>
      <c r="N56" s="7">
        <v>247</v>
      </c>
      <c r="O56" s="7">
        <v>125</v>
      </c>
      <c r="P56" s="7">
        <v>533</v>
      </c>
      <c r="Q56" s="7">
        <v>327</v>
      </c>
      <c r="R56" s="7">
        <v>287</v>
      </c>
      <c r="S56" s="7">
        <v>157</v>
      </c>
      <c r="T56" s="7">
        <v>407</v>
      </c>
      <c r="U56" s="7">
        <v>203</v>
      </c>
      <c r="V56" s="7">
        <v>457</v>
      </c>
      <c r="W56" s="24">
        <f t="shared" si="0"/>
        <v>316.1333333333333</v>
      </c>
      <c r="X56" s="25">
        <f t="shared" si="1"/>
        <v>136.28848953947792</v>
      </c>
      <c r="Y56" s="25"/>
      <c r="Z56" s="26"/>
      <c r="AA56" s="7">
        <v>367</v>
      </c>
      <c r="AB56" s="7">
        <v>231</v>
      </c>
      <c r="AC56" s="7">
        <v>271</v>
      </c>
      <c r="AD56" s="7">
        <v>77</v>
      </c>
      <c r="AE56" s="7">
        <v>73</v>
      </c>
      <c r="AF56" s="7">
        <v>402</v>
      </c>
      <c r="AG56" s="7">
        <v>205</v>
      </c>
      <c r="AH56" s="7">
        <v>512</v>
      </c>
      <c r="AI56" s="7">
        <v>157</v>
      </c>
      <c r="AJ56" s="7">
        <v>242</v>
      </c>
      <c r="AK56" s="7">
        <v>113</v>
      </c>
      <c r="AL56" s="7">
        <v>249</v>
      </c>
      <c r="AM56" s="30">
        <f t="shared" si="2"/>
        <v>241.58333333333334</v>
      </c>
      <c r="AN56" s="30">
        <f t="shared" si="3"/>
        <v>133.53750466260462</v>
      </c>
      <c r="AO56" s="30"/>
      <c r="AP56" s="29">
        <f t="shared" si="4"/>
        <v>0.7641817798397301</v>
      </c>
      <c r="AQ56" s="31">
        <f t="shared" si="5"/>
        <v>0.1665414462444936</v>
      </c>
      <c r="AR56" s="21" t="s">
        <v>944</v>
      </c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DM56" s="16"/>
      <c r="DN56" s="16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3"/>
      <c r="FW56" s="11"/>
    </row>
    <row r="57" spans="1:179" ht="18.75">
      <c r="A57" s="1" t="s">
        <v>883</v>
      </c>
      <c r="B57" s="2" t="s">
        <v>884</v>
      </c>
      <c r="C57" s="2" t="s">
        <v>885</v>
      </c>
      <c r="D57" s="2" t="str">
        <f>HYPERLINK("http://eros.fiehnlab.ucdavis.edu:8080/binbase-compound/bin/show/234717?db=rtx5","234717")</f>
        <v>234717</v>
      </c>
      <c r="E57" s="2" t="s">
        <v>66</v>
      </c>
      <c r="F57" s="2" t="s">
        <v>83</v>
      </c>
      <c r="G57" s="2" t="s">
        <v>83</v>
      </c>
      <c r="H57" s="7">
        <v>7851</v>
      </c>
      <c r="I57" s="7">
        <v>7807</v>
      </c>
      <c r="J57" s="7">
        <v>7708</v>
      </c>
      <c r="K57" s="7">
        <v>4886</v>
      </c>
      <c r="L57" s="7">
        <v>2181</v>
      </c>
      <c r="M57" s="7">
        <v>4393</v>
      </c>
      <c r="N57" s="7">
        <v>7534</v>
      </c>
      <c r="O57" s="7">
        <v>2569</v>
      </c>
      <c r="P57" s="7">
        <v>9158</v>
      </c>
      <c r="Q57" s="7">
        <v>4500</v>
      </c>
      <c r="R57" s="7">
        <v>9980</v>
      </c>
      <c r="S57" s="7">
        <v>5074</v>
      </c>
      <c r="T57" s="7">
        <v>6291</v>
      </c>
      <c r="U57" s="7">
        <v>3276</v>
      </c>
      <c r="V57" s="7">
        <v>7102</v>
      </c>
      <c r="W57" s="24">
        <f t="shared" si="0"/>
        <v>6020.666666666667</v>
      </c>
      <c r="X57" s="25">
        <f t="shared" si="1"/>
        <v>2387.101220747717</v>
      </c>
      <c r="Y57" s="25"/>
      <c r="Z57" s="26"/>
      <c r="AA57" s="7">
        <v>4161</v>
      </c>
      <c r="AB57" s="7">
        <v>4213</v>
      </c>
      <c r="AC57" s="7">
        <v>3919</v>
      </c>
      <c r="AD57" s="7">
        <v>3348</v>
      </c>
      <c r="AE57" s="7">
        <v>3040</v>
      </c>
      <c r="AF57" s="7">
        <v>8599</v>
      </c>
      <c r="AG57" s="7">
        <v>5542</v>
      </c>
      <c r="AH57" s="7">
        <v>3354</v>
      </c>
      <c r="AI57" s="7">
        <v>5883</v>
      </c>
      <c r="AJ57" s="7">
        <v>3311</v>
      </c>
      <c r="AK57" s="7">
        <v>5229</v>
      </c>
      <c r="AL57" s="7">
        <v>4866</v>
      </c>
      <c r="AM57" s="30">
        <f t="shared" si="2"/>
        <v>4622.083333333333</v>
      </c>
      <c r="AN57" s="30">
        <f t="shared" si="3"/>
        <v>1566.9133211701933</v>
      </c>
      <c r="AO57" s="30"/>
      <c r="AP57" s="29">
        <f t="shared" si="4"/>
        <v>0.7677029121913409</v>
      </c>
      <c r="AQ57" s="31">
        <f t="shared" si="5"/>
        <v>0.09286446220405506</v>
      </c>
      <c r="AR57" s="21" t="s">
        <v>883</v>
      </c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DM57" s="16"/>
      <c r="DN57" s="16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3"/>
      <c r="FW57" s="11"/>
    </row>
    <row r="58" spans="1:179" ht="18.75">
      <c r="A58" s="1" t="s">
        <v>500</v>
      </c>
      <c r="B58" s="2" t="s">
        <v>501</v>
      </c>
      <c r="C58" s="2" t="s">
        <v>243</v>
      </c>
      <c r="D58" s="2" t="str">
        <f>HYPERLINK("http://eros.fiehnlab.ucdavis.edu:8080/binbase-compound/bin/show/199267?db=rtx5","199267")</f>
        <v>199267</v>
      </c>
      <c r="E58" s="2" t="s">
        <v>608</v>
      </c>
      <c r="F58" s="2" t="str">
        <f>HYPERLINK("http://www.genome.ad.jp/dbget-bin/www_bget?compound+n/a","n/a")</f>
        <v>n/a</v>
      </c>
      <c r="G58" s="2" t="str">
        <f>HYPERLINK("http://pubchem.ncbi.nlm.nih.gov/summary/summary.cgi?cid=10469","10469")</f>
        <v>10469</v>
      </c>
      <c r="H58" s="7">
        <v>403</v>
      </c>
      <c r="I58" s="7">
        <v>546</v>
      </c>
      <c r="J58" s="7">
        <v>2733</v>
      </c>
      <c r="K58" s="7">
        <v>1015</v>
      </c>
      <c r="L58" s="7">
        <v>571</v>
      </c>
      <c r="M58" s="7">
        <v>650</v>
      </c>
      <c r="N58" s="7">
        <v>541</v>
      </c>
      <c r="O58" s="7">
        <v>348</v>
      </c>
      <c r="P58" s="7">
        <v>685</v>
      </c>
      <c r="Q58" s="7">
        <v>403</v>
      </c>
      <c r="R58" s="7">
        <v>887</v>
      </c>
      <c r="S58" s="7">
        <v>644</v>
      </c>
      <c r="T58" s="7">
        <v>471</v>
      </c>
      <c r="U58" s="7">
        <v>1065</v>
      </c>
      <c r="V58" s="7">
        <v>641</v>
      </c>
      <c r="W58" s="24">
        <f t="shared" si="0"/>
        <v>773.5333333333333</v>
      </c>
      <c r="X58" s="25">
        <f t="shared" si="1"/>
        <v>582.307217229956</v>
      </c>
      <c r="Y58" s="25"/>
      <c r="Z58" s="26"/>
      <c r="AA58" s="7">
        <v>663</v>
      </c>
      <c r="AB58" s="7">
        <v>1028</v>
      </c>
      <c r="AC58" s="7">
        <v>569</v>
      </c>
      <c r="AD58" s="7">
        <v>321</v>
      </c>
      <c r="AE58" s="7">
        <v>961</v>
      </c>
      <c r="AF58" s="7">
        <v>498</v>
      </c>
      <c r="AG58" s="7">
        <v>468</v>
      </c>
      <c r="AH58" s="7">
        <v>510</v>
      </c>
      <c r="AI58" s="7">
        <v>677</v>
      </c>
      <c r="AJ58" s="7">
        <v>367</v>
      </c>
      <c r="AK58" s="7">
        <v>479</v>
      </c>
      <c r="AL58" s="7">
        <v>635</v>
      </c>
      <c r="AM58" s="30">
        <f t="shared" si="2"/>
        <v>598</v>
      </c>
      <c r="AN58" s="30">
        <f t="shared" si="3"/>
        <v>214.9503113829714</v>
      </c>
      <c r="AO58" s="30"/>
      <c r="AP58" s="29">
        <f t="shared" si="4"/>
        <v>0.7730759286391451</v>
      </c>
      <c r="AQ58" s="31">
        <f t="shared" si="5"/>
        <v>0.33237359183906345</v>
      </c>
      <c r="AR58" s="21" t="s">
        <v>500</v>
      </c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DM58" s="16"/>
      <c r="DN58" s="16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3"/>
      <c r="FW58" s="11"/>
    </row>
    <row r="59" spans="1:179" ht="18.75">
      <c r="A59" s="1" t="s">
        <v>948</v>
      </c>
      <c r="B59" s="2" t="s">
        <v>949</v>
      </c>
      <c r="C59" s="2" t="s">
        <v>227</v>
      </c>
      <c r="D59" s="2" t="str">
        <f>HYPERLINK("http://eros.fiehnlab.ucdavis.edu:8080/binbase-compound/bin/show/225396?db=rtx5","225396")</f>
        <v>225396</v>
      </c>
      <c r="E59" s="2" t="s">
        <v>133</v>
      </c>
      <c r="F59" s="2" t="s">
        <v>83</v>
      </c>
      <c r="G59" s="2" t="s">
        <v>83</v>
      </c>
      <c r="H59" s="7">
        <v>4284</v>
      </c>
      <c r="I59" s="7">
        <v>1620</v>
      </c>
      <c r="J59" s="7">
        <v>1290</v>
      </c>
      <c r="K59" s="7">
        <v>536</v>
      </c>
      <c r="L59" s="7">
        <v>2460</v>
      </c>
      <c r="M59" s="7">
        <v>1511</v>
      </c>
      <c r="N59" s="7">
        <v>2340</v>
      </c>
      <c r="O59" s="7">
        <v>2922</v>
      </c>
      <c r="P59" s="7">
        <v>4258</v>
      </c>
      <c r="Q59" s="7">
        <v>1313</v>
      </c>
      <c r="R59" s="7">
        <v>1005</v>
      </c>
      <c r="S59" s="7">
        <v>2245</v>
      </c>
      <c r="T59" s="7">
        <v>1436</v>
      </c>
      <c r="U59" s="7">
        <v>1213</v>
      </c>
      <c r="V59" s="7">
        <v>2187</v>
      </c>
      <c r="W59" s="24">
        <f t="shared" si="0"/>
        <v>2041.3333333333333</v>
      </c>
      <c r="X59" s="25">
        <f t="shared" si="1"/>
        <v>1101.6950360153905</v>
      </c>
      <c r="Y59" s="25"/>
      <c r="Z59" s="26"/>
      <c r="AA59" s="7">
        <v>1556</v>
      </c>
      <c r="AB59" s="7">
        <v>459</v>
      </c>
      <c r="AC59" s="7">
        <v>1236</v>
      </c>
      <c r="AD59" s="7">
        <v>1773</v>
      </c>
      <c r="AE59" s="7">
        <v>1781</v>
      </c>
      <c r="AF59" s="7">
        <v>3839</v>
      </c>
      <c r="AG59" s="7">
        <v>959</v>
      </c>
      <c r="AH59" s="7">
        <v>527</v>
      </c>
      <c r="AI59" s="7">
        <v>1580</v>
      </c>
      <c r="AJ59" s="7">
        <v>1498</v>
      </c>
      <c r="AK59" s="7">
        <v>1553</v>
      </c>
      <c r="AL59" s="7">
        <v>2211</v>
      </c>
      <c r="AM59" s="30">
        <f t="shared" si="2"/>
        <v>1581</v>
      </c>
      <c r="AN59" s="30">
        <f t="shared" si="3"/>
        <v>876.7883542690438</v>
      </c>
      <c r="AO59" s="30"/>
      <c r="AP59" s="29">
        <f t="shared" si="4"/>
        <v>0.7744937949052907</v>
      </c>
      <c r="AQ59" s="31">
        <f t="shared" si="5"/>
        <v>0.24986791399713604</v>
      </c>
      <c r="AR59" s="21" t="s">
        <v>948</v>
      </c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DM59" s="16"/>
      <c r="DN59" s="16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3"/>
      <c r="FW59" s="11"/>
    </row>
    <row r="60" spans="1:179" ht="18.75">
      <c r="A60" s="1" t="s">
        <v>336</v>
      </c>
      <c r="B60" s="2" t="s">
        <v>337</v>
      </c>
      <c r="C60" s="2" t="s">
        <v>243</v>
      </c>
      <c r="D60" s="2" t="str">
        <f>HYPERLINK("http://eros.fiehnlab.ucdavis.edu:8080/binbase-compound/bin/show/201821?db=rtx5","201821")</f>
        <v>201821</v>
      </c>
      <c r="E60" s="2" t="s">
        <v>618</v>
      </c>
      <c r="F60" s="2" t="str">
        <f>HYPERLINK("http://www.genome.ad.jp/dbget-bin/www_bget?compound+n/a","n/a")</f>
        <v>n/a</v>
      </c>
      <c r="G60" s="2" t="str">
        <f>HYPERLINK("http://pubchem.ncbi.nlm.nih.gov/summary/summary.cgi?cid=10470","10470")</f>
        <v>10470</v>
      </c>
      <c r="H60" s="7">
        <v>327</v>
      </c>
      <c r="I60" s="7">
        <v>455</v>
      </c>
      <c r="J60" s="7">
        <v>2889</v>
      </c>
      <c r="K60" s="7">
        <v>1027</v>
      </c>
      <c r="L60" s="7">
        <v>309</v>
      </c>
      <c r="M60" s="7">
        <v>494</v>
      </c>
      <c r="N60" s="7">
        <v>555</v>
      </c>
      <c r="O60" s="7">
        <v>393</v>
      </c>
      <c r="P60" s="7">
        <v>431</v>
      </c>
      <c r="Q60" s="7">
        <v>469</v>
      </c>
      <c r="R60" s="7">
        <v>923</v>
      </c>
      <c r="S60" s="7">
        <v>319</v>
      </c>
      <c r="T60" s="7">
        <v>466</v>
      </c>
      <c r="U60" s="7">
        <v>1044</v>
      </c>
      <c r="V60" s="7">
        <v>667</v>
      </c>
      <c r="W60" s="24">
        <f t="shared" si="0"/>
        <v>717.8666666666667</v>
      </c>
      <c r="X60" s="25">
        <f t="shared" si="1"/>
        <v>649.087256589333</v>
      </c>
      <c r="Y60" s="25"/>
      <c r="Z60" s="26"/>
      <c r="AA60" s="7">
        <v>558</v>
      </c>
      <c r="AB60" s="7">
        <v>933</v>
      </c>
      <c r="AC60" s="7">
        <v>452</v>
      </c>
      <c r="AD60" s="7">
        <v>339</v>
      </c>
      <c r="AE60" s="7">
        <v>838</v>
      </c>
      <c r="AF60" s="7">
        <v>438</v>
      </c>
      <c r="AG60" s="7">
        <v>473</v>
      </c>
      <c r="AH60" s="7">
        <v>431</v>
      </c>
      <c r="AI60" s="7">
        <v>717</v>
      </c>
      <c r="AJ60" s="7">
        <v>354</v>
      </c>
      <c r="AK60" s="7">
        <v>484</v>
      </c>
      <c r="AL60" s="7">
        <v>673</v>
      </c>
      <c r="AM60" s="30">
        <f t="shared" si="2"/>
        <v>557.5</v>
      </c>
      <c r="AN60" s="30">
        <f t="shared" si="3"/>
        <v>191.0666233161997</v>
      </c>
      <c r="AO60" s="30"/>
      <c r="AP60" s="29">
        <f t="shared" si="4"/>
        <v>0.7766066121842496</v>
      </c>
      <c r="AQ60" s="31">
        <f t="shared" si="5"/>
        <v>0.4172641346828002</v>
      </c>
      <c r="AR60" s="21" t="s">
        <v>336</v>
      </c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DM60" s="16"/>
      <c r="DN60" s="16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3"/>
      <c r="FW60" s="11"/>
    </row>
    <row r="61" spans="1:179" ht="18.75">
      <c r="A61" s="1" t="s">
        <v>992</v>
      </c>
      <c r="B61" s="2" t="s">
        <v>993</v>
      </c>
      <c r="C61" s="2" t="s">
        <v>437</v>
      </c>
      <c r="D61" s="2" t="str">
        <f>HYPERLINK("http://eros.fiehnlab.ucdavis.edu:8080/binbase-compound/bin/show/213182?db=rtx5","213182")</f>
        <v>213182</v>
      </c>
      <c r="E61" s="2" t="s">
        <v>42</v>
      </c>
      <c r="F61" s="2" t="s">
        <v>83</v>
      </c>
      <c r="G61" s="2" t="s">
        <v>83</v>
      </c>
      <c r="H61" s="7">
        <v>635</v>
      </c>
      <c r="I61" s="7">
        <v>503</v>
      </c>
      <c r="J61" s="7">
        <v>735</v>
      </c>
      <c r="K61" s="7">
        <v>463</v>
      </c>
      <c r="L61" s="7">
        <v>632</v>
      </c>
      <c r="M61" s="7">
        <v>676</v>
      </c>
      <c r="N61" s="7">
        <v>678</v>
      </c>
      <c r="O61" s="7">
        <v>440</v>
      </c>
      <c r="P61" s="7">
        <v>564</v>
      </c>
      <c r="Q61" s="7">
        <v>439</v>
      </c>
      <c r="R61" s="7">
        <v>556</v>
      </c>
      <c r="S61" s="7">
        <v>702</v>
      </c>
      <c r="T61" s="7">
        <v>355</v>
      </c>
      <c r="U61" s="7">
        <v>3073</v>
      </c>
      <c r="V61" s="7">
        <v>820</v>
      </c>
      <c r="W61" s="24">
        <f t="shared" si="0"/>
        <v>751.4</v>
      </c>
      <c r="X61" s="25">
        <f t="shared" si="1"/>
        <v>654.9805667782387</v>
      </c>
      <c r="Y61" s="25"/>
      <c r="Z61" s="26"/>
      <c r="AA61" s="7">
        <v>334</v>
      </c>
      <c r="AB61" s="7">
        <v>536</v>
      </c>
      <c r="AC61" s="7">
        <v>391</v>
      </c>
      <c r="AD61" s="7">
        <v>796</v>
      </c>
      <c r="AE61" s="7">
        <v>460</v>
      </c>
      <c r="AF61" s="7">
        <v>749</v>
      </c>
      <c r="AG61" s="7">
        <v>496</v>
      </c>
      <c r="AH61" s="7">
        <v>419</v>
      </c>
      <c r="AI61" s="7">
        <v>845</v>
      </c>
      <c r="AJ61" s="7">
        <v>690</v>
      </c>
      <c r="AK61" s="7">
        <v>715</v>
      </c>
      <c r="AL61" s="7">
        <v>604</v>
      </c>
      <c r="AM61" s="30">
        <f t="shared" si="2"/>
        <v>586.25</v>
      </c>
      <c r="AN61" s="30">
        <f t="shared" si="3"/>
        <v>170.93971558311534</v>
      </c>
      <c r="AO61" s="30"/>
      <c r="AP61" s="29">
        <f t="shared" si="4"/>
        <v>0.7802102741549108</v>
      </c>
      <c r="AQ61" s="31">
        <f t="shared" si="5"/>
        <v>0.40470407587793256</v>
      </c>
      <c r="AR61" s="21" t="s">
        <v>992</v>
      </c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DM61" s="16"/>
      <c r="DN61" s="16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3"/>
      <c r="FW61" s="11"/>
    </row>
    <row r="62" spans="1:179" ht="18.75">
      <c r="A62" s="1" t="s">
        <v>367</v>
      </c>
      <c r="B62" s="2" t="s">
        <v>368</v>
      </c>
      <c r="C62" s="2" t="s">
        <v>243</v>
      </c>
      <c r="D62" s="2" t="str">
        <f>HYPERLINK("http://eros.fiehnlab.ucdavis.edu:8080/binbase-compound/bin/show/199247?db=rtx5","199247")</f>
        <v>199247</v>
      </c>
      <c r="E62" s="2" t="s">
        <v>602</v>
      </c>
      <c r="F62" s="2" t="str">
        <f>HYPERLINK("http://www.genome.ad.jp/dbget-bin/www_bget?compound+C08320","C08320")</f>
        <v>C08320</v>
      </c>
      <c r="G62" s="2" t="str">
        <f>HYPERLINK("http://pubchem.ncbi.nlm.nih.gov/summary/summary.cgi?cid=11197","11197")</f>
        <v>11197</v>
      </c>
      <c r="H62" s="7">
        <v>515</v>
      </c>
      <c r="I62" s="7">
        <v>815</v>
      </c>
      <c r="J62" s="7">
        <v>3338</v>
      </c>
      <c r="K62" s="7">
        <v>1746</v>
      </c>
      <c r="L62" s="7">
        <v>936</v>
      </c>
      <c r="M62" s="7">
        <v>916</v>
      </c>
      <c r="N62" s="7">
        <v>822</v>
      </c>
      <c r="O62" s="7">
        <v>541</v>
      </c>
      <c r="P62" s="7">
        <v>878</v>
      </c>
      <c r="Q62" s="7">
        <v>711</v>
      </c>
      <c r="R62" s="7">
        <v>1143</v>
      </c>
      <c r="S62" s="7">
        <v>954</v>
      </c>
      <c r="T62" s="7">
        <v>1023</v>
      </c>
      <c r="U62" s="7">
        <v>1485</v>
      </c>
      <c r="V62" s="7">
        <v>1059</v>
      </c>
      <c r="W62" s="24">
        <f t="shared" si="0"/>
        <v>1125.4666666666667</v>
      </c>
      <c r="X62" s="25">
        <f t="shared" si="1"/>
        <v>690.2278988717802</v>
      </c>
      <c r="Y62" s="25"/>
      <c r="Z62" s="26"/>
      <c r="AA62" s="7">
        <v>813</v>
      </c>
      <c r="AB62" s="7">
        <v>1102</v>
      </c>
      <c r="AC62" s="7">
        <v>809</v>
      </c>
      <c r="AD62" s="7">
        <v>467</v>
      </c>
      <c r="AE62" s="7">
        <v>1793</v>
      </c>
      <c r="AF62" s="7">
        <v>851</v>
      </c>
      <c r="AG62" s="7">
        <v>597</v>
      </c>
      <c r="AH62" s="7">
        <v>718</v>
      </c>
      <c r="AI62" s="7">
        <v>909</v>
      </c>
      <c r="AJ62" s="7">
        <v>625</v>
      </c>
      <c r="AK62" s="7">
        <v>833</v>
      </c>
      <c r="AL62" s="7">
        <v>1049</v>
      </c>
      <c r="AM62" s="30">
        <f t="shared" si="2"/>
        <v>880.5</v>
      </c>
      <c r="AN62" s="30">
        <f t="shared" si="3"/>
        <v>339.3521903434676</v>
      </c>
      <c r="AO62" s="30"/>
      <c r="AP62" s="29">
        <f t="shared" si="4"/>
        <v>0.7823421395569246</v>
      </c>
      <c r="AQ62" s="31">
        <f t="shared" si="5"/>
        <v>0.27228411388215096</v>
      </c>
      <c r="AR62" s="21" t="s">
        <v>367</v>
      </c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DM62" s="16"/>
      <c r="DN62" s="16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3"/>
      <c r="FW62" s="11"/>
    </row>
    <row r="63" spans="1:179" ht="18.75">
      <c r="A63" s="1" t="s">
        <v>737</v>
      </c>
      <c r="B63" s="2" t="s">
        <v>738</v>
      </c>
      <c r="C63" s="2" t="s">
        <v>265</v>
      </c>
      <c r="D63" s="2" t="str">
        <f>HYPERLINK("http://eros.fiehnlab.ucdavis.edu:8080/binbase-compound/bin/show/314770?db=rtx5","314770")</f>
        <v>314770</v>
      </c>
      <c r="E63" s="2" t="s">
        <v>644</v>
      </c>
      <c r="F63" s="2" t="s">
        <v>83</v>
      </c>
      <c r="G63" s="2" t="s">
        <v>83</v>
      </c>
      <c r="H63" s="7">
        <v>21074</v>
      </c>
      <c r="I63" s="7">
        <v>15509</v>
      </c>
      <c r="J63" s="7">
        <v>18397</v>
      </c>
      <c r="K63" s="7">
        <v>14417</v>
      </c>
      <c r="L63" s="7">
        <v>18062</v>
      </c>
      <c r="M63" s="7">
        <v>18632</v>
      </c>
      <c r="N63" s="7">
        <v>20494</v>
      </c>
      <c r="O63" s="7">
        <v>7567</v>
      </c>
      <c r="P63" s="7">
        <v>13671</v>
      </c>
      <c r="Q63" s="7">
        <v>12280</v>
      </c>
      <c r="R63" s="7">
        <v>22739</v>
      </c>
      <c r="S63" s="7">
        <v>11447</v>
      </c>
      <c r="T63" s="7">
        <v>11291</v>
      </c>
      <c r="U63" s="7">
        <v>12530</v>
      </c>
      <c r="V63" s="7">
        <v>18399</v>
      </c>
      <c r="W63" s="24">
        <f t="shared" si="0"/>
        <v>15767.266666666666</v>
      </c>
      <c r="X63" s="25">
        <f t="shared" si="1"/>
        <v>4320.166406627456</v>
      </c>
      <c r="Y63" s="25"/>
      <c r="Z63" s="26"/>
      <c r="AA63" s="7">
        <v>11301</v>
      </c>
      <c r="AB63" s="7">
        <v>11513</v>
      </c>
      <c r="AC63" s="7">
        <v>9903</v>
      </c>
      <c r="AD63" s="7">
        <v>10505</v>
      </c>
      <c r="AE63" s="7">
        <v>12717</v>
      </c>
      <c r="AF63" s="7">
        <v>19225</v>
      </c>
      <c r="AG63" s="7">
        <v>13364</v>
      </c>
      <c r="AH63" s="7">
        <v>8974</v>
      </c>
      <c r="AI63" s="7">
        <v>14407</v>
      </c>
      <c r="AJ63" s="7">
        <v>12206</v>
      </c>
      <c r="AK63" s="7">
        <v>10683</v>
      </c>
      <c r="AL63" s="7">
        <v>13239</v>
      </c>
      <c r="AM63" s="30">
        <f t="shared" si="2"/>
        <v>12336.416666666666</v>
      </c>
      <c r="AN63" s="30">
        <f t="shared" si="3"/>
        <v>2677.1367153031706</v>
      </c>
      <c r="AO63" s="30"/>
      <c r="AP63" s="29">
        <f t="shared" si="4"/>
        <v>0.7824068005868698</v>
      </c>
      <c r="AQ63" s="31">
        <f t="shared" si="5"/>
        <v>0.024080484312560005</v>
      </c>
      <c r="AR63" s="21" t="s">
        <v>737</v>
      </c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DM63" s="16"/>
      <c r="DN63" s="16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3"/>
      <c r="FW63" s="11"/>
    </row>
    <row r="64" spans="1:179" ht="18.75">
      <c r="A64" s="1" t="s">
        <v>969</v>
      </c>
      <c r="B64" s="2" t="s">
        <v>970</v>
      </c>
      <c r="C64" s="2" t="s">
        <v>775</v>
      </c>
      <c r="D64" s="2" t="str">
        <f>HYPERLINK("http://eros.fiehnlab.ucdavis.edu:8080/binbase-compound/bin/show/219021?db=rtx5","219021")</f>
        <v>219021</v>
      </c>
      <c r="E64" s="2" t="s">
        <v>22</v>
      </c>
      <c r="F64" s="2" t="s">
        <v>83</v>
      </c>
      <c r="G64" s="2" t="s">
        <v>83</v>
      </c>
      <c r="H64" s="7">
        <v>1142352</v>
      </c>
      <c r="I64" s="7">
        <v>575042</v>
      </c>
      <c r="J64" s="7">
        <v>1647168</v>
      </c>
      <c r="K64" s="7">
        <v>1423708</v>
      </c>
      <c r="L64" s="7">
        <v>1776659</v>
      </c>
      <c r="M64" s="7">
        <v>1185997</v>
      </c>
      <c r="N64" s="7">
        <v>1596189</v>
      </c>
      <c r="O64" s="7">
        <v>411727</v>
      </c>
      <c r="P64" s="7">
        <v>351422</v>
      </c>
      <c r="Q64" s="7">
        <v>605546</v>
      </c>
      <c r="R64" s="7">
        <v>1736717</v>
      </c>
      <c r="S64" s="7">
        <v>671026</v>
      </c>
      <c r="T64" s="7">
        <v>494396</v>
      </c>
      <c r="U64" s="7">
        <v>1729093</v>
      </c>
      <c r="V64" s="7">
        <v>2687769</v>
      </c>
      <c r="W64" s="24">
        <f t="shared" si="0"/>
        <v>1202320.7333333334</v>
      </c>
      <c r="X64" s="25">
        <f t="shared" si="1"/>
        <v>675462.9652763532</v>
      </c>
      <c r="Y64" s="25"/>
      <c r="Z64" s="26"/>
      <c r="AA64" s="7">
        <v>497104</v>
      </c>
      <c r="AB64" s="7">
        <v>917973</v>
      </c>
      <c r="AC64" s="7">
        <v>473585</v>
      </c>
      <c r="AD64" s="7">
        <v>1943318</v>
      </c>
      <c r="AE64" s="7">
        <v>874160</v>
      </c>
      <c r="AF64" s="7">
        <v>642874</v>
      </c>
      <c r="AG64" s="7">
        <v>577988</v>
      </c>
      <c r="AH64" s="7">
        <v>349379</v>
      </c>
      <c r="AI64" s="7">
        <v>1507163</v>
      </c>
      <c r="AJ64" s="7">
        <v>2192896</v>
      </c>
      <c r="AK64" s="7">
        <v>517820</v>
      </c>
      <c r="AL64" s="7">
        <v>829433</v>
      </c>
      <c r="AM64" s="30">
        <f t="shared" si="2"/>
        <v>943641.0833333334</v>
      </c>
      <c r="AN64" s="30">
        <f t="shared" si="3"/>
        <v>608654.3141580237</v>
      </c>
      <c r="AO64" s="30"/>
      <c r="AP64" s="29">
        <f t="shared" si="4"/>
        <v>0.7848497137009087</v>
      </c>
      <c r="AQ64" s="31">
        <f t="shared" si="5"/>
        <v>0.31174803252385075</v>
      </c>
      <c r="AR64" s="21" t="s">
        <v>969</v>
      </c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DM64" s="16"/>
      <c r="DN64" s="16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3"/>
      <c r="FW64" s="11"/>
    </row>
    <row r="65" spans="1:179" ht="18.75">
      <c r="A65" s="1" t="s">
        <v>794</v>
      </c>
      <c r="B65" s="2" t="s">
        <v>795</v>
      </c>
      <c r="C65" s="2" t="s">
        <v>695</v>
      </c>
      <c r="D65" s="2" t="str">
        <f>HYPERLINK("http://eros.fiehnlab.ucdavis.edu:8080/binbase-compound/bin/show/288810?db=rtx5","288810")</f>
        <v>288810</v>
      </c>
      <c r="E65" s="2" t="s">
        <v>64</v>
      </c>
      <c r="F65" s="2" t="s">
        <v>83</v>
      </c>
      <c r="G65" s="2" t="s">
        <v>83</v>
      </c>
      <c r="H65" s="7">
        <v>7356</v>
      </c>
      <c r="I65" s="7">
        <v>4423</v>
      </c>
      <c r="J65" s="7">
        <v>18199</v>
      </c>
      <c r="K65" s="7">
        <v>11198</v>
      </c>
      <c r="L65" s="7">
        <v>15116</v>
      </c>
      <c r="M65" s="7">
        <v>9059</v>
      </c>
      <c r="N65" s="7">
        <v>12519</v>
      </c>
      <c r="O65" s="7">
        <v>3303</v>
      </c>
      <c r="P65" s="7">
        <v>2455</v>
      </c>
      <c r="Q65" s="7">
        <v>4917</v>
      </c>
      <c r="R65" s="7">
        <v>12604</v>
      </c>
      <c r="S65" s="7">
        <v>5744</v>
      </c>
      <c r="T65" s="7">
        <v>4360</v>
      </c>
      <c r="U65" s="7">
        <v>13701</v>
      </c>
      <c r="V65" s="7">
        <v>21465</v>
      </c>
      <c r="W65" s="24">
        <f t="shared" si="0"/>
        <v>9761.266666666666</v>
      </c>
      <c r="X65" s="25">
        <f t="shared" si="1"/>
        <v>5786.456878740549</v>
      </c>
      <c r="Y65" s="25"/>
      <c r="Z65" s="26"/>
      <c r="AA65" s="7">
        <v>4963</v>
      </c>
      <c r="AB65" s="7">
        <v>7655</v>
      </c>
      <c r="AC65" s="7">
        <v>4054</v>
      </c>
      <c r="AD65" s="7">
        <v>16658</v>
      </c>
      <c r="AE65" s="7">
        <v>7214</v>
      </c>
      <c r="AF65" s="7">
        <v>4510</v>
      </c>
      <c r="AG65" s="7">
        <v>3560</v>
      </c>
      <c r="AH65" s="7">
        <v>3558</v>
      </c>
      <c r="AI65" s="7">
        <v>10805</v>
      </c>
      <c r="AJ65" s="7">
        <v>18178</v>
      </c>
      <c r="AK65" s="7">
        <v>4369</v>
      </c>
      <c r="AL65" s="7">
        <v>6497</v>
      </c>
      <c r="AM65" s="30">
        <f t="shared" si="2"/>
        <v>7668.416666666667</v>
      </c>
      <c r="AN65" s="30">
        <f t="shared" si="3"/>
        <v>5024.491316782649</v>
      </c>
      <c r="AO65" s="30"/>
      <c r="AP65" s="29">
        <f t="shared" si="4"/>
        <v>0.7855964731353172</v>
      </c>
      <c r="AQ65" s="31">
        <f t="shared" si="5"/>
        <v>0.3321809814840049</v>
      </c>
      <c r="AR65" s="21" t="s">
        <v>794</v>
      </c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DM65" s="16"/>
      <c r="DN65" s="16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3"/>
      <c r="FW65" s="11"/>
    </row>
    <row r="66" spans="1:179" ht="18.75">
      <c r="A66" s="1" t="s">
        <v>721</v>
      </c>
      <c r="B66" s="2" t="s">
        <v>722</v>
      </c>
      <c r="C66" s="2" t="s">
        <v>423</v>
      </c>
      <c r="D66" s="2" t="str">
        <f>HYPERLINK("http://eros.fiehnlab.ucdavis.edu:8080/binbase-compound/bin/show/340252?db=rtx5","340252")</f>
        <v>340252</v>
      </c>
      <c r="E66" s="2" t="s">
        <v>127</v>
      </c>
      <c r="F66" s="2" t="s">
        <v>83</v>
      </c>
      <c r="G66" s="2" t="s">
        <v>83</v>
      </c>
      <c r="H66" s="7">
        <v>2346</v>
      </c>
      <c r="I66" s="7">
        <v>1625</v>
      </c>
      <c r="J66" s="7">
        <v>2859</v>
      </c>
      <c r="K66" s="7">
        <v>1866</v>
      </c>
      <c r="L66" s="7">
        <v>3086</v>
      </c>
      <c r="M66" s="7">
        <v>2296</v>
      </c>
      <c r="N66" s="7">
        <v>3497</v>
      </c>
      <c r="O66" s="7">
        <v>803</v>
      </c>
      <c r="P66" s="7">
        <v>913</v>
      </c>
      <c r="Q66" s="7">
        <v>1172</v>
      </c>
      <c r="R66" s="7">
        <v>3472</v>
      </c>
      <c r="S66" s="7">
        <v>1324</v>
      </c>
      <c r="T66" s="7">
        <v>1197</v>
      </c>
      <c r="U66" s="7">
        <v>2420</v>
      </c>
      <c r="V66" s="7">
        <v>2837</v>
      </c>
      <c r="W66" s="24">
        <f t="shared" si="0"/>
        <v>2114.2</v>
      </c>
      <c r="X66" s="25">
        <f t="shared" si="1"/>
        <v>917.063418900631</v>
      </c>
      <c r="Y66" s="25"/>
      <c r="Z66" s="26"/>
      <c r="AA66" s="7">
        <v>1130</v>
      </c>
      <c r="AB66" s="7">
        <v>1517</v>
      </c>
      <c r="AC66" s="7">
        <v>793</v>
      </c>
      <c r="AD66" s="7">
        <v>2654</v>
      </c>
      <c r="AE66" s="7">
        <v>1157</v>
      </c>
      <c r="AF66" s="7">
        <v>1541</v>
      </c>
      <c r="AG66" s="7">
        <v>1516</v>
      </c>
      <c r="AH66" s="7">
        <v>802</v>
      </c>
      <c r="AI66" s="7">
        <v>2742</v>
      </c>
      <c r="AJ66" s="7">
        <v>3325</v>
      </c>
      <c r="AK66" s="7">
        <v>1158</v>
      </c>
      <c r="AL66" s="7">
        <v>1597</v>
      </c>
      <c r="AM66" s="30">
        <f t="shared" si="2"/>
        <v>1661</v>
      </c>
      <c r="AN66" s="30">
        <f t="shared" si="3"/>
        <v>812.63063285514</v>
      </c>
      <c r="AO66" s="30"/>
      <c r="AP66" s="29">
        <f t="shared" si="4"/>
        <v>0.785639958376691</v>
      </c>
      <c r="AQ66" s="31">
        <f t="shared" si="5"/>
        <v>0.19200440014078593</v>
      </c>
      <c r="AR66" s="21" t="s">
        <v>721</v>
      </c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DM66" s="16"/>
      <c r="DN66" s="16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3"/>
      <c r="FW66" s="11"/>
    </row>
    <row r="67" spans="1:179" ht="18.75">
      <c r="A67" s="1" t="s">
        <v>725</v>
      </c>
      <c r="B67" s="2" t="s">
        <v>726</v>
      </c>
      <c r="C67" s="2" t="s">
        <v>316</v>
      </c>
      <c r="D67" s="2" t="str">
        <f>HYPERLINK("http://eros.fiehnlab.ucdavis.edu:8080/binbase-compound/bin/show/339455?db=rtx5","339455")</f>
        <v>339455</v>
      </c>
      <c r="E67" s="2" t="s">
        <v>125</v>
      </c>
      <c r="F67" s="2" t="s">
        <v>83</v>
      </c>
      <c r="G67" s="2" t="s">
        <v>83</v>
      </c>
      <c r="H67" s="7">
        <v>1391</v>
      </c>
      <c r="I67" s="7">
        <v>897</v>
      </c>
      <c r="J67" s="7">
        <v>3814</v>
      </c>
      <c r="K67" s="7">
        <v>2203</v>
      </c>
      <c r="L67" s="7">
        <v>3206</v>
      </c>
      <c r="M67" s="7">
        <v>1727</v>
      </c>
      <c r="N67" s="7">
        <v>3647</v>
      </c>
      <c r="O67" s="7">
        <v>1165</v>
      </c>
      <c r="P67" s="7">
        <v>1017</v>
      </c>
      <c r="Q67" s="7">
        <v>1376</v>
      </c>
      <c r="R67" s="7">
        <v>2732</v>
      </c>
      <c r="S67" s="7">
        <v>1075</v>
      </c>
      <c r="T67" s="7">
        <v>1071</v>
      </c>
      <c r="U67" s="7">
        <v>2137</v>
      </c>
      <c r="V67" s="7">
        <v>3202</v>
      </c>
      <c r="W67" s="24">
        <f t="shared" si="0"/>
        <v>2044</v>
      </c>
      <c r="X67" s="25">
        <f t="shared" si="1"/>
        <v>1031.738546615095</v>
      </c>
      <c r="Y67" s="25"/>
      <c r="Z67" s="26"/>
      <c r="AA67" s="7">
        <v>989</v>
      </c>
      <c r="AB67" s="7">
        <v>1674</v>
      </c>
      <c r="AC67" s="7">
        <v>1256</v>
      </c>
      <c r="AD67" s="7">
        <v>3203</v>
      </c>
      <c r="AE67" s="7">
        <v>1734</v>
      </c>
      <c r="AF67" s="7">
        <v>1148</v>
      </c>
      <c r="AG67" s="7">
        <v>797</v>
      </c>
      <c r="AH67" s="7">
        <v>900</v>
      </c>
      <c r="AI67" s="7">
        <v>2023</v>
      </c>
      <c r="AJ67" s="7">
        <v>3293</v>
      </c>
      <c r="AK67" s="7">
        <v>963</v>
      </c>
      <c r="AL67" s="7">
        <v>1381</v>
      </c>
      <c r="AM67" s="30">
        <f t="shared" si="2"/>
        <v>1613.4166666666667</v>
      </c>
      <c r="AN67" s="30">
        <f t="shared" si="3"/>
        <v>848.5580773324008</v>
      </c>
      <c r="AO67" s="30"/>
      <c r="AP67" s="29">
        <f t="shared" si="4"/>
        <v>0.7893427919112851</v>
      </c>
      <c r="AQ67" s="31">
        <f t="shared" si="5"/>
        <v>0.2555844399895555</v>
      </c>
      <c r="AR67" s="21" t="s">
        <v>725</v>
      </c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DM67" s="16"/>
      <c r="DN67" s="16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3"/>
      <c r="FW67" s="11"/>
    </row>
    <row r="68" spans="1:179" ht="18.75">
      <c r="A68" s="1" t="s">
        <v>912</v>
      </c>
      <c r="B68" s="2" t="s">
        <v>913</v>
      </c>
      <c r="C68" s="2" t="s">
        <v>914</v>
      </c>
      <c r="D68" s="2" t="str">
        <f>HYPERLINK("http://eros.fiehnlab.ucdavis.edu:8080/binbase-compound/bin/show/226907?db=rtx5","226907")</f>
        <v>226907</v>
      </c>
      <c r="E68" s="2" t="s">
        <v>188</v>
      </c>
      <c r="F68" s="2" t="s">
        <v>83</v>
      </c>
      <c r="G68" s="2" t="s">
        <v>83</v>
      </c>
      <c r="H68" s="7">
        <v>578</v>
      </c>
      <c r="I68" s="7">
        <v>481</v>
      </c>
      <c r="J68" s="7">
        <v>1066</v>
      </c>
      <c r="K68" s="7">
        <v>589</v>
      </c>
      <c r="L68" s="7">
        <v>1076</v>
      </c>
      <c r="M68" s="7">
        <v>878</v>
      </c>
      <c r="N68" s="7">
        <v>1102</v>
      </c>
      <c r="O68" s="7">
        <v>277</v>
      </c>
      <c r="P68" s="7">
        <v>431</v>
      </c>
      <c r="Q68" s="7">
        <v>483</v>
      </c>
      <c r="R68" s="7">
        <v>1096</v>
      </c>
      <c r="S68" s="7">
        <v>622</v>
      </c>
      <c r="T68" s="7">
        <v>524</v>
      </c>
      <c r="U68" s="7">
        <v>682</v>
      </c>
      <c r="V68" s="7">
        <v>1324</v>
      </c>
      <c r="W68" s="24">
        <f t="shared" si="0"/>
        <v>747.2666666666667</v>
      </c>
      <c r="X68" s="25">
        <f t="shared" si="1"/>
        <v>315.348892196443</v>
      </c>
      <c r="Y68" s="25"/>
      <c r="Z68" s="26"/>
      <c r="AA68" s="7">
        <v>426</v>
      </c>
      <c r="AB68" s="7">
        <v>468</v>
      </c>
      <c r="AC68" s="7">
        <v>377</v>
      </c>
      <c r="AD68" s="7">
        <v>1029</v>
      </c>
      <c r="AE68" s="7">
        <v>288</v>
      </c>
      <c r="AF68" s="7">
        <v>523</v>
      </c>
      <c r="AG68" s="7">
        <v>365</v>
      </c>
      <c r="AH68" s="7">
        <v>349</v>
      </c>
      <c r="AI68" s="7">
        <v>922</v>
      </c>
      <c r="AJ68" s="7">
        <v>1323</v>
      </c>
      <c r="AK68" s="7">
        <v>255</v>
      </c>
      <c r="AL68" s="7">
        <v>770</v>
      </c>
      <c r="AM68" s="30">
        <f t="shared" si="2"/>
        <v>591.25</v>
      </c>
      <c r="AN68" s="30">
        <f t="shared" si="3"/>
        <v>340.63953888905127</v>
      </c>
      <c r="AO68" s="30"/>
      <c r="AP68" s="29">
        <f t="shared" si="4"/>
        <v>0.791216879293425</v>
      </c>
      <c r="AQ68" s="31">
        <f t="shared" si="5"/>
        <v>0.22905584818702274</v>
      </c>
      <c r="AR68" s="21" t="s">
        <v>912</v>
      </c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DM68" s="16"/>
      <c r="DN68" s="16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3"/>
      <c r="FW68" s="11"/>
    </row>
    <row r="69" spans="1:179" ht="18.75">
      <c r="A69" s="1" t="s">
        <v>789</v>
      </c>
      <c r="B69" s="2" t="s">
        <v>790</v>
      </c>
      <c r="C69" s="2" t="s">
        <v>697</v>
      </c>
      <c r="D69" s="2" t="str">
        <f>HYPERLINK("http://eros.fiehnlab.ucdavis.edu:8080/binbase-compound/bin/show/289052?db=rtx5","289052")</f>
        <v>289052</v>
      </c>
      <c r="E69" s="2" t="s">
        <v>155</v>
      </c>
      <c r="F69" s="2" t="s">
        <v>83</v>
      </c>
      <c r="G69" s="2" t="s">
        <v>83</v>
      </c>
      <c r="H69" s="7">
        <v>2167</v>
      </c>
      <c r="I69" s="7">
        <v>750</v>
      </c>
      <c r="J69" s="7">
        <v>750</v>
      </c>
      <c r="K69" s="7">
        <v>319</v>
      </c>
      <c r="L69" s="7">
        <v>1382</v>
      </c>
      <c r="M69" s="7">
        <v>1172</v>
      </c>
      <c r="N69" s="7">
        <v>2016</v>
      </c>
      <c r="O69" s="7">
        <v>1229</v>
      </c>
      <c r="P69" s="7">
        <v>2566</v>
      </c>
      <c r="Q69" s="7">
        <v>827</v>
      </c>
      <c r="R69" s="7">
        <v>1407</v>
      </c>
      <c r="S69" s="7">
        <v>575</v>
      </c>
      <c r="T69" s="7">
        <v>691</v>
      </c>
      <c r="U69" s="7">
        <v>3277</v>
      </c>
      <c r="V69" s="7">
        <v>826</v>
      </c>
      <c r="W69" s="24">
        <f t="shared" si="0"/>
        <v>1330.2666666666667</v>
      </c>
      <c r="X69" s="25">
        <f t="shared" si="1"/>
        <v>832.9705419818421</v>
      </c>
      <c r="Y69" s="25"/>
      <c r="Z69" s="26"/>
      <c r="AA69" s="7">
        <v>435</v>
      </c>
      <c r="AB69" s="7">
        <v>868</v>
      </c>
      <c r="AC69" s="7">
        <v>1080</v>
      </c>
      <c r="AD69" s="7">
        <v>1608</v>
      </c>
      <c r="AE69" s="7">
        <v>3020</v>
      </c>
      <c r="AF69" s="7">
        <v>1257</v>
      </c>
      <c r="AG69" s="7">
        <v>845</v>
      </c>
      <c r="AH69" s="7">
        <v>648</v>
      </c>
      <c r="AI69" s="7">
        <v>963</v>
      </c>
      <c r="AJ69" s="7">
        <v>866</v>
      </c>
      <c r="AK69" s="7">
        <v>536</v>
      </c>
      <c r="AL69" s="7">
        <v>532</v>
      </c>
      <c r="AM69" s="30">
        <f t="shared" si="2"/>
        <v>1054.8333333333333</v>
      </c>
      <c r="AN69" s="30">
        <f t="shared" si="3"/>
        <v>702.2467622933658</v>
      </c>
      <c r="AO69" s="30"/>
      <c r="AP69" s="29">
        <f t="shared" si="4"/>
        <v>0.7929487821990577</v>
      </c>
      <c r="AQ69" s="31">
        <f t="shared" si="5"/>
        <v>0.36949765294142467</v>
      </c>
      <c r="AR69" s="21" t="s">
        <v>789</v>
      </c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DM69" s="16"/>
      <c r="DN69" s="16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3"/>
      <c r="FW69" s="11"/>
    </row>
    <row r="70" spans="1:179" ht="18.75">
      <c r="A70" s="1" t="s">
        <v>768</v>
      </c>
      <c r="B70" s="2" t="s">
        <v>769</v>
      </c>
      <c r="C70" s="2" t="s">
        <v>289</v>
      </c>
      <c r="D70" s="2" t="str">
        <f>HYPERLINK("http://eros.fiehnlab.ucdavis.edu:8080/binbase-compound/bin/show/299218?db=rtx5","299218")</f>
        <v>299218</v>
      </c>
      <c r="E70" s="2" t="s">
        <v>9</v>
      </c>
      <c r="F70" s="2" t="s">
        <v>83</v>
      </c>
      <c r="G70" s="2" t="s">
        <v>83</v>
      </c>
      <c r="H70" s="7">
        <v>1364</v>
      </c>
      <c r="I70" s="7">
        <v>562</v>
      </c>
      <c r="J70" s="7">
        <v>2630</v>
      </c>
      <c r="K70" s="7">
        <v>1685</v>
      </c>
      <c r="L70" s="7">
        <v>122</v>
      </c>
      <c r="M70" s="7">
        <v>1725</v>
      </c>
      <c r="N70" s="7">
        <v>2636</v>
      </c>
      <c r="O70" s="7">
        <v>475</v>
      </c>
      <c r="P70" s="7">
        <v>341</v>
      </c>
      <c r="Q70" s="7">
        <v>856</v>
      </c>
      <c r="R70" s="7">
        <v>2429</v>
      </c>
      <c r="S70" s="7">
        <v>812</v>
      </c>
      <c r="T70" s="7">
        <v>661</v>
      </c>
      <c r="U70" s="7">
        <v>796</v>
      </c>
      <c r="V70" s="7">
        <v>3072</v>
      </c>
      <c r="W70" s="24">
        <f t="shared" si="0"/>
        <v>1344.4</v>
      </c>
      <c r="X70" s="25">
        <f t="shared" si="1"/>
        <v>959.9868897914329</v>
      </c>
      <c r="Y70" s="25"/>
      <c r="Z70" s="26"/>
      <c r="AA70" s="7">
        <v>490</v>
      </c>
      <c r="AB70" s="7">
        <v>1291</v>
      </c>
      <c r="AC70" s="7">
        <v>743</v>
      </c>
      <c r="AD70" s="7">
        <v>1971</v>
      </c>
      <c r="AE70" s="7">
        <v>974</v>
      </c>
      <c r="AF70" s="7">
        <v>82</v>
      </c>
      <c r="AG70" s="7">
        <v>780</v>
      </c>
      <c r="AH70" s="7">
        <v>429</v>
      </c>
      <c r="AI70" s="7">
        <v>1907</v>
      </c>
      <c r="AJ70" s="7">
        <v>2190</v>
      </c>
      <c r="AK70" s="7">
        <v>704</v>
      </c>
      <c r="AL70" s="7">
        <v>1260</v>
      </c>
      <c r="AM70" s="30">
        <f t="shared" si="2"/>
        <v>1068.4166666666667</v>
      </c>
      <c r="AN70" s="30">
        <f t="shared" si="3"/>
        <v>668.0573544149325</v>
      </c>
      <c r="AO70" s="30"/>
      <c r="AP70" s="29">
        <f t="shared" si="4"/>
        <v>0.7947163542596449</v>
      </c>
      <c r="AQ70" s="31">
        <f t="shared" si="5"/>
        <v>0.4065494774241154</v>
      </c>
      <c r="AR70" s="21" t="s">
        <v>768</v>
      </c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DM70" s="16"/>
      <c r="DN70" s="16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3"/>
      <c r="FW70" s="11"/>
    </row>
    <row r="71" spans="1:179" ht="18.75">
      <c r="A71" s="1" t="s">
        <v>444</v>
      </c>
      <c r="B71" s="2" t="s">
        <v>445</v>
      </c>
      <c r="C71" s="2" t="s">
        <v>446</v>
      </c>
      <c r="D71" s="2" t="str">
        <f>HYPERLINK("http://eros.fiehnlab.ucdavis.edu:8080/binbase-compound/bin/show/199604?db=rtx5","199604")</f>
        <v>199604</v>
      </c>
      <c r="E71" s="2" t="s">
        <v>1127</v>
      </c>
      <c r="F71" s="2" t="str">
        <f>HYPERLINK("http://www.genome.ad.jp/dbget-bin/www_bget?compound+C00025","C00025")</f>
        <v>C00025</v>
      </c>
      <c r="G71" s="2" t="str">
        <f>HYPERLINK("http://pubchem.ncbi.nlm.nih.gov/summary/summary.cgi?cid=33032","33032")</f>
        <v>33032</v>
      </c>
      <c r="H71" s="7">
        <v>9732</v>
      </c>
      <c r="I71" s="7">
        <v>15932</v>
      </c>
      <c r="J71" s="7">
        <v>15911</v>
      </c>
      <c r="K71" s="7">
        <v>18727</v>
      </c>
      <c r="L71" s="7">
        <v>23312</v>
      </c>
      <c r="M71" s="7">
        <v>40587</v>
      </c>
      <c r="N71" s="7">
        <v>24653</v>
      </c>
      <c r="O71" s="7">
        <v>29215</v>
      </c>
      <c r="P71" s="7">
        <v>38134</v>
      </c>
      <c r="Q71" s="7">
        <v>26312</v>
      </c>
      <c r="R71" s="7">
        <v>14419</v>
      </c>
      <c r="S71" s="7">
        <v>10529</v>
      </c>
      <c r="T71" s="7">
        <v>30067</v>
      </c>
      <c r="U71" s="7">
        <v>10394</v>
      </c>
      <c r="V71" s="7">
        <v>10861</v>
      </c>
      <c r="W71" s="24">
        <f aca="true" t="shared" si="6" ref="W71:W134">AVERAGE(H71:V71)</f>
        <v>21252.333333333332</v>
      </c>
      <c r="X71" s="25">
        <f aca="true" t="shared" si="7" ref="X71:X134">STDEV(H71:V71)</f>
        <v>10088.282139383766</v>
      </c>
      <c r="Y71" s="25"/>
      <c r="Z71" s="26"/>
      <c r="AA71" s="7">
        <v>11508</v>
      </c>
      <c r="AB71" s="7">
        <v>23781</v>
      </c>
      <c r="AC71" s="7">
        <v>36264</v>
      </c>
      <c r="AD71" s="7">
        <v>15028</v>
      </c>
      <c r="AE71" s="7">
        <v>17522</v>
      </c>
      <c r="AF71" s="7">
        <v>14240</v>
      </c>
      <c r="AG71" s="7">
        <v>12457</v>
      </c>
      <c r="AH71" s="7">
        <v>20585</v>
      </c>
      <c r="AI71" s="7">
        <v>14205</v>
      </c>
      <c r="AJ71" s="7">
        <v>18660</v>
      </c>
      <c r="AK71" s="7">
        <v>8225</v>
      </c>
      <c r="AL71" s="7">
        <v>10225</v>
      </c>
      <c r="AM71" s="30">
        <f aca="true" t="shared" si="8" ref="AM71:AM134">AVERAGE(AA71:AL71)</f>
        <v>16891.666666666668</v>
      </c>
      <c r="AN71" s="30">
        <f aca="true" t="shared" si="9" ref="AN71:AN134">STDEV(AA71:AL71)</f>
        <v>7542.869629154691</v>
      </c>
      <c r="AO71" s="30"/>
      <c r="AP71" s="29">
        <f aca="true" t="shared" si="10" ref="AP71:AP134">AM71/W71</f>
        <v>0.7948146870147592</v>
      </c>
      <c r="AQ71" s="31">
        <f aca="true" t="shared" si="11" ref="AQ71:AQ134">TTEST(AA71:AL71,H71:V71,2,2)</f>
        <v>0.2253395733429271</v>
      </c>
      <c r="AR71" s="21" t="s">
        <v>444</v>
      </c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DM71" s="16"/>
      <c r="DN71" s="16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3"/>
      <c r="FW71" s="11"/>
    </row>
    <row r="72" spans="1:179" ht="18.75">
      <c r="A72" s="1" t="s">
        <v>99</v>
      </c>
      <c r="B72" s="2" t="s">
        <v>758</v>
      </c>
      <c r="C72" s="2" t="s">
        <v>274</v>
      </c>
      <c r="D72" s="2" t="str">
        <f>HYPERLINK("http://eros.fiehnlab.ucdavis.edu:8080/binbase-compound/bin/show/203247?db=rtx5","203247")</f>
        <v>203247</v>
      </c>
      <c r="E72" s="2" t="s">
        <v>592</v>
      </c>
      <c r="F72" s="2" t="str">
        <f>HYPERLINK("http://www.genome.ad.jp/dbget-bin/www_bget?compound+n/a","n/a")</f>
        <v>n/a</v>
      </c>
      <c r="G72" s="2" t="str">
        <f>HYPERLINK("http://pubchem.ncbi.nlm.nih.gov/summary/summary.cgi?cid=447661","447661")</f>
        <v>447661</v>
      </c>
      <c r="H72" s="7">
        <v>266</v>
      </c>
      <c r="I72" s="7">
        <v>474</v>
      </c>
      <c r="J72" s="7">
        <v>2836</v>
      </c>
      <c r="K72" s="7">
        <v>865</v>
      </c>
      <c r="L72" s="7">
        <v>1494</v>
      </c>
      <c r="M72" s="7">
        <v>519</v>
      </c>
      <c r="N72" s="7">
        <v>1019</v>
      </c>
      <c r="O72" s="7">
        <v>987</v>
      </c>
      <c r="P72" s="7">
        <v>472</v>
      </c>
      <c r="Q72" s="7">
        <v>424</v>
      </c>
      <c r="R72" s="7">
        <v>1299</v>
      </c>
      <c r="S72" s="7">
        <v>522</v>
      </c>
      <c r="T72" s="7">
        <v>1018</v>
      </c>
      <c r="U72" s="7">
        <v>1279</v>
      </c>
      <c r="V72" s="7">
        <v>1372</v>
      </c>
      <c r="W72" s="24">
        <f t="shared" si="6"/>
        <v>989.7333333333333</v>
      </c>
      <c r="X72" s="25">
        <f t="shared" si="7"/>
        <v>644.9746912716439</v>
      </c>
      <c r="Y72" s="25"/>
      <c r="Z72" s="26"/>
      <c r="AA72" s="7">
        <v>863</v>
      </c>
      <c r="AB72" s="7">
        <v>927</v>
      </c>
      <c r="AC72" s="7">
        <v>982</v>
      </c>
      <c r="AD72" s="7">
        <v>490</v>
      </c>
      <c r="AE72" s="7">
        <v>676</v>
      </c>
      <c r="AF72" s="7">
        <v>444</v>
      </c>
      <c r="AG72" s="7">
        <v>396</v>
      </c>
      <c r="AH72" s="7">
        <v>957</v>
      </c>
      <c r="AI72" s="7">
        <v>750</v>
      </c>
      <c r="AJ72" s="7">
        <v>883</v>
      </c>
      <c r="AK72" s="7">
        <v>1113</v>
      </c>
      <c r="AL72" s="7">
        <v>1003</v>
      </c>
      <c r="AM72" s="30">
        <f t="shared" si="8"/>
        <v>790.3333333333334</v>
      </c>
      <c r="AN72" s="30">
        <f t="shared" si="9"/>
        <v>238.69811033769813</v>
      </c>
      <c r="AO72" s="30"/>
      <c r="AP72" s="29">
        <f t="shared" si="10"/>
        <v>0.7985315910009431</v>
      </c>
      <c r="AQ72" s="31">
        <f t="shared" si="11"/>
        <v>0.32050372182260267</v>
      </c>
      <c r="AR72" s="21" t="s">
        <v>99</v>
      </c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DM72" s="16"/>
      <c r="DN72" s="16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3"/>
      <c r="FW72" s="11"/>
    </row>
    <row r="73" spans="1:179" ht="18.75">
      <c r="A73" s="1" t="s">
        <v>754</v>
      </c>
      <c r="B73" s="2" t="s">
        <v>755</v>
      </c>
      <c r="C73" s="2" t="s">
        <v>756</v>
      </c>
      <c r="D73" s="2" t="str">
        <f>HYPERLINK("http://eros.fiehnlab.ucdavis.edu:8080/binbase-compound/bin/show/300379?db=rtx5","300379")</f>
        <v>300379</v>
      </c>
      <c r="E73" s="2" t="s">
        <v>655</v>
      </c>
      <c r="F73" s="2" t="s">
        <v>83</v>
      </c>
      <c r="G73" s="2" t="s">
        <v>83</v>
      </c>
      <c r="H73" s="7">
        <v>11899</v>
      </c>
      <c r="I73" s="7">
        <v>9833</v>
      </c>
      <c r="J73" s="7">
        <v>12542</v>
      </c>
      <c r="K73" s="7">
        <v>6660</v>
      </c>
      <c r="L73" s="7">
        <v>9307</v>
      </c>
      <c r="M73" s="7">
        <v>9806</v>
      </c>
      <c r="N73" s="7">
        <v>20823</v>
      </c>
      <c r="O73" s="7">
        <v>3346</v>
      </c>
      <c r="P73" s="7">
        <v>7465</v>
      </c>
      <c r="Q73" s="7">
        <v>5143</v>
      </c>
      <c r="R73" s="7">
        <v>18650</v>
      </c>
      <c r="S73" s="7">
        <v>4987</v>
      </c>
      <c r="T73" s="7">
        <v>4036</v>
      </c>
      <c r="U73" s="7">
        <v>9661</v>
      </c>
      <c r="V73" s="7">
        <v>14878</v>
      </c>
      <c r="W73" s="24">
        <f t="shared" si="6"/>
        <v>9935.733333333334</v>
      </c>
      <c r="X73" s="25">
        <f t="shared" si="7"/>
        <v>5158.688059500991</v>
      </c>
      <c r="Y73" s="25"/>
      <c r="Z73" s="26"/>
      <c r="AA73" s="7">
        <v>8151</v>
      </c>
      <c r="AB73" s="7">
        <v>5411</v>
      </c>
      <c r="AC73" s="7">
        <v>8290</v>
      </c>
      <c r="AD73" s="7">
        <v>9952</v>
      </c>
      <c r="AE73" s="7">
        <v>7336</v>
      </c>
      <c r="AF73" s="7">
        <v>12176</v>
      </c>
      <c r="AG73" s="7">
        <v>4331</v>
      </c>
      <c r="AH73" s="7">
        <v>5222</v>
      </c>
      <c r="AI73" s="7">
        <v>11777</v>
      </c>
      <c r="AJ73" s="7">
        <v>8705</v>
      </c>
      <c r="AK73" s="7">
        <v>6325</v>
      </c>
      <c r="AL73" s="7">
        <v>7627</v>
      </c>
      <c r="AM73" s="30">
        <f t="shared" si="8"/>
        <v>7941.916666666667</v>
      </c>
      <c r="AN73" s="30">
        <f t="shared" si="9"/>
        <v>2474.3386061488804</v>
      </c>
      <c r="AO73" s="30"/>
      <c r="AP73" s="29">
        <f t="shared" si="10"/>
        <v>0.7993286856866797</v>
      </c>
      <c r="AQ73" s="31">
        <f t="shared" si="11"/>
        <v>0.2311684049002308</v>
      </c>
      <c r="AR73" s="21" t="s">
        <v>754</v>
      </c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DM73" s="16"/>
      <c r="DN73" s="16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3"/>
      <c r="FW73" s="11"/>
    </row>
    <row r="74" spans="1:179" ht="18.75">
      <c r="A74" s="1" t="s">
        <v>1031</v>
      </c>
      <c r="B74" s="2" t="s">
        <v>1032</v>
      </c>
      <c r="C74" s="2" t="s">
        <v>494</v>
      </c>
      <c r="D74" s="2" t="str">
        <f>HYPERLINK("http://eros.fiehnlab.ucdavis.edu:8080/binbase-compound/bin/show/199802?db=rtx5","199802")</f>
        <v>199802</v>
      </c>
      <c r="E74" s="2" t="s">
        <v>658</v>
      </c>
      <c r="F74" s="2" t="s">
        <v>83</v>
      </c>
      <c r="G74" s="2" t="s">
        <v>83</v>
      </c>
      <c r="H74" s="7">
        <v>6839</v>
      </c>
      <c r="I74" s="7">
        <v>9885</v>
      </c>
      <c r="J74" s="7">
        <v>2276</v>
      </c>
      <c r="K74" s="7">
        <v>4429</v>
      </c>
      <c r="L74" s="7">
        <v>15772</v>
      </c>
      <c r="M74" s="7">
        <v>5658</v>
      </c>
      <c r="N74" s="7">
        <v>7192</v>
      </c>
      <c r="O74" s="7">
        <v>14067</v>
      </c>
      <c r="P74" s="7">
        <v>9802</v>
      </c>
      <c r="Q74" s="7">
        <v>5547</v>
      </c>
      <c r="R74" s="7">
        <v>8771</v>
      </c>
      <c r="S74" s="7">
        <v>7139</v>
      </c>
      <c r="T74" s="7">
        <v>7205</v>
      </c>
      <c r="U74" s="7">
        <v>3029</v>
      </c>
      <c r="V74" s="7">
        <v>6863</v>
      </c>
      <c r="W74" s="24">
        <f t="shared" si="6"/>
        <v>7631.6</v>
      </c>
      <c r="X74" s="25">
        <f t="shared" si="7"/>
        <v>3673.9205956113346</v>
      </c>
      <c r="Y74" s="25"/>
      <c r="Z74" s="26"/>
      <c r="AA74" s="7">
        <v>5032</v>
      </c>
      <c r="AB74" s="7">
        <v>3674</v>
      </c>
      <c r="AC74" s="7">
        <v>4053</v>
      </c>
      <c r="AD74" s="7">
        <v>4035</v>
      </c>
      <c r="AE74" s="7">
        <v>3737</v>
      </c>
      <c r="AF74" s="7">
        <v>9089</v>
      </c>
      <c r="AG74" s="7">
        <v>10607</v>
      </c>
      <c r="AH74" s="7">
        <v>8099</v>
      </c>
      <c r="AI74" s="7">
        <v>5053</v>
      </c>
      <c r="AJ74" s="7">
        <v>5894</v>
      </c>
      <c r="AK74" s="7">
        <v>4924</v>
      </c>
      <c r="AL74" s="7">
        <v>9247</v>
      </c>
      <c r="AM74" s="30">
        <f t="shared" si="8"/>
        <v>6120.333333333333</v>
      </c>
      <c r="AN74" s="30">
        <f t="shared" si="9"/>
        <v>2462.9572518097884</v>
      </c>
      <c r="AO74" s="30"/>
      <c r="AP74" s="29">
        <f t="shared" si="10"/>
        <v>0.8019725003057462</v>
      </c>
      <c r="AQ74" s="31">
        <f t="shared" si="11"/>
        <v>0.23380288117932702</v>
      </c>
      <c r="AR74" s="21" t="s">
        <v>1031</v>
      </c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DM74" s="16"/>
      <c r="DN74" s="16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3"/>
      <c r="FW74" s="11"/>
    </row>
    <row r="75" spans="1:179" ht="18.75">
      <c r="A75" s="1" t="s">
        <v>470</v>
      </c>
      <c r="B75" s="2" t="s">
        <v>471</v>
      </c>
      <c r="C75" s="2" t="s">
        <v>472</v>
      </c>
      <c r="D75" s="2" t="str">
        <f>HYPERLINK("http://eros.fiehnlab.ucdavis.edu:8080/binbase-compound/bin/show/221584?db=rtx5","221584")</f>
        <v>221584</v>
      </c>
      <c r="E75" s="2" t="s">
        <v>597</v>
      </c>
      <c r="F75" s="2" t="str">
        <f>HYPERLINK("http://www.genome.ad.jp/dbget-bin/www_bget?compound+C08374","C08374")</f>
        <v>C08374</v>
      </c>
      <c r="G75" s="2" t="str">
        <f>HYPERLINK("http://pubchem.ncbi.nlm.nih.gov/summary/summary.cgi?cid=8182","8182")</f>
        <v>8182</v>
      </c>
      <c r="H75" s="7">
        <v>671</v>
      </c>
      <c r="I75" s="7">
        <v>818</v>
      </c>
      <c r="J75" s="7">
        <v>2665</v>
      </c>
      <c r="K75" s="7">
        <v>862</v>
      </c>
      <c r="L75" s="7">
        <v>463</v>
      </c>
      <c r="M75" s="7">
        <v>698</v>
      </c>
      <c r="N75" s="7">
        <v>839</v>
      </c>
      <c r="O75" s="7">
        <v>590</v>
      </c>
      <c r="P75" s="7">
        <v>882</v>
      </c>
      <c r="Q75" s="7">
        <v>769</v>
      </c>
      <c r="R75" s="7">
        <v>1067</v>
      </c>
      <c r="S75" s="7">
        <v>740</v>
      </c>
      <c r="T75" s="7">
        <v>726</v>
      </c>
      <c r="U75" s="7">
        <v>977</v>
      </c>
      <c r="V75" s="7">
        <v>954</v>
      </c>
      <c r="W75" s="24">
        <f t="shared" si="6"/>
        <v>914.7333333333333</v>
      </c>
      <c r="X75" s="25">
        <f t="shared" si="7"/>
        <v>508.0963725608793</v>
      </c>
      <c r="Y75" s="25"/>
      <c r="Z75" s="26"/>
      <c r="AA75" s="7">
        <v>617</v>
      </c>
      <c r="AB75" s="7">
        <v>814</v>
      </c>
      <c r="AC75" s="7">
        <v>795</v>
      </c>
      <c r="AD75" s="7">
        <v>597</v>
      </c>
      <c r="AE75" s="7">
        <v>720</v>
      </c>
      <c r="AF75" s="7">
        <v>1033</v>
      </c>
      <c r="AG75" s="7">
        <v>747</v>
      </c>
      <c r="AH75" s="7">
        <v>642</v>
      </c>
      <c r="AI75" s="7">
        <v>860</v>
      </c>
      <c r="AJ75" s="7">
        <v>644</v>
      </c>
      <c r="AK75" s="7">
        <v>537</v>
      </c>
      <c r="AL75" s="7">
        <v>799</v>
      </c>
      <c r="AM75" s="30">
        <f t="shared" si="8"/>
        <v>733.75</v>
      </c>
      <c r="AN75" s="30">
        <f t="shared" si="9"/>
        <v>137.4502389296511</v>
      </c>
      <c r="AO75" s="30"/>
      <c r="AP75" s="29">
        <f t="shared" si="10"/>
        <v>0.8021463450185846</v>
      </c>
      <c r="AQ75" s="31">
        <f t="shared" si="11"/>
        <v>0.24325344085671197</v>
      </c>
      <c r="AR75" s="21" t="s">
        <v>470</v>
      </c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DM75" s="16"/>
      <c r="DN75" s="16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3"/>
      <c r="FW75" s="11"/>
    </row>
    <row r="76" spans="1:179" ht="18.75">
      <c r="A76" s="1" t="s">
        <v>1077</v>
      </c>
      <c r="B76" s="2" t="s">
        <v>214</v>
      </c>
      <c r="C76" s="2" t="s">
        <v>215</v>
      </c>
      <c r="D76" s="2" t="str">
        <f>HYPERLINK("http://eros.fiehnlab.ucdavis.edu:8080/binbase-compound/bin/show/304993?db=rtx5","304993")</f>
        <v>304993</v>
      </c>
      <c r="E76" s="2" t="s">
        <v>1107</v>
      </c>
      <c r="F76" s="2" t="str">
        <f>HYPERLINK("http://www.genome.ad.jp/dbget-bin/www_bget?compound+C00366","C00366")</f>
        <v>C00366</v>
      </c>
      <c r="G76" s="2" t="str">
        <f>HYPERLINK("http://pubchem.ncbi.nlm.nih.gov/summary/summary.cgi?cid=1175","1175")</f>
        <v>1175</v>
      </c>
      <c r="H76" s="7">
        <v>86434</v>
      </c>
      <c r="I76" s="7">
        <v>62531</v>
      </c>
      <c r="J76" s="7">
        <v>62423</v>
      </c>
      <c r="K76" s="7">
        <v>66400</v>
      </c>
      <c r="L76" s="7">
        <v>79289</v>
      </c>
      <c r="M76" s="7">
        <v>100955</v>
      </c>
      <c r="N76" s="7">
        <v>115799</v>
      </c>
      <c r="O76" s="7">
        <v>44837</v>
      </c>
      <c r="P76" s="7">
        <v>112127</v>
      </c>
      <c r="Q76" s="7">
        <v>83689</v>
      </c>
      <c r="R76" s="7">
        <v>102126</v>
      </c>
      <c r="S76" s="7">
        <v>104205</v>
      </c>
      <c r="T76" s="7">
        <v>82205</v>
      </c>
      <c r="U76" s="7">
        <v>92740</v>
      </c>
      <c r="V76" s="7">
        <v>102214</v>
      </c>
      <c r="W76" s="24">
        <f t="shared" si="6"/>
        <v>86531.6</v>
      </c>
      <c r="X76" s="25">
        <f t="shared" si="7"/>
        <v>20598.188123508073</v>
      </c>
      <c r="Y76" s="25"/>
      <c r="Z76" s="26"/>
      <c r="AA76" s="7">
        <v>52538</v>
      </c>
      <c r="AB76" s="7">
        <v>58958</v>
      </c>
      <c r="AC76" s="7">
        <v>65446</v>
      </c>
      <c r="AD76" s="7">
        <v>65396</v>
      </c>
      <c r="AE76" s="7">
        <v>39624</v>
      </c>
      <c r="AF76" s="7">
        <v>78552</v>
      </c>
      <c r="AG76" s="7">
        <v>56827</v>
      </c>
      <c r="AH76" s="7">
        <v>94317</v>
      </c>
      <c r="AI76" s="7">
        <v>81850</v>
      </c>
      <c r="AJ76" s="7">
        <v>73520</v>
      </c>
      <c r="AK76" s="7">
        <v>91397</v>
      </c>
      <c r="AL76" s="7">
        <v>75015</v>
      </c>
      <c r="AM76" s="30">
        <f t="shared" si="8"/>
        <v>69453.33333333333</v>
      </c>
      <c r="AN76" s="30">
        <f t="shared" si="9"/>
        <v>16129.233873105477</v>
      </c>
      <c r="AO76" s="30"/>
      <c r="AP76" s="29">
        <f t="shared" si="10"/>
        <v>0.8026354919281895</v>
      </c>
      <c r="AQ76" s="31">
        <f t="shared" si="11"/>
        <v>0.026966552235353117</v>
      </c>
      <c r="AR76" s="21" t="s">
        <v>1077</v>
      </c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DM76" s="16"/>
      <c r="DN76" s="16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3"/>
      <c r="FW76" s="11"/>
    </row>
    <row r="77" spans="1:179" ht="18.75">
      <c r="A77" s="1" t="s">
        <v>314</v>
      </c>
      <c r="B77" s="2" t="s">
        <v>315</v>
      </c>
      <c r="C77" s="2" t="s">
        <v>316</v>
      </c>
      <c r="D77" s="2" t="str">
        <f>HYPERLINK("http://eros.fiehnlab.ucdavis.edu:8080/binbase-compound/bin/show/199593?db=rtx5","199593")</f>
        <v>199593</v>
      </c>
      <c r="E77" s="2" t="s">
        <v>1103</v>
      </c>
      <c r="F77" s="2" t="str">
        <f>HYPERLINK("http://www.genome.ad.jp/dbget-bin/www_bget?compound+C01879","C01879")</f>
        <v>C01879</v>
      </c>
      <c r="G77" s="2" t="str">
        <f>HYPERLINK("http://pubchem.ncbi.nlm.nih.gov/summary/summary.cgi?cid=7405","7405")</f>
        <v>7405</v>
      </c>
      <c r="H77" s="7">
        <v>184285</v>
      </c>
      <c r="I77" s="7">
        <v>150382</v>
      </c>
      <c r="J77" s="7">
        <v>125877</v>
      </c>
      <c r="K77" s="7">
        <v>126479</v>
      </c>
      <c r="L77" s="7">
        <v>141977</v>
      </c>
      <c r="M77" s="7">
        <v>122976</v>
      </c>
      <c r="N77" s="7">
        <v>224167</v>
      </c>
      <c r="O77" s="7">
        <v>121637</v>
      </c>
      <c r="P77" s="7">
        <v>151923</v>
      </c>
      <c r="Q77" s="7">
        <v>136556</v>
      </c>
      <c r="R77" s="7">
        <v>160017</v>
      </c>
      <c r="S77" s="7">
        <v>85995</v>
      </c>
      <c r="T77" s="7">
        <v>87158</v>
      </c>
      <c r="U77" s="7">
        <v>113573</v>
      </c>
      <c r="V77" s="7">
        <v>140709</v>
      </c>
      <c r="W77" s="24">
        <f t="shared" si="6"/>
        <v>138247.4</v>
      </c>
      <c r="X77" s="25">
        <f t="shared" si="7"/>
        <v>34931.119704764256</v>
      </c>
      <c r="Y77" s="25"/>
      <c r="Z77" s="26"/>
      <c r="AA77" s="7">
        <v>75885</v>
      </c>
      <c r="AB77" s="7">
        <v>105295</v>
      </c>
      <c r="AC77" s="7">
        <v>107262</v>
      </c>
      <c r="AD77" s="7">
        <v>108152</v>
      </c>
      <c r="AE77" s="7">
        <v>118555</v>
      </c>
      <c r="AF77" s="7">
        <v>174415</v>
      </c>
      <c r="AG77" s="7">
        <v>176997</v>
      </c>
      <c r="AH77" s="7">
        <v>71940</v>
      </c>
      <c r="AI77" s="7">
        <v>123311</v>
      </c>
      <c r="AJ77" s="7">
        <v>99596</v>
      </c>
      <c r="AK77" s="7">
        <v>74565</v>
      </c>
      <c r="AL77" s="7">
        <v>100980</v>
      </c>
      <c r="AM77" s="30">
        <f t="shared" si="8"/>
        <v>111412.75</v>
      </c>
      <c r="AN77" s="30">
        <f t="shared" si="9"/>
        <v>34318.03007200045</v>
      </c>
      <c r="AO77" s="30"/>
      <c r="AP77" s="29">
        <f t="shared" si="10"/>
        <v>0.8058939987298134</v>
      </c>
      <c r="AQ77" s="31">
        <f t="shared" si="11"/>
        <v>0.05660394063393746</v>
      </c>
      <c r="AR77" s="21" t="s">
        <v>314</v>
      </c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DM77" s="16"/>
      <c r="DN77" s="16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3"/>
      <c r="FW77" s="11"/>
    </row>
    <row r="78" spans="1:179" ht="18.75">
      <c r="A78" s="1" t="s">
        <v>747</v>
      </c>
      <c r="B78" s="2" t="s">
        <v>748</v>
      </c>
      <c r="C78" s="2" t="s">
        <v>749</v>
      </c>
      <c r="D78" s="2" t="str">
        <f>HYPERLINK("http://eros.fiehnlab.ucdavis.edu:8080/binbase-compound/bin/show/303091?db=rtx5","303091")</f>
        <v>303091</v>
      </c>
      <c r="E78" s="2" t="s">
        <v>72</v>
      </c>
      <c r="F78" s="2" t="s">
        <v>83</v>
      </c>
      <c r="G78" s="2" t="s">
        <v>83</v>
      </c>
      <c r="H78" s="7">
        <v>4302</v>
      </c>
      <c r="I78" s="7">
        <v>1890</v>
      </c>
      <c r="J78" s="7">
        <v>5664</v>
      </c>
      <c r="K78" s="7">
        <v>3842</v>
      </c>
      <c r="L78" s="7">
        <v>5223</v>
      </c>
      <c r="M78" s="7">
        <v>3558</v>
      </c>
      <c r="N78" s="7">
        <v>5535</v>
      </c>
      <c r="O78" s="7">
        <v>862</v>
      </c>
      <c r="P78" s="7">
        <v>1036</v>
      </c>
      <c r="Q78" s="7">
        <v>1835</v>
      </c>
      <c r="R78" s="7">
        <v>5574</v>
      </c>
      <c r="S78" s="7">
        <v>2723</v>
      </c>
      <c r="T78" s="7">
        <v>1476</v>
      </c>
      <c r="U78" s="7">
        <v>3985</v>
      </c>
      <c r="V78" s="7">
        <v>8148</v>
      </c>
      <c r="W78" s="24">
        <f t="shared" si="6"/>
        <v>3710.2</v>
      </c>
      <c r="X78" s="25">
        <f t="shared" si="7"/>
        <v>2089.5863637161715</v>
      </c>
      <c r="Y78" s="25"/>
      <c r="Z78" s="26"/>
      <c r="AA78" s="7">
        <v>1670</v>
      </c>
      <c r="AB78" s="7">
        <v>2535</v>
      </c>
      <c r="AC78" s="7">
        <v>1103</v>
      </c>
      <c r="AD78" s="7">
        <v>5777</v>
      </c>
      <c r="AE78" s="7">
        <v>1815</v>
      </c>
      <c r="AF78" s="7">
        <v>3256</v>
      </c>
      <c r="AG78" s="7">
        <v>1975</v>
      </c>
      <c r="AH78" s="7">
        <v>1584</v>
      </c>
      <c r="AI78" s="7">
        <v>5310</v>
      </c>
      <c r="AJ78" s="7">
        <v>6776</v>
      </c>
      <c r="AK78" s="7">
        <v>1666</v>
      </c>
      <c r="AL78" s="7">
        <v>2595</v>
      </c>
      <c r="AM78" s="30">
        <f t="shared" si="8"/>
        <v>3005.1666666666665</v>
      </c>
      <c r="AN78" s="30">
        <f t="shared" si="9"/>
        <v>1891.5708158869315</v>
      </c>
      <c r="AO78" s="30"/>
      <c r="AP78" s="29">
        <f t="shared" si="10"/>
        <v>0.8099743050689091</v>
      </c>
      <c r="AQ78" s="31">
        <f t="shared" si="11"/>
        <v>0.37255716761676305</v>
      </c>
      <c r="AR78" s="21" t="s">
        <v>747</v>
      </c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DM78" s="16"/>
      <c r="DN78" s="16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3"/>
      <c r="FW78" s="11"/>
    </row>
    <row r="79" spans="1:179" ht="18.75">
      <c r="A79" s="1" t="s">
        <v>525</v>
      </c>
      <c r="B79" s="2" t="s">
        <v>526</v>
      </c>
      <c r="C79" s="2" t="s">
        <v>463</v>
      </c>
      <c r="D79" s="2" t="str">
        <f>HYPERLINK("http://eros.fiehnlab.ucdavis.edu:8080/binbase-compound/bin/show/362135?db=rtx5","362135")</f>
        <v>362135</v>
      </c>
      <c r="E79" s="2" t="s">
        <v>638</v>
      </c>
      <c r="F79" s="2" t="str">
        <f>HYPERLINK("http://www.genome.ad.jp/dbget-bin/www_bget?compound+C01904","C01904")</f>
        <v>C01904</v>
      </c>
      <c r="G79" s="2" t="str">
        <f>HYPERLINK("http://pubchem.ncbi.nlm.nih.gov/summary/summary.cgi?cid=94154","94154")</f>
        <v>94154</v>
      </c>
      <c r="H79" s="7">
        <v>599</v>
      </c>
      <c r="I79" s="7">
        <v>564</v>
      </c>
      <c r="J79" s="7">
        <v>217</v>
      </c>
      <c r="K79" s="7">
        <v>223</v>
      </c>
      <c r="L79" s="7">
        <v>633</v>
      </c>
      <c r="M79" s="7">
        <v>391</v>
      </c>
      <c r="N79" s="7">
        <v>470</v>
      </c>
      <c r="O79" s="7">
        <v>460</v>
      </c>
      <c r="P79" s="7">
        <v>687</v>
      </c>
      <c r="Q79" s="7">
        <v>348</v>
      </c>
      <c r="R79" s="7">
        <v>1109</v>
      </c>
      <c r="S79" s="7">
        <v>367</v>
      </c>
      <c r="T79" s="7">
        <v>671</v>
      </c>
      <c r="U79" s="7">
        <v>435</v>
      </c>
      <c r="V79" s="7">
        <v>735</v>
      </c>
      <c r="W79" s="24">
        <f t="shared" si="6"/>
        <v>527.2666666666667</v>
      </c>
      <c r="X79" s="25">
        <f t="shared" si="7"/>
        <v>227.8732312576655</v>
      </c>
      <c r="Y79" s="25"/>
      <c r="Z79" s="26"/>
      <c r="AA79" s="7">
        <v>392</v>
      </c>
      <c r="AB79" s="7">
        <v>390</v>
      </c>
      <c r="AC79" s="7">
        <v>332</v>
      </c>
      <c r="AD79" s="7">
        <v>347</v>
      </c>
      <c r="AE79" s="7">
        <v>425</v>
      </c>
      <c r="AF79" s="7">
        <v>555</v>
      </c>
      <c r="AG79" s="7">
        <v>354</v>
      </c>
      <c r="AH79" s="7">
        <v>360</v>
      </c>
      <c r="AI79" s="7">
        <v>310</v>
      </c>
      <c r="AJ79" s="7">
        <v>618</v>
      </c>
      <c r="AK79" s="7">
        <v>523</v>
      </c>
      <c r="AL79" s="7">
        <v>538</v>
      </c>
      <c r="AM79" s="30">
        <f t="shared" si="8"/>
        <v>428.6666666666667</v>
      </c>
      <c r="AN79" s="30">
        <f t="shared" si="9"/>
        <v>102.64620024259256</v>
      </c>
      <c r="AO79" s="30"/>
      <c r="AP79" s="29">
        <f t="shared" si="10"/>
        <v>0.8129978505500064</v>
      </c>
      <c r="AQ79" s="31">
        <f t="shared" si="11"/>
        <v>0.1778334505558227</v>
      </c>
      <c r="AR79" s="21" t="s">
        <v>525</v>
      </c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DM79" s="16"/>
      <c r="DN79" s="16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3"/>
      <c r="FW79" s="11"/>
    </row>
    <row r="80" spans="1:179" ht="18.75">
      <c r="A80" s="1" t="s">
        <v>1090</v>
      </c>
      <c r="B80" s="2" t="s">
        <v>759</v>
      </c>
      <c r="C80" s="2" t="s">
        <v>676</v>
      </c>
      <c r="D80" s="2" t="str">
        <f>HYPERLINK("http://eros.fiehnlab.ucdavis.edu:8080/binbase-compound/bin/show/236689?db=rtx5","236689")</f>
        <v>236689</v>
      </c>
      <c r="E80" s="2" t="s">
        <v>1140</v>
      </c>
      <c r="F80" s="2" t="s">
        <v>83</v>
      </c>
      <c r="G80" s="2" t="s">
        <v>83</v>
      </c>
      <c r="H80" s="7">
        <v>17915</v>
      </c>
      <c r="I80" s="7">
        <v>12294</v>
      </c>
      <c r="J80" s="7">
        <v>8934</v>
      </c>
      <c r="K80" s="7">
        <v>10049</v>
      </c>
      <c r="L80" s="7">
        <v>15422</v>
      </c>
      <c r="M80" s="7">
        <v>16786</v>
      </c>
      <c r="N80" s="7">
        <v>7103</v>
      </c>
      <c r="O80" s="7">
        <v>11889</v>
      </c>
      <c r="P80" s="7">
        <v>13959</v>
      </c>
      <c r="Q80" s="7">
        <v>12369</v>
      </c>
      <c r="R80" s="7">
        <v>17380</v>
      </c>
      <c r="S80" s="7">
        <v>11583</v>
      </c>
      <c r="T80" s="7">
        <v>18370</v>
      </c>
      <c r="U80" s="7">
        <v>13161</v>
      </c>
      <c r="V80" s="7">
        <v>22645</v>
      </c>
      <c r="W80" s="24">
        <f t="shared" si="6"/>
        <v>13990.6</v>
      </c>
      <c r="X80" s="25">
        <f t="shared" si="7"/>
        <v>4103.873428151227</v>
      </c>
      <c r="Y80" s="25"/>
      <c r="Z80" s="26"/>
      <c r="AA80" s="7">
        <v>5778</v>
      </c>
      <c r="AB80" s="7">
        <v>6920</v>
      </c>
      <c r="AC80" s="7">
        <v>12567</v>
      </c>
      <c r="AD80" s="7">
        <v>12459</v>
      </c>
      <c r="AE80" s="7">
        <v>7639</v>
      </c>
      <c r="AF80" s="7">
        <v>6834</v>
      </c>
      <c r="AG80" s="7">
        <v>12288</v>
      </c>
      <c r="AH80" s="7">
        <v>15779</v>
      </c>
      <c r="AI80" s="7">
        <v>12111</v>
      </c>
      <c r="AJ80" s="7">
        <v>20799</v>
      </c>
      <c r="AK80" s="7">
        <v>10659</v>
      </c>
      <c r="AL80" s="7">
        <v>12761</v>
      </c>
      <c r="AM80" s="30">
        <f t="shared" si="8"/>
        <v>11382.833333333334</v>
      </c>
      <c r="AN80" s="30">
        <f t="shared" si="9"/>
        <v>4267.881139891601</v>
      </c>
      <c r="AO80" s="30"/>
      <c r="AP80" s="29">
        <f t="shared" si="10"/>
        <v>0.8136058019908605</v>
      </c>
      <c r="AQ80" s="31">
        <f t="shared" si="11"/>
        <v>0.11950726453647599</v>
      </c>
      <c r="AR80" s="21" t="s">
        <v>1090</v>
      </c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DM80" s="16"/>
      <c r="DN80" s="16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3"/>
      <c r="FW80" s="11"/>
    </row>
    <row r="81" spans="1:179" ht="18.75">
      <c r="A81" s="1" t="s">
        <v>786</v>
      </c>
      <c r="B81" s="2" t="s">
        <v>787</v>
      </c>
      <c r="C81" s="2" t="s">
        <v>788</v>
      </c>
      <c r="D81" s="2" t="str">
        <f>HYPERLINK("http://eros.fiehnlab.ucdavis.edu:8080/binbase-compound/bin/show/294986?db=rtx5","294986")</f>
        <v>294986</v>
      </c>
      <c r="E81" s="2" t="s">
        <v>150</v>
      </c>
      <c r="F81" s="2" t="s">
        <v>83</v>
      </c>
      <c r="G81" s="2" t="s">
        <v>83</v>
      </c>
      <c r="H81" s="7">
        <v>119</v>
      </c>
      <c r="I81" s="7">
        <v>257</v>
      </c>
      <c r="J81" s="7">
        <v>529</v>
      </c>
      <c r="K81" s="7">
        <v>1523</v>
      </c>
      <c r="L81" s="7">
        <v>556</v>
      </c>
      <c r="M81" s="7">
        <v>1358</v>
      </c>
      <c r="N81" s="7">
        <v>2226</v>
      </c>
      <c r="O81" s="7">
        <v>303</v>
      </c>
      <c r="P81" s="7">
        <v>345</v>
      </c>
      <c r="Q81" s="7">
        <v>1283</v>
      </c>
      <c r="R81" s="7">
        <v>2217</v>
      </c>
      <c r="S81" s="7">
        <v>872</v>
      </c>
      <c r="T81" s="7">
        <v>880</v>
      </c>
      <c r="U81" s="7">
        <v>309</v>
      </c>
      <c r="V81" s="7">
        <v>750</v>
      </c>
      <c r="W81" s="24">
        <f t="shared" si="6"/>
        <v>901.8</v>
      </c>
      <c r="X81" s="25">
        <f t="shared" si="7"/>
        <v>684.2140642476488</v>
      </c>
      <c r="Y81" s="25"/>
      <c r="Z81" s="26"/>
      <c r="AA81" s="7">
        <v>694</v>
      </c>
      <c r="AB81" s="7">
        <v>1071</v>
      </c>
      <c r="AC81" s="7">
        <v>997</v>
      </c>
      <c r="AD81" s="7">
        <v>355</v>
      </c>
      <c r="AE81" s="7">
        <v>359</v>
      </c>
      <c r="AF81" s="7">
        <v>227</v>
      </c>
      <c r="AG81" s="7">
        <v>322</v>
      </c>
      <c r="AH81" s="7">
        <v>544</v>
      </c>
      <c r="AI81" s="7">
        <v>1600</v>
      </c>
      <c r="AJ81" s="7">
        <v>341</v>
      </c>
      <c r="AK81" s="7">
        <v>818</v>
      </c>
      <c r="AL81" s="7">
        <v>1519</v>
      </c>
      <c r="AM81" s="30">
        <f t="shared" si="8"/>
        <v>737.25</v>
      </c>
      <c r="AN81" s="30">
        <f t="shared" si="9"/>
        <v>472.8113452338239</v>
      </c>
      <c r="AO81" s="30"/>
      <c r="AP81" s="29">
        <f t="shared" si="10"/>
        <v>0.8175316034597472</v>
      </c>
      <c r="AQ81" s="31">
        <f t="shared" si="11"/>
        <v>0.4857421271347966</v>
      </c>
      <c r="AR81" s="21" t="s">
        <v>786</v>
      </c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DM81" s="16"/>
      <c r="DN81" s="16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3"/>
      <c r="FW81" s="11"/>
    </row>
    <row r="82" spans="1:179" ht="18.75">
      <c r="A82" s="1" t="s">
        <v>95</v>
      </c>
      <c r="B82" s="2" t="s">
        <v>228</v>
      </c>
      <c r="C82" s="2" t="s">
        <v>229</v>
      </c>
      <c r="D82" s="2" t="str">
        <f>HYPERLINK("http://eros.fiehnlab.ucdavis.edu:8080/binbase-compound/bin/show/339458?db=rtx5","339458")</f>
        <v>339458</v>
      </c>
      <c r="E82" s="2" t="s">
        <v>580</v>
      </c>
      <c r="F82" s="2" t="str">
        <f>HYPERLINK("http://www.genome.ad.jp/dbget-bin/www_bget?compound+n/a","n/a")</f>
        <v>n/a</v>
      </c>
      <c r="G82" s="2" t="str">
        <f>HYPERLINK("http://pubchem.ncbi.nlm.nih.gov/summary/summary.cgi?cid=20221599","20221599")</f>
        <v>20221599</v>
      </c>
      <c r="H82" s="7">
        <v>304</v>
      </c>
      <c r="I82" s="7">
        <v>382</v>
      </c>
      <c r="J82" s="7">
        <v>1043</v>
      </c>
      <c r="K82" s="7">
        <v>279</v>
      </c>
      <c r="L82" s="7">
        <v>716</v>
      </c>
      <c r="M82" s="7">
        <v>451</v>
      </c>
      <c r="N82" s="7">
        <v>555</v>
      </c>
      <c r="O82" s="7">
        <v>215</v>
      </c>
      <c r="P82" s="7">
        <v>249</v>
      </c>
      <c r="Q82" s="7">
        <v>254</v>
      </c>
      <c r="R82" s="7">
        <v>587</v>
      </c>
      <c r="S82" s="7">
        <v>357</v>
      </c>
      <c r="T82" s="7">
        <v>240</v>
      </c>
      <c r="U82" s="7">
        <v>433</v>
      </c>
      <c r="V82" s="7">
        <v>896</v>
      </c>
      <c r="W82" s="24">
        <f t="shared" si="6"/>
        <v>464.06666666666666</v>
      </c>
      <c r="X82" s="25">
        <f t="shared" si="7"/>
        <v>252.19166936129764</v>
      </c>
      <c r="Y82" s="25"/>
      <c r="Z82" s="26"/>
      <c r="AA82" s="7">
        <v>270</v>
      </c>
      <c r="AB82" s="7">
        <v>363</v>
      </c>
      <c r="AC82" s="7">
        <v>229</v>
      </c>
      <c r="AD82" s="7">
        <v>605</v>
      </c>
      <c r="AE82" s="7">
        <v>405</v>
      </c>
      <c r="AF82" s="7">
        <v>301</v>
      </c>
      <c r="AG82" s="7">
        <v>249</v>
      </c>
      <c r="AH82" s="7">
        <v>215</v>
      </c>
      <c r="AI82" s="7">
        <v>429</v>
      </c>
      <c r="AJ82" s="7">
        <v>783</v>
      </c>
      <c r="AK82" s="7">
        <v>264</v>
      </c>
      <c r="AL82" s="7">
        <v>441</v>
      </c>
      <c r="AM82" s="30">
        <f t="shared" si="8"/>
        <v>379.5</v>
      </c>
      <c r="AN82" s="30">
        <f t="shared" si="9"/>
        <v>170.30747594758242</v>
      </c>
      <c r="AO82" s="30"/>
      <c r="AP82" s="29">
        <f t="shared" si="10"/>
        <v>0.817770435282287</v>
      </c>
      <c r="AQ82" s="31">
        <f t="shared" si="11"/>
        <v>0.33035710726863166</v>
      </c>
      <c r="AR82" s="21" t="s">
        <v>95</v>
      </c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DM82" s="16"/>
      <c r="DN82" s="16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3"/>
      <c r="FW82" s="11"/>
    </row>
    <row r="83" spans="1:179" ht="18.75">
      <c r="A83" s="1" t="s">
        <v>743</v>
      </c>
      <c r="B83" s="2" t="s">
        <v>744</v>
      </c>
      <c r="C83" s="2" t="s">
        <v>222</v>
      </c>
      <c r="D83" s="2" t="str">
        <f>HYPERLINK("http://eros.fiehnlab.ucdavis.edu:8080/binbase-compound/bin/show/307909?db=rtx5","307909")</f>
        <v>307909</v>
      </c>
      <c r="E83" s="2" t="s">
        <v>143</v>
      </c>
      <c r="F83" s="2" t="s">
        <v>83</v>
      </c>
      <c r="G83" s="2" t="s">
        <v>83</v>
      </c>
      <c r="H83" s="7">
        <v>1045</v>
      </c>
      <c r="I83" s="7">
        <v>621</v>
      </c>
      <c r="J83" s="7">
        <v>895</v>
      </c>
      <c r="K83" s="7">
        <v>1097</v>
      </c>
      <c r="L83" s="7">
        <v>2123</v>
      </c>
      <c r="M83" s="7">
        <v>1271</v>
      </c>
      <c r="N83" s="7">
        <v>2536</v>
      </c>
      <c r="O83" s="7">
        <v>428</v>
      </c>
      <c r="P83" s="7">
        <v>964</v>
      </c>
      <c r="Q83" s="7">
        <v>559</v>
      </c>
      <c r="R83" s="7">
        <v>1717</v>
      </c>
      <c r="S83" s="7">
        <v>1175</v>
      </c>
      <c r="T83" s="7">
        <v>1363</v>
      </c>
      <c r="U83" s="7">
        <v>733</v>
      </c>
      <c r="V83" s="7">
        <v>1228</v>
      </c>
      <c r="W83" s="24">
        <f t="shared" si="6"/>
        <v>1183.6666666666667</v>
      </c>
      <c r="X83" s="25">
        <f t="shared" si="7"/>
        <v>577.9694340245568</v>
      </c>
      <c r="Y83" s="25"/>
      <c r="Z83" s="26"/>
      <c r="AA83" s="7">
        <v>596</v>
      </c>
      <c r="AB83" s="7">
        <v>1366</v>
      </c>
      <c r="AC83" s="7">
        <v>445</v>
      </c>
      <c r="AD83" s="7">
        <v>1580</v>
      </c>
      <c r="AE83" s="7">
        <v>525</v>
      </c>
      <c r="AF83" s="7">
        <v>1623</v>
      </c>
      <c r="AG83" s="7">
        <v>425</v>
      </c>
      <c r="AH83" s="7">
        <v>374</v>
      </c>
      <c r="AI83" s="7">
        <v>816</v>
      </c>
      <c r="AJ83" s="7">
        <v>1899</v>
      </c>
      <c r="AK83" s="7">
        <v>312</v>
      </c>
      <c r="AL83" s="7">
        <v>1666</v>
      </c>
      <c r="AM83" s="30">
        <f t="shared" si="8"/>
        <v>968.9166666666666</v>
      </c>
      <c r="AN83" s="30">
        <f t="shared" si="9"/>
        <v>604.9203491269564</v>
      </c>
      <c r="AO83" s="30"/>
      <c r="AP83" s="29">
        <f t="shared" si="10"/>
        <v>0.8185722331737538</v>
      </c>
      <c r="AQ83" s="31">
        <f t="shared" si="11"/>
        <v>0.3562960870681079</v>
      </c>
      <c r="AR83" s="21" t="s">
        <v>743</v>
      </c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DM83" s="16"/>
      <c r="DN83" s="16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3"/>
      <c r="FW83" s="11"/>
    </row>
    <row r="84" spans="1:179" ht="18.75">
      <c r="A84" s="1" t="s">
        <v>901</v>
      </c>
      <c r="B84" s="2" t="s">
        <v>902</v>
      </c>
      <c r="C84" s="2" t="s">
        <v>266</v>
      </c>
      <c r="D84" s="2" t="str">
        <f>HYPERLINK("http://eros.fiehnlab.ucdavis.edu:8080/binbase-compound/bin/show/227352?db=rtx5","227352")</f>
        <v>227352</v>
      </c>
      <c r="E84" s="2" t="s">
        <v>154</v>
      </c>
      <c r="F84" s="2" t="s">
        <v>83</v>
      </c>
      <c r="G84" s="2" t="s">
        <v>83</v>
      </c>
      <c r="H84" s="7">
        <v>1541</v>
      </c>
      <c r="I84" s="7">
        <v>2441</v>
      </c>
      <c r="J84" s="7">
        <v>799</v>
      </c>
      <c r="K84" s="7">
        <v>1884</v>
      </c>
      <c r="L84" s="7">
        <v>509</v>
      </c>
      <c r="M84" s="7">
        <v>1105</v>
      </c>
      <c r="N84" s="7">
        <v>810</v>
      </c>
      <c r="O84" s="7">
        <v>575</v>
      </c>
      <c r="P84" s="7">
        <v>1888</v>
      </c>
      <c r="Q84" s="7">
        <v>1209</v>
      </c>
      <c r="R84" s="7">
        <v>1456</v>
      </c>
      <c r="S84" s="7">
        <v>972</v>
      </c>
      <c r="T84" s="7">
        <v>2073</v>
      </c>
      <c r="U84" s="7">
        <v>724</v>
      </c>
      <c r="V84" s="7">
        <v>1163</v>
      </c>
      <c r="W84" s="24">
        <f t="shared" si="6"/>
        <v>1276.6</v>
      </c>
      <c r="X84" s="25">
        <f t="shared" si="7"/>
        <v>585.9824229445795</v>
      </c>
      <c r="Y84" s="25"/>
      <c r="Z84" s="26"/>
      <c r="AA84" s="7">
        <v>1491</v>
      </c>
      <c r="AB84" s="7">
        <v>918</v>
      </c>
      <c r="AC84" s="7">
        <v>1166</v>
      </c>
      <c r="AD84" s="7">
        <v>544</v>
      </c>
      <c r="AE84" s="7">
        <v>699</v>
      </c>
      <c r="AF84" s="7">
        <v>1202</v>
      </c>
      <c r="AG84" s="7">
        <v>792</v>
      </c>
      <c r="AH84" s="7">
        <v>1874</v>
      </c>
      <c r="AI84" s="7">
        <v>1060</v>
      </c>
      <c r="AJ84" s="7">
        <v>490</v>
      </c>
      <c r="AK84" s="7">
        <v>691</v>
      </c>
      <c r="AL84" s="7">
        <v>1639</v>
      </c>
      <c r="AM84" s="30">
        <f t="shared" si="8"/>
        <v>1047.1666666666667</v>
      </c>
      <c r="AN84" s="30">
        <f t="shared" si="9"/>
        <v>443.40087204845827</v>
      </c>
      <c r="AO84" s="30"/>
      <c r="AP84" s="29">
        <f t="shared" si="10"/>
        <v>0.8202778212961513</v>
      </c>
      <c r="AQ84" s="31">
        <f t="shared" si="11"/>
        <v>0.2725509276486444</v>
      </c>
      <c r="AR84" s="21" t="s">
        <v>901</v>
      </c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DM84" s="16"/>
      <c r="DN84" s="16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3"/>
      <c r="FW84" s="11"/>
    </row>
    <row r="85" spans="1:179" ht="18.75">
      <c r="A85" s="1" t="s">
        <v>852</v>
      </c>
      <c r="B85" s="2" t="s">
        <v>853</v>
      </c>
      <c r="C85" s="2" t="s">
        <v>251</v>
      </c>
      <c r="D85" s="2" t="str">
        <f>HYPERLINK("http://eros.fiehnlab.ucdavis.edu:8080/binbase-compound/bin/show/241882?db=rtx5","241882")</f>
        <v>241882</v>
      </c>
      <c r="E85" s="2" t="s">
        <v>78</v>
      </c>
      <c r="F85" s="2" t="s">
        <v>83</v>
      </c>
      <c r="G85" s="2" t="s">
        <v>83</v>
      </c>
      <c r="H85" s="7">
        <v>6883</v>
      </c>
      <c r="I85" s="7">
        <v>4418</v>
      </c>
      <c r="J85" s="7">
        <v>7514</v>
      </c>
      <c r="K85" s="7">
        <v>7430</v>
      </c>
      <c r="L85" s="7">
        <v>10829</v>
      </c>
      <c r="M85" s="7">
        <v>6215</v>
      </c>
      <c r="N85" s="7">
        <v>7510</v>
      </c>
      <c r="O85" s="7">
        <v>3160</v>
      </c>
      <c r="P85" s="7">
        <v>2786</v>
      </c>
      <c r="Q85" s="7">
        <v>4126</v>
      </c>
      <c r="R85" s="7">
        <v>8599</v>
      </c>
      <c r="S85" s="7">
        <v>5267</v>
      </c>
      <c r="T85" s="7">
        <v>4301</v>
      </c>
      <c r="U85" s="7">
        <v>7711</v>
      </c>
      <c r="V85" s="7">
        <v>13152</v>
      </c>
      <c r="W85" s="24">
        <f t="shared" si="6"/>
        <v>6660.066666666667</v>
      </c>
      <c r="X85" s="25">
        <f t="shared" si="7"/>
        <v>2839.6974553806317</v>
      </c>
      <c r="Y85" s="25"/>
      <c r="Z85" s="26"/>
      <c r="AA85" s="7">
        <v>3766</v>
      </c>
      <c r="AB85" s="7">
        <v>5710</v>
      </c>
      <c r="AC85" s="7">
        <v>3583</v>
      </c>
      <c r="AD85" s="7">
        <v>6569</v>
      </c>
      <c r="AE85" s="7">
        <v>4623</v>
      </c>
      <c r="AF85" s="7">
        <v>4922</v>
      </c>
      <c r="AG85" s="7">
        <v>4716</v>
      </c>
      <c r="AH85" s="7">
        <v>3589</v>
      </c>
      <c r="AI85" s="7">
        <v>8436</v>
      </c>
      <c r="AJ85" s="7">
        <v>8832</v>
      </c>
      <c r="AK85" s="7">
        <v>5213</v>
      </c>
      <c r="AL85" s="7">
        <v>5899</v>
      </c>
      <c r="AM85" s="30">
        <f t="shared" si="8"/>
        <v>5488.166666666667</v>
      </c>
      <c r="AN85" s="30">
        <f t="shared" si="9"/>
        <v>1737.3047481310782</v>
      </c>
      <c r="AO85" s="30"/>
      <c r="AP85" s="29">
        <f t="shared" si="10"/>
        <v>0.8240408003923885</v>
      </c>
      <c r="AQ85" s="31">
        <f t="shared" si="11"/>
        <v>0.22226754962298664</v>
      </c>
      <c r="AR85" s="21" t="s">
        <v>852</v>
      </c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DM85" s="16"/>
      <c r="DN85" s="16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3"/>
      <c r="FW85" s="11"/>
    </row>
    <row r="86" spans="1:179" ht="18.75">
      <c r="A86" s="1" t="s">
        <v>92</v>
      </c>
      <c r="B86" s="2" t="s">
        <v>323</v>
      </c>
      <c r="C86" s="2" t="s">
        <v>210</v>
      </c>
      <c r="D86" s="2" t="str">
        <f>HYPERLINK("http://eros.fiehnlab.ucdavis.edu:8080/binbase-compound/bin/show/223498?db=rtx5","223498")</f>
        <v>223498</v>
      </c>
      <c r="E86" s="2" t="s">
        <v>636</v>
      </c>
      <c r="F86" s="2" t="str">
        <f>HYPERLINK("http://www.genome.ad.jp/dbget-bin/www_bget?compound+n/a","n/a")</f>
        <v>n/a</v>
      </c>
      <c r="G86" s="2" t="str">
        <f>HYPERLINK("http://pubchem.ncbi.nlm.nih.gov/summary/summary.cgi?cid=5283387","5283387")</f>
        <v>5283387</v>
      </c>
      <c r="H86" s="7">
        <v>4129</v>
      </c>
      <c r="I86" s="7">
        <v>3011</v>
      </c>
      <c r="J86" s="7">
        <v>1222</v>
      </c>
      <c r="K86" s="7">
        <v>2234</v>
      </c>
      <c r="L86" s="7">
        <v>1544</v>
      </c>
      <c r="M86" s="7">
        <v>3690</v>
      </c>
      <c r="N86" s="7">
        <v>1865</v>
      </c>
      <c r="O86" s="7">
        <v>1862</v>
      </c>
      <c r="P86" s="7">
        <v>3910</v>
      </c>
      <c r="Q86" s="7">
        <v>1875</v>
      </c>
      <c r="R86" s="7">
        <v>2837</v>
      </c>
      <c r="S86" s="7">
        <v>5638</v>
      </c>
      <c r="T86" s="7">
        <v>7062</v>
      </c>
      <c r="U86" s="7">
        <v>6985</v>
      </c>
      <c r="V86" s="7">
        <v>4974</v>
      </c>
      <c r="W86" s="24">
        <f t="shared" si="6"/>
        <v>3522.5333333333333</v>
      </c>
      <c r="X86" s="25">
        <f t="shared" si="7"/>
        <v>1917.2631858483912</v>
      </c>
      <c r="Y86" s="25"/>
      <c r="Z86" s="26"/>
      <c r="AA86" s="7">
        <v>1729</v>
      </c>
      <c r="AB86" s="7">
        <v>1603</v>
      </c>
      <c r="AC86" s="7">
        <v>2175</v>
      </c>
      <c r="AD86" s="7">
        <v>1126</v>
      </c>
      <c r="AE86" s="7">
        <v>1177</v>
      </c>
      <c r="AF86" s="7">
        <v>6584</v>
      </c>
      <c r="AG86" s="7">
        <v>3390</v>
      </c>
      <c r="AH86" s="7">
        <v>2869</v>
      </c>
      <c r="AI86" s="7">
        <v>4260</v>
      </c>
      <c r="AJ86" s="7">
        <v>2246</v>
      </c>
      <c r="AK86" s="7">
        <v>3004</v>
      </c>
      <c r="AL86" s="7">
        <v>4677</v>
      </c>
      <c r="AM86" s="30">
        <f t="shared" si="8"/>
        <v>2903.3333333333335</v>
      </c>
      <c r="AN86" s="30">
        <f t="shared" si="9"/>
        <v>1622.3867005312286</v>
      </c>
      <c r="AO86" s="30"/>
      <c r="AP86" s="29">
        <f t="shared" si="10"/>
        <v>0.8242174192815777</v>
      </c>
      <c r="AQ86" s="31">
        <f t="shared" si="11"/>
        <v>0.38120188923374876</v>
      </c>
      <c r="AR86" s="21" t="s">
        <v>92</v>
      </c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DM86" s="16"/>
      <c r="DN86" s="16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3"/>
      <c r="FW86" s="11"/>
    </row>
    <row r="87" spans="1:179" ht="18.75">
      <c r="A87" s="1" t="s">
        <v>981</v>
      </c>
      <c r="B87" s="2" t="s">
        <v>982</v>
      </c>
      <c r="C87" s="2" t="s">
        <v>409</v>
      </c>
      <c r="D87" s="2" t="str">
        <f>HYPERLINK("http://eros.fiehnlab.ucdavis.edu:8080/binbase-compound/bin/show/213972?db=rtx5","213972")</f>
        <v>213972</v>
      </c>
      <c r="E87" s="2" t="s">
        <v>26</v>
      </c>
      <c r="F87" s="2" t="s">
        <v>83</v>
      </c>
      <c r="G87" s="2" t="s">
        <v>83</v>
      </c>
      <c r="H87" s="7">
        <v>118724</v>
      </c>
      <c r="I87" s="7">
        <v>84224</v>
      </c>
      <c r="J87" s="7">
        <v>26425</v>
      </c>
      <c r="K87" s="7">
        <v>45721</v>
      </c>
      <c r="L87" s="7">
        <v>158028</v>
      </c>
      <c r="M87" s="7">
        <v>21286</v>
      </c>
      <c r="N87" s="7">
        <v>82694</v>
      </c>
      <c r="O87" s="7">
        <v>31547</v>
      </c>
      <c r="P87" s="7">
        <v>108338</v>
      </c>
      <c r="Q87" s="7">
        <v>48846</v>
      </c>
      <c r="R87" s="7">
        <v>110948</v>
      </c>
      <c r="S87" s="7">
        <v>101331</v>
      </c>
      <c r="T87" s="7">
        <v>88684</v>
      </c>
      <c r="U87" s="7">
        <v>31888</v>
      </c>
      <c r="V87" s="7">
        <v>65822</v>
      </c>
      <c r="W87" s="24">
        <f t="shared" si="6"/>
        <v>74967.06666666667</v>
      </c>
      <c r="X87" s="25">
        <f t="shared" si="7"/>
        <v>40400.68447345675</v>
      </c>
      <c r="Y87" s="25"/>
      <c r="Z87" s="26"/>
      <c r="AA87" s="7">
        <v>50797</v>
      </c>
      <c r="AB87" s="7">
        <v>45810</v>
      </c>
      <c r="AC87" s="7">
        <v>49142</v>
      </c>
      <c r="AD87" s="7">
        <v>21379</v>
      </c>
      <c r="AE87" s="7">
        <v>33832</v>
      </c>
      <c r="AF87" s="7">
        <v>94827</v>
      </c>
      <c r="AG87" s="7">
        <v>129476</v>
      </c>
      <c r="AH87" s="7">
        <v>134136</v>
      </c>
      <c r="AI87" s="7">
        <v>20163</v>
      </c>
      <c r="AJ87" s="7">
        <v>26034</v>
      </c>
      <c r="AK87" s="7">
        <v>115931</v>
      </c>
      <c r="AL87" s="7">
        <v>20059</v>
      </c>
      <c r="AM87" s="30">
        <f t="shared" si="8"/>
        <v>61798.833333333336</v>
      </c>
      <c r="AN87" s="30">
        <f t="shared" si="9"/>
        <v>44253.07456156595</v>
      </c>
      <c r="AO87" s="30"/>
      <c r="AP87" s="29">
        <f t="shared" si="10"/>
        <v>0.8243464241186798</v>
      </c>
      <c r="AQ87" s="31">
        <f t="shared" si="11"/>
        <v>0.42735911393829595</v>
      </c>
      <c r="AR87" s="21" t="s">
        <v>981</v>
      </c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DM87" s="16"/>
      <c r="DN87" s="16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3"/>
      <c r="FW87" s="11"/>
    </row>
    <row r="88" spans="1:179" ht="18.75">
      <c r="A88" s="1" t="s">
        <v>701</v>
      </c>
      <c r="B88" s="2" t="s">
        <v>702</v>
      </c>
      <c r="C88" s="2" t="s">
        <v>406</v>
      </c>
      <c r="D88" s="2" t="str">
        <f>HYPERLINK("http://eros.fiehnlab.ucdavis.edu:8080/binbase-compound/bin/show/369638?db=rtx5","369638")</f>
        <v>369638</v>
      </c>
      <c r="E88" s="2" t="s">
        <v>152</v>
      </c>
      <c r="F88" s="2" t="s">
        <v>83</v>
      </c>
      <c r="G88" s="2" t="s">
        <v>83</v>
      </c>
      <c r="H88" s="7">
        <v>1767</v>
      </c>
      <c r="I88" s="7">
        <v>1159</v>
      </c>
      <c r="J88" s="7">
        <v>1245</v>
      </c>
      <c r="K88" s="7">
        <v>1208</v>
      </c>
      <c r="L88" s="7">
        <v>1376</v>
      </c>
      <c r="M88" s="7">
        <v>790</v>
      </c>
      <c r="N88" s="7">
        <v>1562</v>
      </c>
      <c r="O88" s="7">
        <v>718</v>
      </c>
      <c r="P88" s="7">
        <v>1422</v>
      </c>
      <c r="Q88" s="7">
        <v>1171</v>
      </c>
      <c r="R88" s="7">
        <v>1748</v>
      </c>
      <c r="S88" s="7">
        <v>1038</v>
      </c>
      <c r="T88" s="7">
        <v>1108</v>
      </c>
      <c r="U88" s="7">
        <v>1028</v>
      </c>
      <c r="V88" s="7">
        <v>1609</v>
      </c>
      <c r="W88" s="24">
        <f t="shared" si="6"/>
        <v>1263.2666666666667</v>
      </c>
      <c r="X88" s="25">
        <f t="shared" si="7"/>
        <v>317.3174315743659</v>
      </c>
      <c r="Y88" s="25"/>
      <c r="Z88" s="26"/>
      <c r="AA88" s="7">
        <v>1080</v>
      </c>
      <c r="AB88" s="7">
        <v>918</v>
      </c>
      <c r="AC88" s="7">
        <v>648</v>
      </c>
      <c r="AD88" s="7">
        <v>738</v>
      </c>
      <c r="AE88" s="7">
        <v>670</v>
      </c>
      <c r="AF88" s="7">
        <v>1507</v>
      </c>
      <c r="AG88" s="7">
        <v>1540</v>
      </c>
      <c r="AH88" s="7">
        <v>1119</v>
      </c>
      <c r="AI88" s="7">
        <v>1208</v>
      </c>
      <c r="AJ88" s="7">
        <v>852</v>
      </c>
      <c r="AK88" s="7">
        <v>1057</v>
      </c>
      <c r="AL88" s="7">
        <v>1179</v>
      </c>
      <c r="AM88" s="30">
        <f t="shared" si="8"/>
        <v>1043</v>
      </c>
      <c r="AN88" s="30">
        <f t="shared" si="9"/>
        <v>294.74981687094316</v>
      </c>
      <c r="AO88" s="30"/>
      <c r="AP88" s="29">
        <f t="shared" si="10"/>
        <v>0.8256372367934983</v>
      </c>
      <c r="AQ88" s="31">
        <f t="shared" si="11"/>
        <v>0.07632298679201123</v>
      </c>
      <c r="AR88" s="21" t="s">
        <v>701</v>
      </c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DM88" s="16"/>
      <c r="DN88" s="16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3"/>
      <c r="FW88" s="11"/>
    </row>
    <row r="89" spans="1:179" ht="18.75">
      <c r="A89" s="1" t="s">
        <v>1080</v>
      </c>
      <c r="B89" s="2" t="s">
        <v>354</v>
      </c>
      <c r="C89" s="2" t="s">
        <v>355</v>
      </c>
      <c r="D89" s="2" t="str">
        <f>HYPERLINK("http://eros.fiehnlab.ucdavis.edu:8080/binbase-compound/bin/show/370112?db=rtx5","370112")</f>
        <v>370112</v>
      </c>
      <c r="E89" s="2" t="s">
        <v>610</v>
      </c>
      <c r="F89" s="2" t="str">
        <f>HYPERLINK("http://www.genome.ad.jp/dbget-bin/www_bget?compound+C00208","C00208")</f>
        <v>C00208</v>
      </c>
      <c r="G89" s="2" t="str">
        <f>HYPERLINK("http://pubchem.ncbi.nlm.nih.gov/summary/summary.cgi?cid=6255","6255")</f>
        <v>6255</v>
      </c>
      <c r="H89" s="7">
        <v>501</v>
      </c>
      <c r="I89" s="7">
        <v>150</v>
      </c>
      <c r="J89" s="7">
        <v>1599</v>
      </c>
      <c r="K89" s="7">
        <v>429</v>
      </c>
      <c r="L89" s="7">
        <v>774</v>
      </c>
      <c r="M89" s="7">
        <v>397</v>
      </c>
      <c r="N89" s="7">
        <v>274</v>
      </c>
      <c r="O89" s="7">
        <v>309</v>
      </c>
      <c r="P89" s="7">
        <v>299</v>
      </c>
      <c r="Q89" s="7">
        <v>324</v>
      </c>
      <c r="R89" s="7">
        <v>336</v>
      </c>
      <c r="S89" s="7">
        <v>461</v>
      </c>
      <c r="T89" s="7">
        <v>356</v>
      </c>
      <c r="U89" s="7">
        <v>326</v>
      </c>
      <c r="V89" s="7">
        <v>487</v>
      </c>
      <c r="W89" s="24">
        <f t="shared" si="6"/>
        <v>468.1333333333333</v>
      </c>
      <c r="X89" s="25">
        <f t="shared" si="7"/>
        <v>342.71267988269847</v>
      </c>
      <c r="Y89" s="25"/>
      <c r="Z89" s="26"/>
      <c r="AA89" s="7">
        <v>330</v>
      </c>
      <c r="AB89" s="7">
        <v>378</v>
      </c>
      <c r="AC89" s="7">
        <v>229</v>
      </c>
      <c r="AD89" s="7">
        <v>426</v>
      </c>
      <c r="AE89" s="7">
        <v>413</v>
      </c>
      <c r="AF89" s="7">
        <v>269</v>
      </c>
      <c r="AG89" s="7">
        <v>287</v>
      </c>
      <c r="AH89" s="7">
        <v>467</v>
      </c>
      <c r="AI89" s="7">
        <v>781</v>
      </c>
      <c r="AJ89" s="7">
        <v>367</v>
      </c>
      <c r="AK89" s="7">
        <v>259</v>
      </c>
      <c r="AL89" s="7">
        <v>435</v>
      </c>
      <c r="AM89" s="30">
        <f t="shared" si="8"/>
        <v>386.75</v>
      </c>
      <c r="AN89" s="30">
        <f t="shared" si="9"/>
        <v>146.20603457263502</v>
      </c>
      <c r="AO89" s="30"/>
      <c r="AP89" s="29">
        <f t="shared" si="10"/>
        <v>0.8261535175163771</v>
      </c>
      <c r="AQ89" s="31">
        <f t="shared" si="11"/>
        <v>0.45062828344560313</v>
      </c>
      <c r="AR89" s="21" t="s">
        <v>1080</v>
      </c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DM89" s="16"/>
      <c r="DN89" s="16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3"/>
      <c r="FW89" s="11"/>
    </row>
    <row r="90" spans="1:179" ht="18.75">
      <c r="A90" s="1" t="s">
        <v>1051</v>
      </c>
      <c r="B90" s="2" t="s">
        <v>1052</v>
      </c>
      <c r="C90" s="2" t="s">
        <v>206</v>
      </c>
      <c r="D90" s="2" t="str">
        <f>HYPERLINK("http://eros.fiehnlab.ucdavis.edu:8080/binbase-compound/bin/show/199788?db=rtx5","199788")</f>
        <v>199788</v>
      </c>
      <c r="E90" s="2" t="s">
        <v>1104</v>
      </c>
      <c r="F90" s="2" t="str">
        <f>HYPERLINK("http://www.genome.ad.jp/dbget-bin/www_bget?compound+C07326","C07326")</f>
        <v>C07326</v>
      </c>
      <c r="G90" s="2" t="str">
        <f>HYPERLINK("http://pubchem.ncbi.nlm.nih.gov/summary/summary.cgi?cid=64960","64960")</f>
        <v>64960</v>
      </c>
      <c r="H90" s="7">
        <v>105473</v>
      </c>
      <c r="I90" s="7">
        <v>114932</v>
      </c>
      <c r="J90" s="7">
        <v>139501</v>
      </c>
      <c r="K90" s="7">
        <v>109573</v>
      </c>
      <c r="L90" s="7">
        <v>198960</v>
      </c>
      <c r="M90" s="7">
        <v>107046</v>
      </c>
      <c r="N90" s="7">
        <v>138340</v>
      </c>
      <c r="O90" s="7">
        <v>108964</v>
      </c>
      <c r="P90" s="7">
        <v>133322</v>
      </c>
      <c r="Q90" s="7">
        <v>64707</v>
      </c>
      <c r="R90" s="7">
        <v>123574</v>
      </c>
      <c r="S90" s="7">
        <v>110183</v>
      </c>
      <c r="T90" s="7">
        <v>81098</v>
      </c>
      <c r="U90" s="7">
        <v>99532</v>
      </c>
      <c r="V90" s="7">
        <v>84143</v>
      </c>
      <c r="W90" s="24">
        <f t="shared" si="6"/>
        <v>114623.2</v>
      </c>
      <c r="X90" s="25">
        <f t="shared" si="7"/>
        <v>31298.88655755755</v>
      </c>
      <c r="Y90" s="25"/>
      <c r="Z90" s="26"/>
      <c r="AA90" s="7">
        <v>72888</v>
      </c>
      <c r="AB90" s="7">
        <v>99497</v>
      </c>
      <c r="AC90" s="7">
        <v>96358</v>
      </c>
      <c r="AD90" s="7">
        <v>97913</v>
      </c>
      <c r="AE90" s="7">
        <v>78585</v>
      </c>
      <c r="AF90" s="7">
        <v>131501</v>
      </c>
      <c r="AG90" s="7">
        <v>101631</v>
      </c>
      <c r="AH90" s="7">
        <v>111843</v>
      </c>
      <c r="AI90" s="7">
        <v>102083</v>
      </c>
      <c r="AJ90" s="7">
        <v>75357</v>
      </c>
      <c r="AK90" s="7">
        <v>103179</v>
      </c>
      <c r="AL90" s="7">
        <v>66494</v>
      </c>
      <c r="AM90" s="30">
        <f t="shared" si="8"/>
        <v>94777.41666666667</v>
      </c>
      <c r="AN90" s="30">
        <f t="shared" si="9"/>
        <v>18497.75223916451</v>
      </c>
      <c r="AO90" s="30"/>
      <c r="AP90" s="29">
        <f t="shared" si="10"/>
        <v>0.8268606762563484</v>
      </c>
      <c r="AQ90" s="31">
        <f t="shared" si="11"/>
        <v>0.06400360437697801</v>
      </c>
      <c r="AR90" s="21" t="s">
        <v>1051</v>
      </c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DM90" s="16"/>
      <c r="DN90" s="16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3"/>
      <c r="FW90" s="11"/>
    </row>
    <row r="91" spans="1:179" ht="18.75">
      <c r="A91" s="1" t="s">
        <v>739</v>
      </c>
      <c r="B91" s="2" t="s">
        <v>740</v>
      </c>
      <c r="C91" s="2" t="s">
        <v>437</v>
      </c>
      <c r="D91" s="2" t="str">
        <f>HYPERLINK("http://eros.fiehnlab.ucdavis.edu:8080/binbase-compound/bin/show/309642?db=rtx5","309642")</f>
        <v>309642</v>
      </c>
      <c r="E91" s="2" t="s">
        <v>114</v>
      </c>
      <c r="F91" s="2" t="s">
        <v>83</v>
      </c>
      <c r="G91" s="2" t="s">
        <v>83</v>
      </c>
      <c r="H91" s="7">
        <v>2131</v>
      </c>
      <c r="I91" s="7">
        <v>3215</v>
      </c>
      <c r="J91" s="7">
        <v>6532</v>
      </c>
      <c r="K91" s="7">
        <v>4679</v>
      </c>
      <c r="L91" s="7">
        <v>4595</v>
      </c>
      <c r="M91" s="7">
        <v>3019</v>
      </c>
      <c r="N91" s="7">
        <v>2785</v>
      </c>
      <c r="O91" s="7">
        <v>3393</v>
      </c>
      <c r="P91" s="7">
        <v>2158</v>
      </c>
      <c r="Q91" s="7">
        <v>2727</v>
      </c>
      <c r="R91" s="7">
        <v>2778</v>
      </c>
      <c r="S91" s="7">
        <v>2862</v>
      </c>
      <c r="T91" s="7">
        <v>2957</v>
      </c>
      <c r="U91" s="7">
        <v>5040</v>
      </c>
      <c r="V91" s="7">
        <v>3156</v>
      </c>
      <c r="W91" s="24">
        <f t="shared" si="6"/>
        <v>3468.4666666666667</v>
      </c>
      <c r="X91" s="25">
        <f t="shared" si="7"/>
        <v>1212.677136790843</v>
      </c>
      <c r="Y91" s="25"/>
      <c r="Z91" s="26"/>
      <c r="AA91" s="7">
        <v>2553</v>
      </c>
      <c r="AB91" s="7">
        <v>2470</v>
      </c>
      <c r="AC91" s="7">
        <v>2415</v>
      </c>
      <c r="AD91" s="7">
        <v>1925</v>
      </c>
      <c r="AE91" s="7">
        <v>4653</v>
      </c>
      <c r="AF91" s="7">
        <v>2298</v>
      </c>
      <c r="AG91" s="7">
        <v>2849</v>
      </c>
      <c r="AH91" s="7">
        <v>4209</v>
      </c>
      <c r="AI91" s="7">
        <v>2518</v>
      </c>
      <c r="AJ91" s="7">
        <v>2485</v>
      </c>
      <c r="AK91" s="7">
        <v>3208</v>
      </c>
      <c r="AL91" s="7">
        <v>2847</v>
      </c>
      <c r="AM91" s="30">
        <f t="shared" si="8"/>
        <v>2869.1666666666665</v>
      </c>
      <c r="AN91" s="30">
        <f t="shared" si="9"/>
        <v>800.4014712327281</v>
      </c>
      <c r="AO91" s="30"/>
      <c r="AP91" s="29">
        <f t="shared" si="10"/>
        <v>0.8272147154362157</v>
      </c>
      <c r="AQ91" s="31">
        <f t="shared" si="11"/>
        <v>0.15356332441098727</v>
      </c>
      <c r="AR91" s="21" t="s">
        <v>739</v>
      </c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DM91" s="16"/>
      <c r="DN91" s="16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3"/>
      <c r="FW91" s="11"/>
    </row>
    <row r="92" spans="1:179" ht="18.75">
      <c r="A92" s="1" t="s">
        <v>444</v>
      </c>
      <c r="B92" s="2" t="s">
        <v>445</v>
      </c>
      <c r="C92" s="2" t="s">
        <v>446</v>
      </c>
      <c r="D92" s="2" t="str">
        <f>HYPERLINK("http://eros.fiehnlab.ucdavis.edu:8080/binbase-compound/bin/show/199604?db=rtx5","199604")</f>
        <v>199604</v>
      </c>
      <c r="E92" s="2" t="s">
        <v>1127</v>
      </c>
      <c r="F92" s="2" t="str">
        <f>HYPERLINK("http://www.genome.ad.jp/dbget-bin/www_bget?compound+C00025","C00025")</f>
        <v>C00025</v>
      </c>
      <c r="G92" s="2" t="str">
        <f>HYPERLINK("http://pubchem.ncbi.nlm.nih.gov/summary/summary.cgi?cid=33032","33032")</f>
        <v>33032</v>
      </c>
      <c r="H92" s="7">
        <v>4625</v>
      </c>
      <c r="I92" s="7">
        <v>10243</v>
      </c>
      <c r="J92" s="7">
        <v>11008</v>
      </c>
      <c r="K92" s="7">
        <v>14454</v>
      </c>
      <c r="L92" s="7">
        <v>14968</v>
      </c>
      <c r="M92" s="7">
        <v>33413</v>
      </c>
      <c r="N92" s="7">
        <v>18240</v>
      </c>
      <c r="O92" s="7">
        <v>26958</v>
      </c>
      <c r="P92" s="7">
        <v>26898</v>
      </c>
      <c r="Q92" s="7">
        <v>23111</v>
      </c>
      <c r="R92" s="7">
        <v>9944</v>
      </c>
      <c r="S92" s="7">
        <v>7753</v>
      </c>
      <c r="T92" s="7">
        <v>23790</v>
      </c>
      <c r="U92" s="7">
        <v>7442</v>
      </c>
      <c r="V92" s="7">
        <v>8219</v>
      </c>
      <c r="W92" s="24">
        <f t="shared" si="6"/>
        <v>16071.066666666668</v>
      </c>
      <c r="X92" s="25">
        <f t="shared" si="7"/>
        <v>8814.068903638958</v>
      </c>
      <c r="Y92" s="25"/>
      <c r="Z92" s="26"/>
      <c r="AA92" s="7">
        <v>9353</v>
      </c>
      <c r="AB92" s="7">
        <v>20259</v>
      </c>
      <c r="AC92" s="7">
        <v>32370</v>
      </c>
      <c r="AD92" s="7">
        <v>12920</v>
      </c>
      <c r="AE92" s="7">
        <v>15277</v>
      </c>
      <c r="AF92" s="7">
        <v>6087</v>
      </c>
      <c r="AG92" s="7">
        <v>7071</v>
      </c>
      <c r="AH92" s="7">
        <v>15825</v>
      </c>
      <c r="AI92" s="7">
        <v>10665</v>
      </c>
      <c r="AJ92" s="7">
        <v>15957</v>
      </c>
      <c r="AK92" s="7">
        <v>6142</v>
      </c>
      <c r="AL92" s="7">
        <v>8377</v>
      </c>
      <c r="AM92" s="30">
        <f t="shared" si="8"/>
        <v>13358.583333333334</v>
      </c>
      <c r="AN92" s="30">
        <f t="shared" si="9"/>
        <v>7497.650158650719</v>
      </c>
      <c r="AO92" s="30"/>
      <c r="AP92" s="29">
        <f t="shared" si="10"/>
        <v>0.8312194585715116</v>
      </c>
      <c r="AQ92" s="31">
        <f t="shared" si="11"/>
        <v>0.4045832098888026</v>
      </c>
      <c r="AR92" s="21" t="s">
        <v>444</v>
      </c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DM92" s="16"/>
      <c r="DN92" s="16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3"/>
      <c r="FW92" s="11"/>
    </row>
    <row r="93" spans="1:179" ht="18.75">
      <c r="A93" s="1" t="s">
        <v>921</v>
      </c>
      <c r="B93" s="2" t="s">
        <v>922</v>
      </c>
      <c r="C93" s="2" t="s">
        <v>779</v>
      </c>
      <c r="D93" s="2" t="str">
        <f>HYPERLINK("http://eros.fiehnlab.ucdavis.edu:8080/binbase-compound/bin/show/226860?db=rtx5","226860")</f>
        <v>226860</v>
      </c>
      <c r="E93" s="2" t="s">
        <v>109</v>
      </c>
      <c r="F93" s="2" t="s">
        <v>83</v>
      </c>
      <c r="G93" s="2" t="s">
        <v>83</v>
      </c>
      <c r="H93" s="7">
        <v>4286</v>
      </c>
      <c r="I93" s="7">
        <v>982</v>
      </c>
      <c r="J93" s="7">
        <v>1279</v>
      </c>
      <c r="K93" s="7">
        <v>2000</v>
      </c>
      <c r="L93" s="7">
        <v>2055</v>
      </c>
      <c r="M93" s="7">
        <v>2048</v>
      </c>
      <c r="N93" s="7">
        <v>2808</v>
      </c>
      <c r="O93" s="7">
        <v>443</v>
      </c>
      <c r="P93" s="7">
        <v>447</v>
      </c>
      <c r="Q93" s="7">
        <v>1359</v>
      </c>
      <c r="R93" s="7">
        <v>2464</v>
      </c>
      <c r="S93" s="7">
        <v>1842</v>
      </c>
      <c r="T93" s="7">
        <v>906</v>
      </c>
      <c r="U93" s="7">
        <v>1075</v>
      </c>
      <c r="V93" s="7">
        <v>5969</v>
      </c>
      <c r="W93" s="24">
        <f t="shared" si="6"/>
        <v>1997.5333333333333</v>
      </c>
      <c r="X93" s="25">
        <f t="shared" si="7"/>
        <v>1481.6179315998086</v>
      </c>
      <c r="Y93" s="25"/>
      <c r="Z93" s="26"/>
      <c r="AA93" s="7">
        <v>882</v>
      </c>
      <c r="AB93" s="7">
        <v>1473</v>
      </c>
      <c r="AC93" s="7">
        <v>950</v>
      </c>
      <c r="AD93" s="7">
        <v>2536</v>
      </c>
      <c r="AE93" s="7">
        <v>900</v>
      </c>
      <c r="AF93" s="7">
        <v>3903</v>
      </c>
      <c r="AG93" s="7">
        <v>865</v>
      </c>
      <c r="AH93" s="7">
        <v>605</v>
      </c>
      <c r="AI93" s="7">
        <v>2239</v>
      </c>
      <c r="AJ93" s="7">
        <v>2980</v>
      </c>
      <c r="AK93" s="7">
        <v>941</v>
      </c>
      <c r="AL93" s="7">
        <v>1673</v>
      </c>
      <c r="AM93" s="30">
        <f t="shared" si="8"/>
        <v>1662.25</v>
      </c>
      <c r="AN93" s="30">
        <f t="shared" si="9"/>
        <v>1038.361394873498</v>
      </c>
      <c r="AO93" s="30"/>
      <c r="AP93" s="29">
        <f t="shared" si="10"/>
        <v>0.8321513199612856</v>
      </c>
      <c r="AQ93" s="31">
        <f t="shared" si="11"/>
        <v>0.5132490680929226</v>
      </c>
      <c r="AR93" s="21" t="s">
        <v>921</v>
      </c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DM93" s="16"/>
      <c r="DN93" s="16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3"/>
      <c r="FW93" s="11"/>
    </row>
    <row r="94" spans="1:179" ht="18.75">
      <c r="A94" s="1" t="s">
        <v>988</v>
      </c>
      <c r="B94" s="2" t="s">
        <v>989</v>
      </c>
      <c r="C94" s="2" t="s">
        <v>402</v>
      </c>
      <c r="D94" s="2" t="str">
        <f>HYPERLINK("http://eros.fiehnlab.ucdavis.edu:8080/binbase-compound/bin/show/213697?db=rtx5","213697")</f>
        <v>213697</v>
      </c>
      <c r="E94" s="2" t="s">
        <v>2</v>
      </c>
      <c r="F94" s="2" t="s">
        <v>83</v>
      </c>
      <c r="G94" s="2" t="s">
        <v>83</v>
      </c>
      <c r="H94" s="7">
        <v>1390</v>
      </c>
      <c r="I94" s="7">
        <v>377</v>
      </c>
      <c r="J94" s="7">
        <v>567</v>
      </c>
      <c r="K94" s="7">
        <v>585</v>
      </c>
      <c r="L94" s="7">
        <v>1576</v>
      </c>
      <c r="M94" s="7">
        <v>1389</v>
      </c>
      <c r="N94" s="7">
        <v>1436</v>
      </c>
      <c r="O94" s="7">
        <v>1167</v>
      </c>
      <c r="P94" s="7">
        <v>1374</v>
      </c>
      <c r="Q94" s="7">
        <v>689</v>
      </c>
      <c r="R94" s="7">
        <v>1772</v>
      </c>
      <c r="S94" s="7">
        <v>624</v>
      </c>
      <c r="T94" s="7">
        <v>260</v>
      </c>
      <c r="U94" s="7">
        <v>4364</v>
      </c>
      <c r="V94" s="7">
        <v>1163</v>
      </c>
      <c r="W94" s="24">
        <f t="shared" si="6"/>
        <v>1248.8666666666666</v>
      </c>
      <c r="X94" s="25">
        <f t="shared" si="7"/>
        <v>983.3117414901446</v>
      </c>
      <c r="Y94" s="25"/>
      <c r="Z94" s="26"/>
      <c r="AA94" s="7">
        <v>280</v>
      </c>
      <c r="AB94" s="7">
        <v>1079</v>
      </c>
      <c r="AC94" s="7">
        <v>1261</v>
      </c>
      <c r="AD94" s="7">
        <v>2867</v>
      </c>
      <c r="AE94" s="7">
        <v>2539</v>
      </c>
      <c r="AF94" s="7">
        <v>375</v>
      </c>
      <c r="AG94" s="7">
        <v>368</v>
      </c>
      <c r="AH94" s="7">
        <v>637</v>
      </c>
      <c r="AI94" s="7">
        <v>647</v>
      </c>
      <c r="AJ94" s="7">
        <v>1383</v>
      </c>
      <c r="AK94" s="7">
        <v>564</v>
      </c>
      <c r="AL94" s="7">
        <v>472</v>
      </c>
      <c r="AM94" s="30">
        <f t="shared" si="8"/>
        <v>1039.3333333333333</v>
      </c>
      <c r="AN94" s="30">
        <f t="shared" si="9"/>
        <v>857.6078075176039</v>
      </c>
      <c r="AO94" s="30"/>
      <c r="AP94" s="29">
        <f t="shared" si="10"/>
        <v>0.8322212139006032</v>
      </c>
      <c r="AQ94" s="31">
        <f t="shared" si="11"/>
        <v>0.5659954002543663</v>
      </c>
      <c r="AR94" s="21" t="s">
        <v>988</v>
      </c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DM94" s="16"/>
      <c r="DN94" s="16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3"/>
      <c r="FW94" s="11"/>
    </row>
    <row r="95" spans="1:179" ht="18.75">
      <c r="A95" s="1" t="s">
        <v>517</v>
      </c>
      <c r="B95" s="2" t="s">
        <v>518</v>
      </c>
      <c r="C95" s="2" t="s">
        <v>402</v>
      </c>
      <c r="D95" s="2" t="str">
        <f>HYPERLINK("http://eros.fiehnlab.ucdavis.edu:8080/binbase-compound/bin/show/227949?db=rtx5","227949")</f>
        <v>227949</v>
      </c>
      <c r="E95" s="2" t="s">
        <v>620</v>
      </c>
      <c r="F95" s="2" t="str">
        <f>HYPERLINK("http://www.genome.ad.jp/dbget-bin/www_bget?compound+C00049","C00049")</f>
        <v>C00049</v>
      </c>
      <c r="G95" s="2" t="str">
        <f>HYPERLINK("http://pubchem.ncbi.nlm.nih.gov/summary/summary.cgi?cid=5960","5960")</f>
        <v>5960</v>
      </c>
      <c r="H95" s="7">
        <v>1429</v>
      </c>
      <c r="I95" s="7">
        <v>1332</v>
      </c>
      <c r="J95" s="7">
        <v>2539</v>
      </c>
      <c r="K95" s="7">
        <v>1728</v>
      </c>
      <c r="L95" s="7">
        <v>1666</v>
      </c>
      <c r="M95" s="7">
        <v>1608</v>
      </c>
      <c r="N95" s="7">
        <v>2072</v>
      </c>
      <c r="O95" s="7">
        <v>1307</v>
      </c>
      <c r="P95" s="7">
        <v>1880</v>
      </c>
      <c r="Q95" s="7">
        <v>982</v>
      </c>
      <c r="R95" s="7">
        <v>1564</v>
      </c>
      <c r="S95" s="7">
        <v>972</v>
      </c>
      <c r="T95" s="7">
        <v>2139</v>
      </c>
      <c r="U95" s="7">
        <v>1178</v>
      </c>
      <c r="V95" s="7">
        <v>2130</v>
      </c>
      <c r="W95" s="24">
        <f t="shared" si="6"/>
        <v>1635.0666666666666</v>
      </c>
      <c r="X95" s="25">
        <f t="shared" si="7"/>
        <v>455.07353670535883</v>
      </c>
      <c r="Y95" s="25"/>
      <c r="Z95" s="26"/>
      <c r="AA95" s="7">
        <v>1043</v>
      </c>
      <c r="AB95" s="7">
        <v>1416</v>
      </c>
      <c r="AC95" s="7">
        <v>1207</v>
      </c>
      <c r="AD95" s="7">
        <v>1034</v>
      </c>
      <c r="AE95" s="7">
        <v>1464</v>
      </c>
      <c r="AF95" s="7">
        <v>1620</v>
      </c>
      <c r="AG95" s="7">
        <v>1271</v>
      </c>
      <c r="AH95" s="7">
        <v>1900</v>
      </c>
      <c r="AI95" s="7">
        <v>1206</v>
      </c>
      <c r="AJ95" s="7">
        <v>1761</v>
      </c>
      <c r="AK95" s="7">
        <v>1298</v>
      </c>
      <c r="AL95" s="7">
        <v>1122</v>
      </c>
      <c r="AM95" s="30">
        <f t="shared" si="8"/>
        <v>1361.8333333333333</v>
      </c>
      <c r="AN95" s="30">
        <f t="shared" si="9"/>
        <v>278.9935917587075</v>
      </c>
      <c r="AO95" s="30"/>
      <c r="AP95" s="29">
        <f t="shared" si="10"/>
        <v>0.8328916252140586</v>
      </c>
      <c r="AQ95" s="31">
        <f t="shared" si="11"/>
        <v>0.08071894985832669</v>
      </c>
      <c r="AR95" s="21" t="s">
        <v>517</v>
      </c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DM95" s="16"/>
      <c r="DN95" s="16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3"/>
      <c r="FW95" s="11"/>
    </row>
    <row r="96" spans="1:179" ht="18.75">
      <c r="A96" s="1" t="s">
        <v>929</v>
      </c>
      <c r="B96" s="2" t="s">
        <v>930</v>
      </c>
      <c r="C96" s="2" t="s">
        <v>213</v>
      </c>
      <c r="D96" s="2" t="str">
        <f>HYPERLINK("http://eros.fiehnlab.ucdavis.edu:8080/binbase-compound/bin/show/226846?db=rtx5","226846")</f>
        <v>226846</v>
      </c>
      <c r="E96" s="2" t="s">
        <v>146</v>
      </c>
      <c r="F96" s="2" t="s">
        <v>83</v>
      </c>
      <c r="G96" s="2" t="s">
        <v>83</v>
      </c>
      <c r="H96" s="7">
        <v>780</v>
      </c>
      <c r="I96" s="7">
        <v>512</v>
      </c>
      <c r="J96" s="7">
        <v>1930</v>
      </c>
      <c r="K96" s="7">
        <v>983</v>
      </c>
      <c r="L96" s="7">
        <v>1845</v>
      </c>
      <c r="M96" s="7">
        <v>1426</v>
      </c>
      <c r="N96" s="7">
        <v>2112</v>
      </c>
      <c r="O96" s="7">
        <v>618</v>
      </c>
      <c r="P96" s="7">
        <v>363</v>
      </c>
      <c r="Q96" s="7">
        <v>655</v>
      </c>
      <c r="R96" s="7">
        <v>1774</v>
      </c>
      <c r="S96" s="7">
        <v>635</v>
      </c>
      <c r="T96" s="7">
        <v>598</v>
      </c>
      <c r="U96" s="7">
        <v>1259</v>
      </c>
      <c r="V96" s="7">
        <v>1850</v>
      </c>
      <c r="W96" s="24">
        <f t="shared" si="6"/>
        <v>1156</v>
      </c>
      <c r="X96" s="25">
        <f t="shared" si="7"/>
        <v>613.7089817541489</v>
      </c>
      <c r="Y96" s="25"/>
      <c r="Z96" s="26"/>
      <c r="AA96" s="7">
        <v>389</v>
      </c>
      <c r="AB96" s="7">
        <v>747</v>
      </c>
      <c r="AC96" s="7">
        <v>407</v>
      </c>
      <c r="AD96" s="7">
        <v>2135</v>
      </c>
      <c r="AE96" s="7">
        <v>650</v>
      </c>
      <c r="AF96" s="7">
        <v>212</v>
      </c>
      <c r="AG96" s="7">
        <v>763</v>
      </c>
      <c r="AH96" s="7">
        <v>389</v>
      </c>
      <c r="AI96" s="7">
        <v>1608</v>
      </c>
      <c r="AJ96" s="7">
        <v>2631</v>
      </c>
      <c r="AK96" s="7">
        <v>668</v>
      </c>
      <c r="AL96" s="7">
        <v>955</v>
      </c>
      <c r="AM96" s="30">
        <f t="shared" si="8"/>
        <v>962.8333333333334</v>
      </c>
      <c r="AN96" s="30">
        <f t="shared" si="9"/>
        <v>761.316781914232</v>
      </c>
      <c r="AO96" s="30"/>
      <c r="AP96" s="29">
        <f t="shared" si="10"/>
        <v>0.8329008073817763</v>
      </c>
      <c r="AQ96" s="31">
        <f t="shared" si="11"/>
        <v>0.47177463917581086</v>
      </c>
      <c r="AR96" s="21" t="s">
        <v>929</v>
      </c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DM96" s="16"/>
      <c r="DN96" s="16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3"/>
      <c r="FW96" s="11"/>
    </row>
    <row r="97" spans="1:179" ht="18.75">
      <c r="A97" s="1" t="s">
        <v>1029</v>
      </c>
      <c r="B97" s="2" t="s">
        <v>1030</v>
      </c>
      <c r="C97" s="2" t="s">
        <v>710</v>
      </c>
      <c r="D97" s="2" t="str">
        <f>HYPERLINK("http://eros.fiehnlab.ucdavis.edu:8080/binbase-compound/bin/show/200448?db=rtx5","200448")</f>
        <v>200448</v>
      </c>
      <c r="E97" s="2" t="s">
        <v>68</v>
      </c>
      <c r="F97" s="2" t="s">
        <v>83</v>
      </c>
      <c r="G97" s="2" t="s">
        <v>83</v>
      </c>
      <c r="H97" s="7">
        <v>3182</v>
      </c>
      <c r="I97" s="7">
        <v>2598</v>
      </c>
      <c r="J97" s="7">
        <v>3658</v>
      </c>
      <c r="K97" s="7">
        <v>5375</v>
      </c>
      <c r="L97" s="7">
        <v>8965</v>
      </c>
      <c r="M97" s="7">
        <v>4519</v>
      </c>
      <c r="N97" s="7">
        <v>7677</v>
      </c>
      <c r="O97" s="7">
        <v>1613</v>
      </c>
      <c r="P97" s="7">
        <v>1155</v>
      </c>
      <c r="Q97" s="7">
        <v>2102</v>
      </c>
      <c r="R97" s="7">
        <v>10448</v>
      </c>
      <c r="S97" s="7">
        <v>2987</v>
      </c>
      <c r="T97" s="7">
        <v>2146</v>
      </c>
      <c r="U97" s="7">
        <v>7995</v>
      </c>
      <c r="V97" s="7">
        <v>15752</v>
      </c>
      <c r="W97" s="24">
        <f t="shared" si="6"/>
        <v>5344.8</v>
      </c>
      <c r="X97" s="25">
        <f t="shared" si="7"/>
        <v>4083.589478457822</v>
      </c>
      <c r="Y97" s="25"/>
      <c r="Z97" s="26"/>
      <c r="AA97" s="7">
        <v>1982</v>
      </c>
      <c r="AB97" s="7">
        <v>3669</v>
      </c>
      <c r="AC97" s="7">
        <v>1342</v>
      </c>
      <c r="AD97" s="7">
        <v>11018</v>
      </c>
      <c r="AE97" s="7">
        <v>3956</v>
      </c>
      <c r="AF97" s="7">
        <v>1787</v>
      </c>
      <c r="AG97" s="7">
        <v>1713</v>
      </c>
      <c r="AH97" s="7">
        <v>1601</v>
      </c>
      <c r="AI97" s="7">
        <v>7010</v>
      </c>
      <c r="AJ97" s="7">
        <v>12800</v>
      </c>
      <c r="AK97" s="7">
        <v>2335</v>
      </c>
      <c r="AL97" s="7">
        <v>4262</v>
      </c>
      <c r="AM97" s="30">
        <f t="shared" si="8"/>
        <v>4456.25</v>
      </c>
      <c r="AN97" s="30">
        <f t="shared" si="9"/>
        <v>3852.119230784766</v>
      </c>
      <c r="AO97" s="30"/>
      <c r="AP97" s="29">
        <f t="shared" si="10"/>
        <v>0.8337543032480167</v>
      </c>
      <c r="AQ97" s="31">
        <f t="shared" si="11"/>
        <v>0.5698001639762722</v>
      </c>
      <c r="AR97" s="21" t="s">
        <v>1029</v>
      </c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DM97" s="16"/>
      <c r="DN97" s="16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3"/>
      <c r="FW97" s="11"/>
    </row>
    <row r="98" spans="1:179" ht="18.75">
      <c r="A98" s="1" t="s">
        <v>1041</v>
      </c>
      <c r="B98" s="2" t="s">
        <v>1042</v>
      </c>
      <c r="C98" s="2" t="s">
        <v>757</v>
      </c>
      <c r="D98" s="2" t="str">
        <f>HYPERLINK("http://eros.fiehnlab.ucdavis.edu:8080/binbase-compound/bin/show/199596?db=rtx5","199596")</f>
        <v>199596</v>
      </c>
      <c r="E98" s="2" t="s">
        <v>81</v>
      </c>
      <c r="F98" s="2" t="s">
        <v>83</v>
      </c>
      <c r="G98" s="2" t="s">
        <v>83</v>
      </c>
      <c r="H98" s="7">
        <v>4493</v>
      </c>
      <c r="I98" s="7">
        <v>6076</v>
      </c>
      <c r="J98" s="7">
        <v>20201</v>
      </c>
      <c r="K98" s="7">
        <v>6430</v>
      </c>
      <c r="L98" s="7">
        <v>4347</v>
      </c>
      <c r="M98" s="7">
        <v>5369</v>
      </c>
      <c r="N98" s="7">
        <v>6477</v>
      </c>
      <c r="O98" s="7">
        <v>5187</v>
      </c>
      <c r="P98" s="7">
        <v>6132</v>
      </c>
      <c r="Q98" s="7">
        <v>5406</v>
      </c>
      <c r="R98" s="7">
        <v>6632</v>
      </c>
      <c r="S98" s="7">
        <v>4817</v>
      </c>
      <c r="T98" s="7">
        <v>4358</v>
      </c>
      <c r="U98" s="7">
        <v>7353</v>
      </c>
      <c r="V98" s="7">
        <v>7461</v>
      </c>
      <c r="W98" s="24">
        <f t="shared" si="6"/>
        <v>6715.933333333333</v>
      </c>
      <c r="X98" s="25">
        <f t="shared" si="7"/>
        <v>3866.4421901179135</v>
      </c>
      <c r="Y98" s="25"/>
      <c r="Z98" s="26"/>
      <c r="AA98" s="7">
        <v>6595</v>
      </c>
      <c r="AB98" s="7">
        <v>5922</v>
      </c>
      <c r="AC98" s="7">
        <v>5354</v>
      </c>
      <c r="AD98" s="7">
        <v>4149</v>
      </c>
      <c r="AE98" s="7">
        <v>6009</v>
      </c>
      <c r="AF98" s="7">
        <v>6934</v>
      </c>
      <c r="AG98" s="7">
        <v>5022</v>
      </c>
      <c r="AH98" s="7">
        <v>4367</v>
      </c>
      <c r="AI98" s="7">
        <v>6212</v>
      </c>
      <c r="AJ98" s="7">
        <v>4778</v>
      </c>
      <c r="AK98" s="7">
        <v>5829</v>
      </c>
      <c r="AL98" s="7">
        <v>6258</v>
      </c>
      <c r="AM98" s="30">
        <f t="shared" si="8"/>
        <v>5619.083333333333</v>
      </c>
      <c r="AN98" s="30">
        <f t="shared" si="9"/>
        <v>883.7985638793227</v>
      </c>
      <c r="AO98" s="30"/>
      <c r="AP98" s="29">
        <f t="shared" si="10"/>
        <v>0.8366794389461876</v>
      </c>
      <c r="AQ98" s="31">
        <f t="shared" si="11"/>
        <v>0.34658851621899744</v>
      </c>
      <c r="AR98" s="21" t="s">
        <v>1041</v>
      </c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DM98" s="16"/>
      <c r="DN98" s="16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3"/>
      <c r="FW98" s="11"/>
    </row>
    <row r="99" spans="1:179" ht="18.75">
      <c r="A99" s="1" t="s">
        <v>482</v>
      </c>
      <c r="B99" s="2" t="s">
        <v>483</v>
      </c>
      <c r="C99" s="2" t="s">
        <v>484</v>
      </c>
      <c r="D99" s="2" t="str">
        <f>HYPERLINK("http://eros.fiehnlab.ucdavis.edu:8080/binbase-compound/bin/show/227594?db=rtx5","227594")</f>
        <v>227594</v>
      </c>
      <c r="E99" s="2" t="s">
        <v>593</v>
      </c>
      <c r="F99" s="2" t="str">
        <f>HYPERLINK("http://www.genome.ad.jp/dbget-bin/www_bget?compound+C01419","C01419")</f>
        <v>C01419</v>
      </c>
      <c r="G99" s="2" t="str">
        <f>HYPERLINK("http://pubchem.ncbi.nlm.nih.gov/summary/summary.cgi?cid=439498","439498")</f>
        <v>439498</v>
      </c>
      <c r="H99" s="7">
        <v>222</v>
      </c>
      <c r="I99" s="7">
        <v>656</v>
      </c>
      <c r="J99" s="7">
        <v>430</v>
      </c>
      <c r="K99" s="7">
        <v>513</v>
      </c>
      <c r="L99" s="7">
        <v>287</v>
      </c>
      <c r="M99" s="7">
        <v>796</v>
      </c>
      <c r="N99" s="7">
        <v>296</v>
      </c>
      <c r="O99" s="7">
        <v>604</v>
      </c>
      <c r="P99" s="7">
        <v>601</v>
      </c>
      <c r="Q99" s="7">
        <v>423</v>
      </c>
      <c r="R99" s="7">
        <v>648</v>
      </c>
      <c r="S99" s="7">
        <v>675</v>
      </c>
      <c r="T99" s="7">
        <v>775</v>
      </c>
      <c r="U99" s="7">
        <v>516</v>
      </c>
      <c r="V99" s="7">
        <v>1011</v>
      </c>
      <c r="W99" s="24">
        <f t="shared" si="6"/>
        <v>563.5333333333333</v>
      </c>
      <c r="X99" s="25">
        <f t="shared" si="7"/>
        <v>213.34407711041626</v>
      </c>
      <c r="Y99" s="25"/>
      <c r="Z99" s="26"/>
      <c r="AA99" s="7">
        <v>303</v>
      </c>
      <c r="AB99" s="7">
        <v>353</v>
      </c>
      <c r="AC99" s="7">
        <v>584</v>
      </c>
      <c r="AD99" s="7">
        <v>359</v>
      </c>
      <c r="AE99" s="7">
        <v>409</v>
      </c>
      <c r="AF99" s="7">
        <v>324</v>
      </c>
      <c r="AG99" s="7">
        <v>661</v>
      </c>
      <c r="AH99" s="7">
        <v>337</v>
      </c>
      <c r="AI99" s="7">
        <v>485</v>
      </c>
      <c r="AJ99" s="7">
        <v>587</v>
      </c>
      <c r="AK99" s="7">
        <v>660</v>
      </c>
      <c r="AL99" s="7">
        <v>631</v>
      </c>
      <c r="AM99" s="30">
        <f t="shared" si="8"/>
        <v>474.4166666666667</v>
      </c>
      <c r="AN99" s="30">
        <f t="shared" si="9"/>
        <v>141.999653221941</v>
      </c>
      <c r="AO99" s="30"/>
      <c r="AP99" s="29">
        <f t="shared" si="10"/>
        <v>0.8418608777948658</v>
      </c>
      <c r="AQ99" s="31">
        <f t="shared" si="11"/>
        <v>0.22601185752623715</v>
      </c>
      <c r="AR99" s="21" t="s">
        <v>482</v>
      </c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DM99" s="16"/>
      <c r="DN99" s="16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3"/>
      <c r="FW99" s="11"/>
    </row>
    <row r="100" spans="1:179" ht="18.75">
      <c r="A100" s="1" t="s">
        <v>967</v>
      </c>
      <c r="B100" s="2" t="s">
        <v>968</v>
      </c>
      <c r="C100" s="2" t="s">
        <v>673</v>
      </c>
      <c r="D100" s="2" t="str">
        <f>HYPERLINK("http://eros.fiehnlab.ucdavis.edu:8080/binbase-compound/bin/show/220259?db=rtx5","220259")</f>
        <v>220259</v>
      </c>
      <c r="E100" s="2" t="s">
        <v>5</v>
      </c>
      <c r="F100" s="2" t="s">
        <v>83</v>
      </c>
      <c r="G100" s="2" t="s">
        <v>83</v>
      </c>
      <c r="H100" s="7">
        <v>563</v>
      </c>
      <c r="I100" s="7">
        <v>483</v>
      </c>
      <c r="J100" s="7">
        <v>1446</v>
      </c>
      <c r="K100" s="7">
        <v>1356</v>
      </c>
      <c r="L100" s="7">
        <v>2052</v>
      </c>
      <c r="M100" s="7">
        <v>1437</v>
      </c>
      <c r="N100" s="7">
        <v>2259</v>
      </c>
      <c r="O100" s="7">
        <v>558</v>
      </c>
      <c r="P100" s="7">
        <v>335</v>
      </c>
      <c r="Q100" s="7">
        <v>715</v>
      </c>
      <c r="R100" s="7">
        <v>1305</v>
      </c>
      <c r="S100" s="7">
        <v>829</v>
      </c>
      <c r="T100" s="7">
        <v>589</v>
      </c>
      <c r="U100" s="7">
        <v>1904</v>
      </c>
      <c r="V100" s="7">
        <v>1950</v>
      </c>
      <c r="W100" s="24">
        <f t="shared" si="6"/>
        <v>1185.4</v>
      </c>
      <c r="X100" s="25">
        <f t="shared" si="7"/>
        <v>648.1172512968402</v>
      </c>
      <c r="Y100" s="25"/>
      <c r="Z100" s="26"/>
      <c r="AA100" s="7">
        <v>482</v>
      </c>
      <c r="AB100" s="7">
        <v>1052</v>
      </c>
      <c r="AC100" s="7">
        <v>458</v>
      </c>
      <c r="AD100" s="7">
        <v>2745</v>
      </c>
      <c r="AE100" s="7">
        <v>905</v>
      </c>
      <c r="AF100" s="7">
        <v>452</v>
      </c>
      <c r="AG100" s="7">
        <v>390</v>
      </c>
      <c r="AH100" s="7">
        <v>292</v>
      </c>
      <c r="AI100" s="7">
        <v>1546</v>
      </c>
      <c r="AJ100" s="7">
        <v>2470</v>
      </c>
      <c r="AK100" s="7">
        <v>500</v>
      </c>
      <c r="AL100" s="7">
        <v>715</v>
      </c>
      <c r="AM100" s="30">
        <f t="shared" si="8"/>
        <v>1000.5833333333334</v>
      </c>
      <c r="AN100" s="30">
        <f t="shared" si="9"/>
        <v>830.2653965979064</v>
      </c>
      <c r="AO100" s="30"/>
      <c r="AP100" s="29">
        <f t="shared" si="10"/>
        <v>0.8440891963331646</v>
      </c>
      <c r="AQ100" s="31">
        <f t="shared" si="11"/>
        <v>0.5214566516667368</v>
      </c>
      <c r="AR100" s="21" t="s">
        <v>967</v>
      </c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DM100" s="16"/>
      <c r="DN100" s="16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3"/>
      <c r="FW100" s="11"/>
    </row>
    <row r="101" spans="1:179" ht="18.75">
      <c r="A101" s="1" t="s">
        <v>927</v>
      </c>
      <c r="B101" s="2" t="s">
        <v>928</v>
      </c>
      <c r="C101" s="2" t="s">
        <v>227</v>
      </c>
      <c r="D101" s="2" t="str">
        <f>HYPERLINK("http://eros.fiehnlab.ucdavis.edu:8080/binbase-compound/bin/show/226848?db=rtx5","226848")</f>
        <v>226848</v>
      </c>
      <c r="E101" s="2" t="s">
        <v>651</v>
      </c>
      <c r="F101" s="2" t="s">
        <v>83</v>
      </c>
      <c r="G101" s="2" t="s">
        <v>83</v>
      </c>
      <c r="H101" s="7">
        <v>22918</v>
      </c>
      <c r="I101" s="7">
        <v>13958</v>
      </c>
      <c r="J101" s="7">
        <v>6977</v>
      </c>
      <c r="K101" s="7">
        <v>10441</v>
      </c>
      <c r="L101" s="7">
        <v>17242</v>
      </c>
      <c r="M101" s="7">
        <v>16209</v>
      </c>
      <c r="N101" s="7">
        <v>20114</v>
      </c>
      <c r="O101" s="7">
        <v>8656</v>
      </c>
      <c r="P101" s="7">
        <v>12027</v>
      </c>
      <c r="Q101" s="7">
        <v>12665</v>
      </c>
      <c r="R101" s="7">
        <v>21891</v>
      </c>
      <c r="S101" s="7">
        <v>13067</v>
      </c>
      <c r="T101" s="7">
        <v>14543</v>
      </c>
      <c r="U101" s="7">
        <v>10189</v>
      </c>
      <c r="V101" s="7">
        <v>23606</v>
      </c>
      <c r="W101" s="24">
        <f t="shared" si="6"/>
        <v>14966.866666666667</v>
      </c>
      <c r="X101" s="25">
        <f t="shared" si="7"/>
        <v>5242.244187731959</v>
      </c>
      <c r="Y101" s="25"/>
      <c r="Z101" s="26"/>
      <c r="AA101" s="7">
        <v>6814</v>
      </c>
      <c r="AB101" s="7">
        <v>8920</v>
      </c>
      <c r="AC101" s="7">
        <v>8702</v>
      </c>
      <c r="AD101" s="7">
        <v>9421</v>
      </c>
      <c r="AE101" s="7">
        <v>7068</v>
      </c>
      <c r="AF101" s="7">
        <v>12066</v>
      </c>
      <c r="AG101" s="7">
        <v>15400</v>
      </c>
      <c r="AH101" s="7">
        <v>12153</v>
      </c>
      <c r="AI101" s="7">
        <v>20365</v>
      </c>
      <c r="AJ101" s="7">
        <v>15052</v>
      </c>
      <c r="AK101" s="7">
        <v>14848</v>
      </c>
      <c r="AL101" s="7">
        <v>21136</v>
      </c>
      <c r="AM101" s="30">
        <f t="shared" si="8"/>
        <v>12662.083333333334</v>
      </c>
      <c r="AN101" s="30">
        <f t="shared" si="9"/>
        <v>4818.7767866645345</v>
      </c>
      <c r="AO101" s="30"/>
      <c r="AP101" s="29">
        <f t="shared" si="10"/>
        <v>0.8460076257332865</v>
      </c>
      <c r="AQ101" s="31">
        <f t="shared" si="11"/>
        <v>0.25067031486574726</v>
      </c>
      <c r="AR101" s="21" t="s">
        <v>927</v>
      </c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DM101" s="16"/>
      <c r="DN101" s="16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3"/>
      <c r="FW101" s="11"/>
    </row>
    <row r="102" spans="1:179" ht="18.75">
      <c r="A102" s="1" t="s">
        <v>780</v>
      </c>
      <c r="B102" s="2" t="s">
        <v>781</v>
      </c>
      <c r="C102" s="2" t="s">
        <v>561</v>
      </c>
      <c r="D102" s="2" t="str">
        <f>HYPERLINK("http://eros.fiehnlab.ucdavis.edu:8080/binbase-compound/bin/show/295046?db=rtx5","295046")</f>
        <v>295046</v>
      </c>
      <c r="E102" s="2" t="s">
        <v>197</v>
      </c>
      <c r="F102" s="2" t="s">
        <v>83</v>
      </c>
      <c r="G102" s="2" t="s">
        <v>83</v>
      </c>
      <c r="H102" s="7">
        <v>334</v>
      </c>
      <c r="I102" s="7">
        <v>458</v>
      </c>
      <c r="J102" s="7">
        <v>993</v>
      </c>
      <c r="K102" s="7">
        <v>663</v>
      </c>
      <c r="L102" s="7">
        <v>844</v>
      </c>
      <c r="M102" s="7">
        <v>1193</v>
      </c>
      <c r="N102" s="7">
        <v>1176</v>
      </c>
      <c r="O102" s="7">
        <v>432</v>
      </c>
      <c r="P102" s="7">
        <v>397</v>
      </c>
      <c r="Q102" s="7">
        <v>365</v>
      </c>
      <c r="R102" s="7">
        <v>1371</v>
      </c>
      <c r="S102" s="7">
        <v>862</v>
      </c>
      <c r="T102" s="7">
        <v>431</v>
      </c>
      <c r="U102" s="7">
        <v>1009</v>
      </c>
      <c r="V102" s="7">
        <v>522</v>
      </c>
      <c r="W102" s="24">
        <f t="shared" si="6"/>
        <v>736.6666666666666</v>
      </c>
      <c r="X102" s="25">
        <f t="shared" si="7"/>
        <v>348.6505960058552</v>
      </c>
      <c r="Y102" s="25"/>
      <c r="Z102" s="26"/>
      <c r="AA102" s="7">
        <v>712</v>
      </c>
      <c r="AB102" s="7">
        <v>785</v>
      </c>
      <c r="AC102" s="7">
        <v>524</v>
      </c>
      <c r="AD102" s="7">
        <v>671</v>
      </c>
      <c r="AE102" s="7">
        <v>391</v>
      </c>
      <c r="AF102" s="7">
        <v>424</v>
      </c>
      <c r="AG102" s="7">
        <v>388</v>
      </c>
      <c r="AH102" s="7">
        <v>261</v>
      </c>
      <c r="AI102" s="7">
        <v>928</v>
      </c>
      <c r="AJ102" s="7">
        <v>928</v>
      </c>
      <c r="AK102" s="7">
        <v>668</v>
      </c>
      <c r="AL102" s="7">
        <v>819</v>
      </c>
      <c r="AM102" s="30">
        <f t="shared" si="8"/>
        <v>624.9166666666666</v>
      </c>
      <c r="AN102" s="30">
        <f t="shared" si="9"/>
        <v>224.0963503549852</v>
      </c>
      <c r="AO102" s="30"/>
      <c r="AP102" s="29">
        <f t="shared" si="10"/>
        <v>0.8483031674208145</v>
      </c>
      <c r="AQ102" s="31">
        <f t="shared" si="11"/>
        <v>0.3458087604418849</v>
      </c>
      <c r="AR102" s="21" t="s">
        <v>780</v>
      </c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DM102" s="16"/>
      <c r="DN102" s="16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3"/>
      <c r="FW102" s="11"/>
    </row>
    <row r="103" spans="1:179" ht="18.75">
      <c r="A103" s="1" t="s">
        <v>211</v>
      </c>
      <c r="B103" s="2" t="s">
        <v>212</v>
      </c>
      <c r="C103" s="2" t="s">
        <v>213</v>
      </c>
      <c r="D103" s="2" t="str">
        <f>HYPERLINK("http://eros.fiehnlab.ucdavis.edu:8080/binbase-compound/bin/show/213127?db=rtx5","213127")</f>
        <v>213127</v>
      </c>
      <c r="E103" s="2" t="s">
        <v>616</v>
      </c>
      <c r="F103" s="2" t="str">
        <f>HYPERLINK("http://www.genome.ad.jp/dbget-bin/www_bget?compound+C00299","C00299")</f>
        <v>C00299</v>
      </c>
      <c r="G103" s="2" t="str">
        <f>HYPERLINK("http://pubchem.ncbi.nlm.nih.gov/summary/summary.cgi?cid=6029","6029")</f>
        <v>6029</v>
      </c>
      <c r="H103" s="7">
        <v>648</v>
      </c>
      <c r="I103" s="7">
        <v>555</v>
      </c>
      <c r="J103" s="7">
        <v>506</v>
      </c>
      <c r="K103" s="7">
        <v>825</v>
      </c>
      <c r="L103" s="7">
        <v>891</v>
      </c>
      <c r="M103" s="7">
        <v>940</v>
      </c>
      <c r="N103" s="7">
        <v>996</v>
      </c>
      <c r="O103" s="7">
        <v>670</v>
      </c>
      <c r="P103" s="7">
        <v>692</v>
      </c>
      <c r="Q103" s="7">
        <v>719</v>
      </c>
      <c r="R103" s="7">
        <v>897</v>
      </c>
      <c r="S103" s="7">
        <v>732</v>
      </c>
      <c r="T103" s="7">
        <v>899</v>
      </c>
      <c r="U103" s="7">
        <v>507</v>
      </c>
      <c r="V103" s="7">
        <v>763</v>
      </c>
      <c r="W103" s="24">
        <f t="shared" si="6"/>
        <v>749.3333333333334</v>
      </c>
      <c r="X103" s="25">
        <f t="shared" si="7"/>
        <v>156.78860502812924</v>
      </c>
      <c r="Y103" s="25"/>
      <c r="Z103" s="26"/>
      <c r="AA103" s="7">
        <v>740</v>
      </c>
      <c r="AB103" s="7">
        <v>672</v>
      </c>
      <c r="AC103" s="7">
        <v>651</v>
      </c>
      <c r="AD103" s="7">
        <v>580</v>
      </c>
      <c r="AE103" s="7">
        <v>503</v>
      </c>
      <c r="AF103" s="7">
        <v>267</v>
      </c>
      <c r="AG103" s="7">
        <v>353</v>
      </c>
      <c r="AH103" s="7">
        <v>874</v>
      </c>
      <c r="AI103" s="7">
        <v>718</v>
      </c>
      <c r="AJ103" s="7">
        <v>681</v>
      </c>
      <c r="AK103" s="7">
        <v>847</v>
      </c>
      <c r="AL103" s="7">
        <v>773</v>
      </c>
      <c r="AM103" s="30">
        <f t="shared" si="8"/>
        <v>638.25</v>
      </c>
      <c r="AN103" s="30">
        <f t="shared" si="9"/>
        <v>185.38271224685434</v>
      </c>
      <c r="AO103" s="30"/>
      <c r="AP103" s="29">
        <f t="shared" si="10"/>
        <v>0.8517571174377224</v>
      </c>
      <c r="AQ103" s="31">
        <f t="shared" si="11"/>
        <v>0.10394414932888822</v>
      </c>
      <c r="AR103" s="21" t="s">
        <v>211</v>
      </c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DM103" s="16"/>
      <c r="DN103" s="16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3"/>
      <c r="FW103" s="11"/>
    </row>
    <row r="104" spans="1:179" ht="18.75">
      <c r="A104" s="1" t="s">
        <v>1086</v>
      </c>
      <c r="B104" s="2" t="s">
        <v>462</v>
      </c>
      <c r="C104" s="2" t="s">
        <v>463</v>
      </c>
      <c r="D104" s="2" t="str">
        <f>HYPERLINK("http://eros.fiehnlab.ucdavis.edu:8080/binbase-compound/bin/show/199188?db=rtx5","199188")</f>
        <v>199188</v>
      </c>
      <c r="E104" s="2" t="s">
        <v>172</v>
      </c>
      <c r="F104" s="2" t="str">
        <f>HYPERLINK("http://www.genome.ad.jp/dbget-bin/www_bget?compound+C00095","C00095")</f>
        <v>C00095</v>
      </c>
      <c r="G104" s="2" t="str">
        <f>HYPERLINK("http://pubchem.ncbi.nlm.nih.gov/summary/summary.cgi?cid=5984","5984")</f>
        <v>5984</v>
      </c>
      <c r="H104" s="7">
        <v>5153</v>
      </c>
      <c r="I104" s="7">
        <v>2934</v>
      </c>
      <c r="J104" s="7">
        <v>837</v>
      </c>
      <c r="K104" s="7">
        <v>1705</v>
      </c>
      <c r="L104" s="7">
        <v>2072</v>
      </c>
      <c r="M104" s="7">
        <v>1651</v>
      </c>
      <c r="N104" s="7">
        <v>827</v>
      </c>
      <c r="O104" s="7">
        <v>1237</v>
      </c>
      <c r="P104" s="7">
        <v>963</v>
      </c>
      <c r="Q104" s="7">
        <v>1617</v>
      </c>
      <c r="R104" s="7">
        <v>2474</v>
      </c>
      <c r="S104" s="7">
        <v>1953</v>
      </c>
      <c r="T104" s="7">
        <v>1675</v>
      </c>
      <c r="U104" s="7">
        <v>888</v>
      </c>
      <c r="V104" s="7">
        <v>2004</v>
      </c>
      <c r="W104" s="24">
        <f t="shared" si="6"/>
        <v>1866</v>
      </c>
      <c r="X104" s="25">
        <f t="shared" si="7"/>
        <v>1097.407008751604</v>
      </c>
      <c r="Y104" s="25"/>
      <c r="Z104" s="26"/>
      <c r="AA104" s="7">
        <v>741</v>
      </c>
      <c r="AB104" s="7">
        <v>1483</v>
      </c>
      <c r="AC104" s="7">
        <v>1141</v>
      </c>
      <c r="AD104" s="7">
        <v>4848</v>
      </c>
      <c r="AE104" s="7">
        <v>1245</v>
      </c>
      <c r="AF104" s="7">
        <v>1429</v>
      </c>
      <c r="AG104" s="7">
        <v>1675</v>
      </c>
      <c r="AH104" s="7">
        <v>1730</v>
      </c>
      <c r="AI104" s="7">
        <v>1170</v>
      </c>
      <c r="AJ104" s="7">
        <v>1102</v>
      </c>
      <c r="AK104" s="7">
        <v>1243</v>
      </c>
      <c r="AL104" s="7">
        <v>1375</v>
      </c>
      <c r="AM104" s="30">
        <f t="shared" si="8"/>
        <v>1598.5</v>
      </c>
      <c r="AN104" s="30">
        <f t="shared" si="9"/>
        <v>1057.4625288869577</v>
      </c>
      <c r="AO104" s="30"/>
      <c r="AP104" s="29">
        <f t="shared" si="10"/>
        <v>0.8566452304394426</v>
      </c>
      <c r="AQ104" s="31">
        <f t="shared" si="11"/>
        <v>0.528306802113933</v>
      </c>
      <c r="AR104" s="21" t="s">
        <v>1086</v>
      </c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DM104" s="16"/>
      <c r="DN104" s="16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3"/>
      <c r="FW104" s="11"/>
    </row>
    <row r="105" spans="1:179" ht="18.75">
      <c r="A105" s="1" t="s">
        <v>90</v>
      </c>
      <c r="B105" s="2" t="s">
        <v>405</v>
      </c>
      <c r="C105" s="2" t="s">
        <v>406</v>
      </c>
      <c r="D105" s="2" t="str">
        <f>HYPERLINK("http://eros.fiehnlab.ucdavis.edu:8080/binbase-compound/bin/show/203241?db=rtx5","203241")</f>
        <v>203241</v>
      </c>
      <c r="E105" s="2" t="s">
        <v>627</v>
      </c>
      <c r="F105" s="2" t="str">
        <f>HYPERLINK("http://www.genome.ad.jp/dbget-bin/www_bget?compound+n/a","n/a")</f>
        <v>n/a</v>
      </c>
      <c r="G105" s="2" t="str">
        <f>HYPERLINK("http://pubchem.ncbi.nlm.nih.gov/summary/summary.cgi?cid=18931500","18931500")</f>
        <v>18931500</v>
      </c>
      <c r="H105" s="7">
        <v>1149</v>
      </c>
      <c r="I105" s="7">
        <v>996</v>
      </c>
      <c r="J105" s="7">
        <v>2855</v>
      </c>
      <c r="K105" s="7">
        <v>1131</v>
      </c>
      <c r="L105" s="7">
        <v>1201</v>
      </c>
      <c r="M105" s="7">
        <v>1264</v>
      </c>
      <c r="N105" s="7">
        <v>1778</v>
      </c>
      <c r="O105" s="7">
        <v>625</v>
      </c>
      <c r="P105" s="7">
        <v>428</v>
      </c>
      <c r="Q105" s="7">
        <v>676</v>
      </c>
      <c r="R105" s="7">
        <v>2090</v>
      </c>
      <c r="S105" s="7">
        <v>834</v>
      </c>
      <c r="T105" s="7">
        <v>776</v>
      </c>
      <c r="U105" s="7">
        <v>1548</v>
      </c>
      <c r="V105" s="7">
        <v>2224</v>
      </c>
      <c r="W105" s="24">
        <f t="shared" si="6"/>
        <v>1305</v>
      </c>
      <c r="X105" s="25">
        <f t="shared" si="7"/>
        <v>678.101656938587</v>
      </c>
      <c r="Y105" s="25"/>
      <c r="Z105" s="26"/>
      <c r="AA105" s="7">
        <v>788</v>
      </c>
      <c r="AB105" s="7">
        <v>1116</v>
      </c>
      <c r="AC105" s="7">
        <v>654</v>
      </c>
      <c r="AD105" s="7">
        <v>2283</v>
      </c>
      <c r="AE105" s="7">
        <v>1145</v>
      </c>
      <c r="AF105" s="7">
        <v>786</v>
      </c>
      <c r="AG105" s="7">
        <v>577</v>
      </c>
      <c r="AH105" s="7">
        <v>470</v>
      </c>
      <c r="AI105" s="7">
        <v>1320</v>
      </c>
      <c r="AJ105" s="7">
        <v>2561</v>
      </c>
      <c r="AK105" s="7">
        <v>789</v>
      </c>
      <c r="AL105" s="7">
        <v>933</v>
      </c>
      <c r="AM105" s="30">
        <f t="shared" si="8"/>
        <v>1118.5</v>
      </c>
      <c r="AN105" s="30">
        <f t="shared" si="9"/>
        <v>658.543779175621</v>
      </c>
      <c r="AO105" s="30"/>
      <c r="AP105" s="29">
        <f t="shared" si="10"/>
        <v>0.8570881226053639</v>
      </c>
      <c r="AQ105" s="31">
        <f t="shared" si="11"/>
        <v>0.47869739441205783</v>
      </c>
      <c r="AR105" s="21" t="s">
        <v>90</v>
      </c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DM105" s="16"/>
      <c r="DN105" s="16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3"/>
      <c r="FW105" s="11"/>
    </row>
    <row r="106" spans="1:179" ht="18.75">
      <c r="A106" s="1" t="s">
        <v>668</v>
      </c>
      <c r="B106" s="2" t="s">
        <v>669</v>
      </c>
      <c r="C106" s="2" t="s">
        <v>295</v>
      </c>
      <c r="D106" s="2" t="str">
        <f>HYPERLINK("http://eros.fiehnlab.ucdavis.edu:8080/binbase-compound/bin/show/416137?db=rtx5","416137")</f>
        <v>416137</v>
      </c>
      <c r="E106" s="2" t="s">
        <v>111</v>
      </c>
      <c r="F106" s="2" t="s">
        <v>83</v>
      </c>
      <c r="G106" s="2" t="s">
        <v>83</v>
      </c>
      <c r="H106" s="7">
        <v>3192</v>
      </c>
      <c r="I106" s="7">
        <v>3374</v>
      </c>
      <c r="J106" s="7">
        <v>15051</v>
      </c>
      <c r="K106" s="7">
        <v>4602</v>
      </c>
      <c r="L106" s="7">
        <v>4236</v>
      </c>
      <c r="M106" s="7">
        <v>2117</v>
      </c>
      <c r="N106" s="7">
        <v>5009</v>
      </c>
      <c r="O106" s="7">
        <v>2731</v>
      </c>
      <c r="P106" s="7">
        <v>2907</v>
      </c>
      <c r="Q106" s="7">
        <v>4461</v>
      </c>
      <c r="R106" s="7">
        <v>5411</v>
      </c>
      <c r="S106" s="7">
        <v>3861</v>
      </c>
      <c r="T106" s="7">
        <v>3848</v>
      </c>
      <c r="U106" s="7">
        <v>7722</v>
      </c>
      <c r="V106" s="7">
        <v>7643</v>
      </c>
      <c r="W106" s="24">
        <f t="shared" si="6"/>
        <v>5077.666666666667</v>
      </c>
      <c r="X106" s="25">
        <f t="shared" si="7"/>
        <v>3194.932810978451</v>
      </c>
      <c r="Y106" s="25"/>
      <c r="Z106" s="26"/>
      <c r="AA106" s="7">
        <v>5863</v>
      </c>
      <c r="AB106" s="7">
        <v>4742</v>
      </c>
      <c r="AC106" s="7">
        <v>4201</v>
      </c>
      <c r="AD106" s="7">
        <v>5031</v>
      </c>
      <c r="AE106" s="7">
        <v>6036</v>
      </c>
      <c r="AF106" s="7">
        <v>586</v>
      </c>
      <c r="AG106" s="7">
        <v>2121</v>
      </c>
      <c r="AH106" s="7">
        <v>3052</v>
      </c>
      <c r="AI106" s="7">
        <v>5213</v>
      </c>
      <c r="AJ106" s="7">
        <v>6434</v>
      </c>
      <c r="AK106" s="7">
        <v>5079</v>
      </c>
      <c r="AL106" s="7">
        <v>3894</v>
      </c>
      <c r="AM106" s="30">
        <f t="shared" si="8"/>
        <v>4354.333333333333</v>
      </c>
      <c r="AN106" s="30">
        <f t="shared" si="9"/>
        <v>1716.7439758996907</v>
      </c>
      <c r="AO106" s="30"/>
      <c r="AP106" s="29">
        <f t="shared" si="10"/>
        <v>0.857546116982866</v>
      </c>
      <c r="AQ106" s="31">
        <f t="shared" si="11"/>
        <v>0.4871772009842671</v>
      </c>
      <c r="AR106" s="21" t="s">
        <v>668</v>
      </c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DM106" s="16"/>
      <c r="DN106" s="16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3"/>
      <c r="FW106" s="11"/>
    </row>
    <row r="107" spans="1:179" ht="18.75">
      <c r="A107" s="1" t="s">
        <v>480</v>
      </c>
      <c r="B107" s="2" t="s">
        <v>481</v>
      </c>
      <c r="C107" s="2" t="s">
        <v>222</v>
      </c>
      <c r="D107" s="2" t="str">
        <f>HYPERLINK("http://eros.fiehnlab.ucdavis.edu:8080/binbase-compound/bin/show/223490?db=rtx5","223490")</f>
        <v>223490</v>
      </c>
      <c r="E107" s="2" t="s">
        <v>1128</v>
      </c>
      <c r="F107" s="2" t="str">
        <f>HYPERLINK("http://www.genome.ad.jp/dbget-bin/www_bget?compound+C00491","C00491")</f>
        <v>C00491</v>
      </c>
      <c r="G107" s="2" t="str">
        <f>HYPERLINK("http://pubchem.ncbi.nlm.nih.gov/summary/summary.cgi?cid=67678","67678")</f>
        <v>67678</v>
      </c>
      <c r="H107" s="7">
        <v>160</v>
      </c>
      <c r="I107" s="7">
        <v>3215</v>
      </c>
      <c r="J107" s="7">
        <v>6817</v>
      </c>
      <c r="K107" s="7">
        <v>15963</v>
      </c>
      <c r="L107" s="7">
        <v>5116</v>
      </c>
      <c r="M107" s="7">
        <v>17230</v>
      </c>
      <c r="N107" s="7">
        <v>5985</v>
      </c>
      <c r="O107" s="7">
        <v>8298</v>
      </c>
      <c r="P107" s="7">
        <v>11184</v>
      </c>
      <c r="Q107" s="7">
        <v>20210</v>
      </c>
      <c r="R107" s="7">
        <v>14901</v>
      </c>
      <c r="S107" s="7">
        <v>26851</v>
      </c>
      <c r="T107" s="7">
        <v>20879</v>
      </c>
      <c r="U107" s="7">
        <v>9064</v>
      </c>
      <c r="V107" s="7">
        <v>8187</v>
      </c>
      <c r="W107" s="24">
        <f t="shared" si="6"/>
        <v>11604</v>
      </c>
      <c r="X107" s="25">
        <f t="shared" si="7"/>
        <v>7470.128570322124</v>
      </c>
      <c r="Y107" s="25"/>
      <c r="Z107" s="26"/>
      <c r="AA107" s="7">
        <v>7326</v>
      </c>
      <c r="AB107" s="7">
        <v>7739</v>
      </c>
      <c r="AC107" s="7">
        <v>19753</v>
      </c>
      <c r="AD107" s="7">
        <v>7712</v>
      </c>
      <c r="AE107" s="7">
        <v>11017</v>
      </c>
      <c r="AF107" s="7">
        <v>272</v>
      </c>
      <c r="AG107" s="7">
        <v>2526</v>
      </c>
      <c r="AH107" s="7">
        <v>6317</v>
      </c>
      <c r="AI107" s="7">
        <v>10266</v>
      </c>
      <c r="AJ107" s="7">
        <v>10864</v>
      </c>
      <c r="AK107" s="7">
        <v>19959</v>
      </c>
      <c r="AL107" s="7">
        <v>15829</v>
      </c>
      <c r="AM107" s="30">
        <f t="shared" si="8"/>
        <v>9965</v>
      </c>
      <c r="AN107" s="30">
        <f t="shared" si="9"/>
        <v>6117.584654093476</v>
      </c>
      <c r="AO107" s="30"/>
      <c r="AP107" s="29">
        <f t="shared" si="10"/>
        <v>0.8587556015167184</v>
      </c>
      <c r="AQ107" s="31">
        <f t="shared" si="11"/>
        <v>0.5456532457829344</v>
      </c>
      <c r="AR107" s="21" t="s">
        <v>480</v>
      </c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DM107" s="16"/>
      <c r="DN107" s="16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3"/>
      <c r="FW107" s="11"/>
    </row>
    <row r="108" spans="1:179" ht="18.75">
      <c r="A108" s="1" t="s">
        <v>338</v>
      </c>
      <c r="B108" s="2" t="s">
        <v>339</v>
      </c>
      <c r="C108" s="2" t="s">
        <v>340</v>
      </c>
      <c r="D108" s="2" t="str">
        <f>HYPERLINK("http://eros.fiehnlab.ucdavis.edu:8080/binbase-compound/bin/show/202859?db=rtx5","202859")</f>
        <v>202859</v>
      </c>
      <c r="E108" s="2" t="s">
        <v>21</v>
      </c>
      <c r="F108" s="2" t="str">
        <f>HYPERLINK("http://www.genome.ad.jp/dbget-bin/www_bget?compound+n/a","n/a")</f>
        <v>n/a</v>
      </c>
      <c r="G108" s="2" t="str">
        <f>HYPERLINK("http://pubchem.ncbi.nlm.nih.gov/summary/summary.cgi?cid=14900","14900")</f>
        <v>14900</v>
      </c>
      <c r="H108" s="7">
        <v>351</v>
      </c>
      <c r="I108" s="7">
        <v>176</v>
      </c>
      <c r="J108" s="7">
        <v>632</v>
      </c>
      <c r="K108" s="7">
        <v>249</v>
      </c>
      <c r="L108" s="7">
        <v>148</v>
      </c>
      <c r="M108" s="7">
        <v>181</v>
      </c>
      <c r="N108" s="7">
        <v>224</v>
      </c>
      <c r="O108" s="7">
        <v>116</v>
      </c>
      <c r="P108" s="7">
        <v>180</v>
      </c>
      <c r="Q108" s="7">
        <v>188</v>
      </c>
      <c r="R108" s="7">
        <v>295</v>
      </c>
      <c r="S108" s="7">
        <v>174</v>
      </c>
      <c r="T108" s="7">
        <v>214</v>
      </c>
      <c r="U108" s="7">
        <v>206</v>
      </c>
      <c r="V108" s="7">
        <v>307</v>
      </c>
      <c r="W108" s="24">
        <f t="shared" si="6"/>
        <v>242.73333333333332</v>
      </c>
      <c r="X108" s="25">
        <f t="shared" si="7"/>
        <v>124.6804295942612</v>
      </c>
      <c r="Y108" s="25"/>
      <c r="Z108" s="26"/>
      <c r="AA108" s="7">
        <v>211</v>
      </c>
      <c r="AB108" s="7">
        <v>204</v>
      </c>
      <c r="AC108" s="7">
        <v>188</v>
      </c>
      <c r="AD108" s="7">
        <v>168</v>
      </c>
      <c r="AE108" s="7">
        <v>246</v>
      </c>
      <c r="AF108" s="7">
        <v>318</v>
      </c>
      <c r="AG108" s="7">
        <v>196</v>
      </c>
      <c r="AH108" s="7">
        <v>174</v>
      </c>
      <c r="AI108" s="7">
        <v>253</v>
      </c>
      <c r="AJ108" s="7">
        <v>201</v>
      </c>
      <c r="AK108" s="7">
        <v>164</v>
      </c>
      <c r="AL108" s="7">
        <v>183</v>
      </c>
      <c r="AM108" s="30">
        <f t="shared" si="8"/>
        <v>208.83333333333334</v>
      </c>
      <c r="AN108" s="30">
        <f t="shared" si="9"/>
        <v>44.20578599178525</v>
      </c>
      <c r="AO108" s="30"/>
      <c r="AP108" s="29">
        <f t="shared" si="10"/>
        <v>0.8603405657786324</v>
      </c>
      <c r="AQ108" s="31">
        <f t="shared" si="11"/>
        <v>0.3793395182880904</v>
      </c>
      <c r="AR108" s="21" t="s">
        <v>338</v>
      </c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DM108" s="16"/>
      <c r="DN108" s="16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3"/>
      <c r="FW108" s="11"/>
    </row>
    <row r="109" spans="1:179" ht="18.75">
      <c r="A109" s="1" t="s">
        <v>523</v>
      </c>
      <c r="B109" s="2" t="s">
        <v>524</v>
      </c>
      <c r="C109" s="2" t="s">
        <v>243</v>
      </c>
      <c r="D109" s="2" t="str">
        <f>HYPERLINK("http://eros.fiehnlab.ucdavis.edu:8080/binbase-compound/bin/show/410997?db=rtx5","410997")</f>
        <v>410997</v>
      </c>
      <c r="E109" s="2" t="s">
        <v>171</v>
      </c>
      <c r="F109" s="2" t="s">
        <v>83</v>
      </c>
      <c r="G109" s="2" t="s">
        <v>83</v>
      </c>
      <c r="H109" s="7">
        <v>5174</v>
      </c>
      <c r="I109" s="7">
        <v>5703</v>
      </c>
      <c r="J109" s="7">
        <v>10042</v>
      </c>
      <c r="K109" s="7">
        <v>8313</v>
      </c>
      <c r="L109" s="7">
        <v>4289</v>
      </c>
      <c r="M109" s="7">
        <v>7234</v>
      </c>
      <c r="N109" s="7">
        <v>5235</v>
      </c>
      <c r="O109" s="7">
        <v>5072</v>
      </c>
      <c r="P109" s="7">
        <v>5822</v>
      </c>
      <c r="Q109" s="7">
        <v>1683</v>
      </c>
      <c r="R109" s="7">
        <v>9275</v>
      </c>
      <c r="S109" s="7">
        <v>6483</v>
      </c>
      <c r="T109" s="7">
        <v>7433</v>
      </c>
      <c r="U109" s="7">
        <v>4723</v>
      </c>
      <c r="V109" s="7">
        <v>7508</v>
      </c>
      <c r="W109" s="24">
        <f t="shared" si="6"/>
        <v>6265.933333333333</v>
      </c>
      <c r="X109" s="25">
        <f t="shared" si="7"/>
        <v>2119.290058576444</v>
      </c>
      <c r="Y109" s="25"/>
      <c r="Z109" s="26"/>
      <c r="AA109" s="7">
        <v>5082</v>
      </c>
      <c r="AB109" s="7">
        <v>6497</v>
      </c>
      <c r="AC109" s="7">
        <v>6056</v>
      </c>
      <c r="AD109" s="7">
        <v>1447</v>
      </c>
      <c r="AE109" s="7">
        <v>3324</v>
      </c>
      <c r="AF109" s="7">
        <v>7491</v>
      </c>
      <c r="AG109" s="7">
        <v>4835</v>
      </c>
      <c r="AH109" s="7">
        <v>5771</v>
      </c>
      <c r="AI109" s="7">
        <v>6816</v>
      </c>
      <c r="AJ109" s="7">
        <v>4421</v>
      </c>
      <c r="AK109" s="7">
        <v>5841</v>
      </c>
      <c r="AL109" s="7">
        <v>7323</v>
      </c>
      <c r="AM109" s="30">
        <f t="shared" si="8"/>
        <v>5408.666666666667</v>
      </c>
      <c r="AN109" s="30">
        <f t="shared" si="9"/>
        <v>1741.3423940550392</v>
      </c>
      <c r="AO109" s="30"/>
      <c r="AP109" s="29">
        <f t="shared" si="10"/>
        <v>0.8631861175243912</v>
      </c>
      <c r="AQ109" s="31">
        <f t="shared" si="11"/>
        <v>0.26995854029195265</v>
      </c>
      <c r="AR109" s="21" t="s">
        <v>523</v>
      </c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DM109" s="16"/>
      <c r="DN109" s="16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3"/>
      <c r="FW109" s="11"/>
    </row>
    <row r="110" spans="1:179" ht="18.75">
      <c r="A110" s="1" t="s">
        <v>1047</v>
      </c>
      <c r="B110" s="2" t="s">
        <v>1048</v>
      </c>
      <c r="C110" s="2" t="s">
        <v>265</v>
      </c>
      <c r="D110" s="2" t="str">
        <f>HYPERLINK("http://eros.fiehnlab.ucdavis.edu:8080/binbase-compound/bin/show/199203?db=rtx5","199203")</f>
        <v>199203</v>
      </c>
      <c r="E110" s="2" t="s">
        <v>654</v>
      </c>
      <c r="F110" s="2" t="s">
        <v>83</v>
      </c>
      <c r="G110" s="2" t="s">
        <v>83</v>
      </c>
      <c r="H110" s="7">
        <v>3306</v>
      </c>
      <c r="I110" s="7">
        <v>22567</v>
      </c>
      <c r="J110" s="7">
        <v>14118</v>
      </c>
      <c r="K110" s="7">
        <v>15982</v>
      </c>
      <c r="L110" s="7">
        <v>11411</v>
      </c>
      <c r="M110" s="7">
        <v>17750</v>
      </c>
      <c r="N110" s="7">
        <v>14194</v>
      </c>
      <c r="O110" s="7">
        <v>11976</v>
      </c>
      <c r="P110" s="7">
        <v>19200</v>
      </c>
      <c r="Q110" s="7">
        <v>11471</v>
      </c>
      <c r="R110" s="7">
        <v>15858</v>
      </c>
      <c r="S110" s="7">
        <v>12560</v>
      </c>
      <c r="T110" s="7">
        <v>14170</v>
      </c>
      <c r="U110" s="7">
        <v>15534</v>
      </c>
      <c r="V110" s="7">
        <v>18858</v>
      </c>
      <c r="W110" s="24">
        <f t="shared" si="6"/>
        <v>14597</v>
      </c>
      <c r="X110" s="25">
        <f t="shared" si="7"/>
        <v>4441.643003599971</v>
      </c>
      <c r="Y110" s="25"/>
      <c r="Z110" s="26"/>
      <c r="AA110" s="7">
        <v>9871</v>
      </c>
      <c r="AB110" s="7">
        <v>12307</v>
      </c>
      <c r="AC110" s="7">
        <v>3332</v>
      </c>
      <c r="AD110" s="7">
        <v>9132</v>
      </c>
      <c r="AE110" s="7">
        <v>15850</v>
      </c>
      <c r="AF110" s="7">
        <v>12123</v>
      </c>
      <c r="AG110" s="7">
        <v>16397</v>
      </c>
      <c r="AH110" s="7">
        <v>13150</v>
      </c>
      <c r="AI110" s="7">
        <v>13532</v>
      </c>
      <c r="AJ110" s="7">
        <v>8647</v>
      </c>
      <c r="AK110" s="7">
        <v>26895</v>
      </c>
      <c r="AL110" s="7">
        <v>10004</v>
      </c>
      <c r="AM110" s="30">
        <f t="shared" si="8"/>
        <v>12603.333333333334</v>
      </c>
      <c r="AN110" s="30">
        <f t="shared" si="9"/>
        <v>5709.217560359314</v>
      </c>
      <c r="AO110" s="30"/>
      <c r="AP110" s="29">
        <f t="shared" si="10"/>
        <v>0.8634194240825741</v>
      </c>
      <c r="AQ110" s="31">
        <f t="shared" si="11"/>
        <v>0.3167576346663977</v>
      </c>
      <c r="AR110" s="21" t="s">
        <v>1047</v>
      </c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DM110" s="16"/>
      <c r="DN110" s="16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3"/>
      <c r="FW110" s="11"/>
    </row>
    <row r="111" spans="1:179" ht="18.75">
      <c r="A111" s="1" t="s">
        <v>247</v>
      </c>
      <c r="B111" s="2" t="s">
        <v>246</v>
      </c>
      <c r="C111" s="2" t="s">
        <v>206</v>
      </c>
      <c r="D111" s="2" t="str">
        <f>HYPERLINK("http://eros.fiehnlab.ucdavis.edu:8080/binbase-compound/bin/show/202661?db=rtx5","202661")</f>
        <v>202661</v>
      </c>
      <c r="E111" s="2" t="s">
        <v>640</v>
      </c>
      <c r="F111" s="2" t="str">
        <f>HYPERLINK("http://www.genome.ad.jp/dbget-bin/www_bget?compound+n/a","n/a")</f>
        <v>n/a</v>
      </c>
      <c r="G111" s="2" t="str">
        <f>HYPERLINK("http://pubchem.ncbi.nlm.nih.gov/summary/summary.cgi?cid=169019","169019")</f>
        <v>169019</v>
      </c>
      <c r="H111" s="7">
        <v>1417</v>
      </c>
      <c r="I111" s="7">
        <v>838</v>
      </c>
      <c r="J111" s="7">
        <v>815</v>
      </c>
      <c r="K111" s="7">
        <v>760</v>
      </c>
      <c r="L111" s="7">
        <v>638</v>
      </c>
      <c r="M111" s="7">
        <v>836</v>
      </c>
      <c r="N111" s="7">
        <v>706</v>
      </c>
      <c r="O111" s="7">
        <v>887</v>
      </c>
      <c r="P111" s="7">
        <v>791</v>
      </c>
      <c r="Q111" s="7">
        <v>382</v>
      </c>
      <c r="R111" s="7">
        <v>783</v>
      </c>
      <c r="S111" s="7">
        <v>814</v>
      </c>
      <c r="T111" s="7">
        <v>686</v>
      </c>
      <c r="U111" s="7">
        <v>542</v>
      </c>
      <c r="V111" s="7">
        <v>678</v>
      </c>
      <c r="W111" s="24">
        <f t="shared" si="6"/>
        <v>771.5333333333333</v>
      </c>
      <c r="X111" s="25">
        <f t="shared" si="7"/>
        <v>221.27580290754995</v>
      </c>
      <c r="Y111" s="25"/>
      <c r="Z111" s="26"/>
      <c r="AA111" s="7">
        <v>732</v>
      </c>
      <c r="AB111" s="7">
        <v>525</v>
      </c>
      <c r="AC111" s="7">
        <v>688</v>
      </c>
      <c r="AD111" s="7">
        <v>483</v>
      </c>
      <c r="AE111" s="7">
        <v>773</v>
      </c>
      <c r="AF111" s="7">
        <v>791</v>
      </c>
      <c r="AG111" s="7">
        <v>603</v>
      </c>
      <c r="AH111" s="7">
        <v>549</v>
      </c>
      <c r="AI111" s="7">
        <v>806</v>
      </c>
      <c r="AJ111" s="7">
        <v>780</v>
      </c>
      <c r="AK111" s="7">
        <v>762</v>
      </c>
      <c r="AL111" s="7">
        <v>504</v>
      </c>
      <c r="AM111" s="30">
        <f t="shared" si="8"/>
        <v>666.3333333333334</v>
      </c>
      <c r="AN111" s="30">
        <f t="shared" si="9"/>
        <v>124.68019696468058</v>
      </c>
      <c r="AO111" s="30"/>
      <c r="AP111" s="29">
        <f t="shared" si="10"/>
        <v>0.8636481465479997</v>
      </c>
      <c r="AQ111" s="31">
        <f t="shared" si="11"/>
        <v>0.1547056747643566</v>
      </c>
      <c r="AR111" s="21" t="s">
        <v>247</v>
      </c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DM111" s="16"/>
      <c r="DN111" s="16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3"/>
      <c r="FW111" s="11"/>
    </row>
    <row r="112" spans="1:179" ht="18.75">
      <c r="A112" s="1" t="s">
        <v>329</v>
      </c>
      <c r="B112" s="2" t="s">
        <v>330</v>
      </c>
      <c r="C112" s="2" t="s">
        <v>331</v>
      </c>
      <c r="D112" s="2" t="str">
        <f>HYPERLINK("http://eros.fiehnlab.ucdavis.edu:8080/binbase-compound/bin/show/212606?db=rtx5","212606")</f>
        <v>212606</v>
      </c>
      <c r="E112" s="2" t="s">
        <v>1136</v>
      </c>
      <c r="F112" s="2" t="str">
        <f>HYPERLINK("http://www.genome.ad.jp/dbget-bin/www_bget?compound+C00253","C00253")</f>
        <v>C00253</v>
      </c>
      <c r="G112" s="2" t="str">
        <f>HYPERLINK("http://pubchem.ncbi.nlm.nih.gov/summary/summary.cgi?cid=938","938")</f>
        <v>938</v>
      </c>
      <c r="H112" s="7">
        <v>4716</v>
      </c>
      <c r="I112" s="7">
        <v>3076</v>
      </c>
      <c r="J112" s="7">
        <v>18667</v>
      </c>
      <c r="K112" s="7">
        <v>11769</v>
      </c>
      <c r="L112" s="7">
        <v>14022</v>
      </c>
      <c r="M112" s="7">
        <v>9497</v>
      </c>
      <c r="N112" s="7">
        <v>10378</v>
      </c>
      <c r="O112" s="7">
        <v>2143</v>
      </c>
      <c r="P112" s="7">
        <v>1410</v>
      </c>
      <c r="Q112" s="7">
        <v>4463</v>
      </c>
      <c r="R112" s="7">
        <v>11414</v>
      </c>
      <c r="S112" s="7">
        <v>4390</v>
      </c>
      <c r="T112" s="7">
        <v>2840</v>
      </c>
      <c r="U112" s="7">
        <v>11624</v>
      </c>
      <c r="V112" s="7">
        <v>18869</v>
      </c>
      <c r="W112" s="24">
        <f t="shared" si="6"/>
        <v>8618.533333333333</v>
      </c>
      <c r="X112" s="25">
        <f t="shared" si="7"/>
        <v>5820.326805584848</v>
      </c>
      <c r="Y112" s="25"/>
      <c r="Z112" s="26"/>
      <c r="AA112" s="7">
        <v>5184</v>
      </c>
      <c r="AB112" s="7">
        <v>7980</v>
      </c>
      <c r="AC112" s="7">
        <v>3196</v>
      </c>
      <c r="AD112" s="7">
        <v>20841</v>
      </c>
      <c r="AE112" s="7">
        <v>5708</v>
      </c>
      <c r="AF112" s="7">
        <v>3997</v>
      </c>
      <c r="AG112" s="7">
        <v>2439</v>
      </c>
      <c r="AH112" s="7">
        <v>1898</v>
      </c>
      <c r="AI112" s="7">
        <v>11317</v>
      </c>
      <c r="AJ112" s="7">
        <v>17764</v>
      </c>
      <c r="AK112" s="7">
        <v>3741</v>
      </c>
      <c r="AL112" s="7">
        <v>5408</v>
      </c>
      <c r="AM112" s="30">
        <f t="shared" si="8"/>
        <v>7456.083333333333</v>
      </c>
      <c r="AN112" s="30">
        <f t="shared" si="9"/>
        <v>6127.30058402309</v>
      </c>
      <c r="AO112" s="30"/>
      <c r="AP112" s="29">
        <f t="shared" si="10"/>
        <v>0.865122062531908</v>
      </c>
      <c r="AQ112" s="31">
        <f t="shared" si="11"/>
        <v>0.6187985080679639</v>
      </c>
      <c r="AR112" s="21" t="s">
        <v>329</v>
      </c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DM112" s="16"/>
      <c r="DN112" s="16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3"/>
      <c r="FW112" s="11"/>
    </row>
    <row r="113" spans="1:179" ht="18.75">
      <c r="A113" s="1" t="s">
        <v>473</v>
      </c>
      <c r="B113" s="2" t="s">
        <v>474</v>
      </c>
      <c r="C113" s="2" t="s">
        <v>475</v>
      </c>
      <c r="D113" s="2" t="str">
        <f>HYPERLINK("http://eros.fiehnlab.ucdavis.edu:8080/binbase-compound/bin/show/414965?db=rtx5","414965")</f>
        <v>414965</v>
      </c>
      <c r="E113" s="2" t="s">
        <v>1109</v>
      </c>
      <c r="F113" s="2" t="s">
        <v>83</v>
      </c>
      <c r="G113" s="2" t="s">
        <v>83</v>
      </c>
      <c r="H113" s="7">
        <v>50966</v>
      </c>
      <c r="I113" s="7">
        <v>68599</v>
      </c>
      <c r="J113" s="7">
        <v>56983</v>
      </c>
      <c r="K113" s="7">
        <v>73036</v>
      </c>
      <c r="L113" s="7">
        <v>39803</v>
      </c>
      <c r="M113" s="7">
        <v>81903</v>
      </c>
      <c r="N113" s="7">
        <v>71190</v>
      </c>
      <c r="O113" s="7">
        <v>53121</v>
      </c>
      <c r="P113" s="7">
        <v>68998</v>
      </c>
      <c r="Q113" s="7">
        <v>62502</v>
      </c>
      <c r="R113" s="7">
        <v>63427</v>
      </c>
      <c r="S113" s="7">
        <v>77967</v>
      </c>
      <c r="T113" s="7">
        <v>83868</v>
      </c>
      <c r="U113" s="7">
        <v>41245</v>
      </c>
      <c r="V113" s="7">
        <v>92769</v>
      </c>
      <c r="W113" s="24">
        <f t="shared" si="6"/>
        <v>65758.46666666666</v>
      </c>
      <c r="X113" s="25">
        <f t="shared" si="7"/>
        <v>15386.482150932101</v>
      </c>
      <c r="Y113" s="25"/>
      <c r="Z113" s="26"/>
      <c r="AA113" s="7">
        <v>72148</v>
      </c>
      <c r="AB113" s="7">
        <v>54659</v>
      </c>
      <c r="AC113" s="7">
        <v>64344</v>
      </c>
      <c r="AD113" s="7">
        <v>36620</v>
      </c>
      <c r="AE113" s="7">
        <v>36168</v>
      </c>
      <c r="AF113" s="7">
        <v>52920</v>
      </c>
      <c r="AG113" s="7">
        <v>46118</v>
      </c>
      <c r="AH113" s="7">
        <v>64079</v>
      </c>
      <c r="AI113" s="7">
        <v>50389</v>
      </c>
      <c r="AJ113" s="7">
        <v>56480</v>
      </c>
      <c r="AK113" s="7">
        <v>79947</v>
      </c>
      <c r="AL113" s="7">
        <v>70110</v>
      </c>
      <c r="AM113" s="30">
        <f t="shared" si="8"/>
        <v>56998.5</v>
      </c>
      <c r="AN113" s="30">
        <f t="shared" si="9"/>
        <v>13703.955344750255</v>
      </c>
      <c r="AO113" s="30"/>
      <c r="AP113" s="29">
        <f t="shared" si="10"/>
        <v>0.866785721889298</v>
      </c>
      <c r="AQ113" s="31">
        <f t="shared" si="11"/>
        <v>0.13568654525736015</v>
      </c>
      <c r="AR113" s="21" t="s">
        <v>473</v>
      </c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DM113" s="16"/>
      <c r="DN113" s="16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3"/>
      <c r="FW113" s="11"/>
    </row>
    <row r="114" spans="1:179" ht="18.75">
      <c r="A114" s="1" t="s">
        <v>429</v>
      </c>
      <c r="B114" s="2" t="s">
        <v>430</v>
      </c>
      <c r="C114" s="2" t="s">
        <v>431</v>
      </c>
      <c r="D114" s="2" t="str">
        <f>HYPERLINK("http://eros.fiehnlab.ucdavis.edu:8080/binbase-compound/bin/show/228009?db=rtx5","228009")</f>
        <v>228009</v>
      </c>
      <c r="E114" s="2" t="s">
        <v>1129</v>
      </c>
      <c r="F114" s="2" t="str">
        <f>HYPERLINK("http://www.genome.ad.jp/dbget-bin/www_bget?compound+C00258","C00258")</f>
        <v>C00258</v>
      </c>
      <c r="G114" s="2" t="str">
        <f>HYPERLINK("http://pubchem.ncbi.nlm.nih.gov/summary/summary.cgi?cid=439194","439194")</f>
        <v>439194</v>
      </c>
      <c r="H114" s="7">
        <v>20082</v>
      </c>
      <c r="I114" s="7">
        <v>12236</v>
      </c>
      <c r="J114" s="7">
        <v>7423</v>
      </c>
      <c r="K114" s="7">
        <v>13717</v>
      </c>
      <c r="L114" s="7">
        <v>16826</v>
      </c>
      <c r="M114" s="7">
        <v>11885</v>
      </c>
      <c r="N114" s="7">
        <v>11555</v>
      </c>
      <c r="O114" s="7">
        <v>10815</v>
      </c>
      <c r="P114" s="7">
        <v>9083</v>
      </c>
      <c r="Q114" s="7">
        <v>11953</v>
      </c>
      <c r="R114" s="7">
        <v>17343</v>
      </c>
      <c r="S114" s="7">
        <v>9905</v>
      </c>
      <c r="T114" s="7">
        <v>5751</v>
      </c>
      <c r="U114" s="7">
        <v>11022</v>
      </c>
      <c r="V114" s="7">
        <v>21617</v>
      </c>
      <c r="W114" s="24">
        <f t="shared" si="6"/>
        <v>12747.533333333333</v>
      </c>
      <c r="X114" s="25">
        <f t="shared" si="7"/>
        <v>4470.027514563234</v>
      </c>
      <c r="Y114" s="25"/>
      <c r="Z114" s="26"/>
      <c r="AA114" s="7">
        <v>10077</v>
      </c>
      <c r="AB114" s="7">
        <v>13486</v>
      </c>
      <c r="AC114" s="7">
        <v>5455</v>
      </c>
      <c r="AD114" s="7">
        <v>15035</v>
      </c>
      <c r="AE114" s="7">
        <v>10973</v>
      </c>
      <c r="AF114" s="7">
        <v>7564</v>
      </c>
      <c r="AG114" s="7">
        <v>9474</v>
      </c>
      <c r="AH114" s="7">
        <v>13843</v>
      </c>
      <c r="AI114" s="7">
        <v>11780</v>
      </c>
      <c r="AJ114" s="7">
        <v>15401</v>
      </c>
      <c r="AK114" s="7">
        <v>7388</v>
      </c>
      <c r="AL114" s="7">
        <v>12414</v>
      </c>
      <c r="AM114" s="30">
        <f t="shared" si="8"/>
        <v>11074.166666666666</v>
      </c>
      <c r="AN114" s="30">
        <f t="shared" si="9"/>
        <v>3179.989389157065</v>
      </c>
      <c r="AO114" s="30"/>
      <c r="AP114" s="29">
        <f t="shared" si="10"/>
        <v>0.8687301595602809</v>
      </c>
      <c r="AQ114" s="31">
        <f t="shared" si="11"/>
        <v>0.2850067223226673</v>
      </c>
      <c r="AR114" s="21" t="s">
        <v>429</v>
      </c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DM114" s="16"/>
      <c r="DN114" s="16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3"/>
      <c r="FW114" s="11"/>
    </row>
    <row r="115" spans="1:179" ht="18.75">
      <c r="A115" s="1" t="s">
        <v>971</v>
      </c>
      <c r="B115" s="2" t="s">
        <v>972</v>
      </c>
      <c r="C115" s="2" t="s">
        <v>775</v>
      </c>
      <c r="D115" s="2" t="str">
        <f>HYPERLINK("http://eros.fiehnlab.ucdavis.edu:8080/binbase-compound/bin/show/218787?db=rtx5","218787")</f>
        <v>218787</v>
      </c>
      <c r="E115" s="2" t="s">
        <v>6</v>
      </c>
      <c r="F115" s="2" t="s">
        <v>83</v>
      </c>
      <c r="G115" s="2" t="s">
        <v>83</v>
      </c>
      <c r="H115" s="7">
        <v>1669</v>
      </c>
      <c r="I115" s="7">
        <v>1335</v>
      </c>
      <c r="J115" s="7">
        <v>4929</v>
      </c>
      <c r="K115" s="7">
        <v>4138</v>
      </c>
      <c r="L115" s="7">
        <v>2613</v>
      </c>
      <c r="M115" s="7">
        <v>880</v>
      </c>
      <c r="N115" s="7">
        <v>1649</v>
      </c>
      <c r="O115" s="7">
        <v>1502</v>
      </c>
      <c r="P115" s="7">
        <v>970</v>
      </c>
      <c r="Q115" s="7">
        <v>2089</v>
      </c>
      <c r="R115" s="7">
        <v>1873</v>
      </c>
      <c r="S115" s="7">
        <v>1001</v>
      </c>
      <c r="T115" s="7">
        <v>1490</v>
      </c>
      <c r="U115" s="7">
        <v>2143</v>
      </c>
      <c r="V115" s="7">
        <v>3054</v>
      </c>
      <c r="W115" s="24">
        <f t="shared" si="6"/>
        <v>2089</v>
      </c>
      <c r="X115" s="25">
        <f t="shared" si="7"/>
        <v>1166.7673902098666</v>
      </c>
      <c r="Y115" s="25"/>
      <c r="Z115" s="26"/>
      <c r="AA115" s="7">
        <v>1879</v>
      </c>
      <c r="AB115" s="7">
        <v>2278</v>
      </c>
      <c r="AC115" s="7">
        <v>1908</v>
      </c>
      <c r="AD115" s="7">
        <v>2770</v>
      </c>
      <c r="AE115" s="7">
        <v>2128</v>
      </c>
      <c r="AF115" s="7">
        <v>1332</v>
      </c>
      <c r="AG115" s="7">
        <v>46</v>
      </c>
      <c r="AH115" s="7">
        <v>1656</v>
      </c>
      <c r="AI115" s="7">
        <v>1191</v>
      </c>
      <c r="AJ115" s="7">
        <v>3187</v>
      </c>
      <c r="AK115" s="7">
        <v>1682</v>
      </c>
      <c r="AL115" s="7">
        <v>1839</v>
      </c>
      <c r="AM115" s="30">
        <f t="shared" si="8"/>
        <v>1824.6666666666667</v>
      </c>
      <c r="AN115" s="30">
        <f t="shared" si="9"/>
        <v>792.8052991903133</v>
      </c>
      <c r="AO115" s="30"/>
      <c r="AP115" s="29">
        <f t="shared" si="10"/>
        <v>0.8734641774373704</v>
      </c>
      <c r="AQ115" s="31">
        <f t="shared" si="11"/>
        <v>0.5092489416216034</v>
      </c>
      <c r="AR115" s="21" t="s">
        <v>971</v>
      </c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DM115" s="16"/>
      <c r="DN115" s="16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3"/>
      <c r="FW115" s="11"/>
    </row>
    <row r="116" spans="1:179" ht="18.75">
      <c r="A116" s="1" t="s">
        <v>105</v>
      </c>
      <c r="B116" s="2" t="s">
        <v>382</v>
      </c>
      <c r="C116" s="2" t="s">
        <v>383</v>
      </c>
      <c r="D116" s="2" t="str">
        <f>HYPERLINK("http://eros.fiehnlab.ucdavis.edu:8080/binbase-compound/bin/show/269289?db=rtx5","269289")</f>
        <v>269289</v>
      </c>
      <c r="E116" s="2" t="s">
        <v>617</v>
      </c>
      <c r="F116" s="2" t="str">
        <f>HYPERLINK("http://www.genome.ad.jp/dbget-bin/www_bget?compound+n/a","n/a")</f>
        <v>n/a</v>
      </c>
      <c r="G116" s="2" t="str">
        <f>HYPERLINK("http://pubchem.ncbi.nlm.nih.gov/summary/summary.cgi?cid=3931","3931")</f>
        <v>3931</v>
      </c>
      <c r="H116" s="7">
        <v>430</v>
      </c>
      <c r="I116" s="7">
        <v>613</v>
      </c>
      <c r="J116" s="7">
        <v>1134</v>
      </c>
      <c r="K116" s="7">
        <v>455</v>
      </c>
      <c r="L116" s="7">
        <v>440</v>
      </c>
      <c r="M116" s="7">
        <v>582</v>
      </c>
      <c r="N116" s="7">
        <v>605</v>
      </c>
      <c r="O116" s="7">
        <v>365</v>
      </c>
      <c r="P116" s="7">
        <v>541</v>
      </c>
      <c r="Q116" s="7">
        <v>459</v>
      </c>
      <c r="R116" s="7">
        <v>569</v>
      </c>
      <c r="S116" s="7">
        <v>598</v>
      </c>
      <c r="T116" s="7">
        <v>494</v>
      </c>
      <c r="U116" s="7">
        <v>610</v>
      </c>
      <c r="V116" s="7">
        <v>526</v>
      </c>
      <c r="W116" s="24">
        <f t="shared" si="6"/>
        <v>561.4</v>
      </c>
      <c r="X116" s="25">
        <f t="shared" si="7"/>
        <v>176.31416765049167</v>
      </c>
      <c r="Y116" s="25"/>
      <c r="Z116" s="26"/>
      <c r="AA116" s="7">
        <v>410</v>
      </c>
      <c r="AB116" s="7">
        <v>477</v>
      </c>
      <c r="AC116" s="7">
        <v>543</v>
      </c>
      <c r="AD116" s="7">
        <v>533</v>
      </c>
      <c r="AE116" s="7">
        <v>402</v>
      </c>
      <c r="AF116" s="7">
        <v>714</v>
      </c>
      <c r="AG116" s="7">
        <v>466</v>
      </c>
      <c r="AH116" s="7">
        <v>531</v>
      </c>
      <c r="AI116" s="7">
        <v>446</v>
      </c>
      <c r="AJ116" s="7">
        <v>375</v>
      </c>
      <c r="AK116" s="7">
        <v>666</v>
      </c>
      <c r="AL116" s="7">
        <v>348</v>
      </c>
      <c r="AM116" s="30">
        <f t="shared" si="8"/>
        <v>492.5833333333333</v>
      </c>
      <c r="AN116" s="30">
        <f t="shared" si="9"/>
        <v>111.85417319262633</v>
      </c>
      <c r="AO116" s="30"/>
      <c r="AP116" s="29">
        <f t="shared" si="10"/>
        <v>0.8774195463721648</v>
      </c>
      <c r="AQ116" s="31">
        <f t="shared" si="11"/>
        <v>0.25152835988612954</v>
      </c>
      <c r="AR116" s="21" t="s">
        <v>105</v>
      </c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DM116" s="16"/>
      <c r="DN116" s="16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3"/>
      <c r="FW116" s="11"/>
    </row>
    <row r="117" spans="1:179" ht="18.75">
      <c r="A117" s="1" t="s">
        <v>450</v>
      </c>
      <c r="B117" s="2" t="s">
        <v>451</v>
      </c>
      <c r="C117" s="2" t="s">
        <v>206</v>
      </c>
      <c r="D117" s="2" t="str">
        <f>HYPERLINK("http://eros.fiehnlab.ucdavis.edu:8080/binbase-compound/bin/show/199178?db=rtx5","199178")</f>
        <v>199178</v>
      </c>
      <c r="E117" s="2" t="s">
        <v>202</v>
      </c>
      <c r="F117" s="2" t="str">
        <f>HYPERLINK("http://www.genome.ad.jp/dbget-bin/www_bget?compound+C00103","C00103")</f>
        <v>C00103</v>
      </c>
      <c r="G117" s="2" t="str">
        <f>HYPERLINK("http://pubchem.ncbi.nlm.nih.gov/summary/summary.cgi?cid=65533","65533")</f>
        <v>65533</v>
      </c>
      <c r="H117" s="7">
        <v>879</v>
      </c>
      <c r="I117" s="7">
        <v>698</v>
      </c>
      <c r="J117" s="7">
        <v>1595</v>
      </c>
      <c r="K117" s="7">
        <v>1213</v>
      </c>
      <c r="L117" s="7">
        <v>1167</v>
      </c>
      <c r="M117" s="7">
        <v>923</v>
      </c>
      <c r="N117" s="7">
        <v>797</v>
      </c>
      <c r="O117" s="7">
        <v>956</v>
      </c>
      <c r="P117" s="7">
        <v>743</v>
      </c>
      <c r="Q117" s="7">
        <v>908</v>
      </c>
      <c r="R117" s="7">
        <v>1026</v>
      </c>
      <c r="S117" s="7">
        <v>863</v>
      </c>
      <c r="T117" s="7">
        <v>767</v>
      </c>
      <c r="U117" s="7">
        <v>982</v>
      </c>
      <c r="V117" s="7">
        <v>1272</v>
      </c>
      <c r="W117" s="24">
        <f t="shared" si="6"/>
        <v>985.9333333333333</v>
      </c>
      <c r="X117" s="25">
        <f t="shared" si="7"/>
        <v>239.3128456544657</v>
      </c>
      <c r="Y117" s="25"/>
      <c r="Z117" s="26"/>
      <c r="AA117" s="7">
        <v>861</v>
      </c>
      <c r="AB117" s="7">
        <v>876</v>
      </c>
      <c r="AC117" s="7">
        <v>892</v>
      </c>
      <c r="AD117" s="7">
        <v>680</v>
      </c>
      <c r="AE117" s="7">
        <v>957</v>
      </c>
      <c r="AF117" s="7">
        <v>943</v>
      </c>
      <c r="AG117" s="7">
        <v>774</v>
      </c>
      <c r="AH117" s="7">
        <v>1096</v>
      </c>
      <c r="AI117" s="7">
        <v>902</v>
      </c>
      <c r="AJ117" s="7">
        <v>799</v>
      </c>
      <c r="AK117" s="7">
        <v>776</v>
      </c>
      <c r="AL117" s="7">
        <v>858</v>
      </c>
      <c r="AM117" s="30">
        <f t="shared" si="8"/>
        <v>867.8333333333334</v>
      </c>
      <c r="AN117" s="30">
        <f t="shared" si="9"/>
        <v>106.54903551744104</v>
      </c>
      <c r="AO117" s="30"/>
      <c r="AP117" s="29">
        <f t="shared" si="10"/>
        <v>0.8802150246805058</v>
      </c>
      <c r="AQ117" s="31">
        <f t="shared" si="11"/>
        <v>0.12579931260114943</v>
      </c>
      <c r="AR117" s="21" t="s">
        <v>450</v>
      </c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DM117" s="16"/>
      <c r="DN117" s="16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3"/>
      <c r="FW117" s="11"/>
    </row>
    <row r="118" spans="1:179" ht="18.75">
      <c r="A118" s="1" t="s">
        <v>362</v>
      </c>
      <c r="B118" s="2" t="s">
        <v>363</v>
      </c>
      <c r="C118" s="2" t="s">
        <v>316</v>
      </c>
      <c r="D118" s="2" t="str">
        <f>HYPERLINK("http://eros.fiehnlab.ucdavis.edu:8080/binbase-compound/bin/show/328426?db=rtx5","328426")</f>
        <v>328426</v>
      </c>
      <c r="E118" s="2" t="s">
        <v>1108</v>
      </c>
      <c r="F118" s="2" t="str">
        <f>HYPERLINK("http://www.genome.ad.jp/dbget-bin/www_bget?compound+C00047","C00047")</f>
        <v>C00047</v>
      </c>
      <c r="G118" s="2" t="str">
        <f>HYPERLINK("http://pubchem.ncbi.nlm.nih.gov/summary/summary.cgi?cid=5962","5962")</f>
        <v>5962</v>
      </c>
      <c r="H118" s="7">
        <v>80552</v>
      </c>
      <c r="I118" s="7">
        <v>84337</v>
      </c>
      <c r="J118" s="7">
        <v>50961</v>
      </c>
      <c r="K118" s="7">
        <v>55557</v>
      </c>
      <c r="L118" s="7">
        <v>65462</v>
      </c>
      <c r="M118" s="7">
        <v>105854</v>
      </c>
      <c r="N118" s="7">
        <v>101519</v>
      </c>
      <c r="O118" s="7">
        <v>76840</v>
      </c>
      <c r="P118" s="7">
        <v>88675</v>
      </c>
      <c r="Q118" s="7">
        <v>82959</v>
      </c>
      <c r="R118" s="7">
        <v>82149</v>
      </c>
      <c r="S118" s="7">
        <v>68568</v>
      </c>
      <c r="T118" s="7">
        <v>60666</v>
      </c>
      <c r="U118" s="7">
        <v>49684</v>
      </c>
      <c r="V118" s="7">
        <v>83682</v>
      </c>
      <c r="W118" s="24">
        <f t="shared" si="6"/>
        <v>75831</v>
      </c>
      <c r="X118" s="25">
        <f t="shared" si="7"/>
        <v>17066.479292126172</v>
      </c>
      <c r="Y118" s="25"/>
      <c r="Z118" s="26"/>
      <c r="AA118" s="7">
        <v>61624</v>
      </c>
      <c r="AB118" s="7">
        <v>68340</v>
      </c>
      <c r="AC118" s="7">
        <v>63106</v>
      </c>
      <c r="AD118" s="7">
        <v>70938</v>
      </c>
      <c r="AE118" s="7">
        <v>65407</v>
      </c>
      <c r="AF118" s="7">
        <v>91237</v>
      </c>
      <c r="AG118" s="7">
        <v>74138</v>
      </c>
      <c r="AH118" s="7">
        <v>48910</v>
      </c>
      <c r="AI118" s="7">
        <v>76144</v>
      </c>
      <c r="AJ118" s="7">
        <v>57399</v>
      </c>
      <c r="AK118" s="7">
        <v>52580</v>
      </c>
      <c r="AL118" s="7">
        <v>72491</v>
      </c>
      <c r="AM118" s="30">
        <f t="shared" si="8"/>
        <v>66859.5</v>
      </c>
      <c r="AN118" s="30">
        <f t="shared" si="9"/>
        <v>11454.1757094004</v>
      </c>
      <c r="AO118" s="30"/>
      <c r="AP118" s="29">
        <f t="shared" si="10"/>
        <v>0.8816908652134351</v>
      </c>
      <c r="AQ118" s="31">
        <f t="shared" si="11"/>
        <v>0.13161882394211144</v>
      </c>
      <c r="AR118" s="21" t="s">
        <v>362</v>
      </c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DM118" s="16"/>
      <c r="DN118" s="16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3"/>
      <c r="FW118" s="11"/>
    </row>
    <row r="119" spans="1:179" ht="18.75">
      <c r="A119" s="1" t="s">
        <v>979</v>
      </c>
      <c r="B119" s="2" t="s">
        <v>980</v>
      </c>
      <c r="C119" s="2" t="s">
        <v>310</v>
      </c>
      <c r="D119" s="2" t="str">
        <f>HYPERLINK("http://eros.fiehnlab.ucdavis.edu:8080/binbase-compound/bin/show/214535?db=rtx5","214535")</f>
        <v>214535</v>
      </c>
      <c r="E119" s="2" t="s">
        <v>158</v>
      </c>
      <c r="F119" s="2" t="s">
        <v>83</v>
      </c>
      <c r="G119" s="2" t="s">
        <v>83</v>
      </c>
      <c r="H119" s="7">
        <v>500</v>
      </c>
      <c r="I119" s="7">
        <v>534</v>
      </c>
      <c r="J119" s="7">
        <v>1005</v>
      </c>
      <c r="K119" s="7">
        <v>963</v>
      </c>
      <c r="L119" s="7">
        <v>1096</v>
      </c>
      <c r="M119" s="7">
        <v>837</v>
      </c>
      <c r="N119" s="7">
        <v>1113</v>
      </c>
      <c r="O119" s="7">
        <v>1251</v>
      </c>
      <c r="P119" s="7">
        <v>2228</v>
      </c>
      <c r="Q119" s="7">
        <v>1358</v>
      </c>
      <c r="R119" s="7">
        <v>2155</v>
      </c>
      <c r="S119" s="7">
        <v>1237</v>
      </c>
      <c r="T119" s="7">
        <v>1714</v>
      </c>
      <c r="U119" s="7">
        <v>2492</v>
      </c>
      <c r="V119" s="7">
        <v>1120</v>
      </c>
      <c r="W119" s="24">
        <f t="shared" si="6"/>
        <v>1306.8666666666666</v>
      </c>
      <c r="X119" s="25">
        <f t="shared" si="7"/>
        <v>594.2702447620308</v>
      </c>
      <c r="Y119" s="25"/>
      <c r="Z119" s="26"/>
      <c r="AA119" s="7">
        <v>1319</v>
      </c>
      <c r="AB119" s="7">
        <v>1006</v>
      </c>
      <c r="AC119" s="7">
        <v>1070</v>
      </c>
      <c r="AD119" s="7">
        <v>376</v>
      </c>
      <c r="AE119" s="7">
        <v>2664</v>
      </c>
      <c r="AF119" s="7">
        <v>471</v>
      </c>
      <c r="AG119" s="7">
        <v>406</v>
      </c>
      <c r="AH119" s="7">
        <v>1543</v>
      </c>
      <c r="AI119" s="7">
        <v>920</v>
      </c>
      <c r="AJ119" s="7">
        <v>776</v>
      </c>
      <c r="AK119" s="7">
        <v>1616</v>
      </c>
      <c r="AL119" s="7">
        <v>1674</v>
      </c>
      <c r="AM119" s="30">
        <f t="shared" si="8"/>
        <v>1153.4166666666667</v>
      </c>
      <c r="AN119" s="30">
        <f t="shared" si="9"/>
        <v>660.6032309850435</v>
      </c>
      <c r="AO119" s="30"/>
      <c r="AP119" s="29">
        <f t="shared" si="10"/>
        <v>0.88258174769168</v>
      </c>
      <c r="AQ119" s="31">
        <f t="shared" si="11"/>
        <v>0.5314449894826772</v>
      </c>
      <c r="AR119" s="21" t="s">
        <v>979</v>
      </c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DM119" s="16"/>
      <c r="DN119" s="16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3"/>
      <c r="FW119" s="11"/>
    </row>
    <row r="120" spans="1:179" ht="18.75">
      <c r="A120" s="1" t="s">
        <v>910</v>
      </c>
      <c r="B120" s="2" t="s">
        <v>911</v>
      </c>
      <c r="C120" s="2" t="s">
        <v>437</v>
      </c>
      <c r="D120" s="2" t="str">
        <f>HYPERLINK("http://eros.fiehnlab.ucdavis.edu:8080/binbase-compound/bin/show/226910?db=rtx5","226910")</f>
        <v>226910</v>
      </c>
      <c r="E120" s="2" t="s">
        <v>37</v>
      </c>
      <c r="F120" s="2" t="s">
        <v>83</v>
      </c>
      <c r="G120" s="2" t="s">
        <v>83</v>
      </c>
      <c r="H120" s="7">
        <v>4172</v>
      </c>
      <c r="I120" s="7">
        <v>1854</v>
      </c>
      <c r="J120" s="7">
        <v>605</v>
      </c>
      <c r="K120" s="7">
        <v>714</v>
      </c>
      <c r="L120" s="7">
        <v>1467</v>
      </c>
      <c r="M120" s="7">
        <v>1807</v>
      </c>
      <c r="N120" s="7">
        <v>1295</v>
      </c>
      <c r="O120" s="7">
        <v>497</v>
      </c>
      <c r="P120" s="7">
        <v>1465</v>
      </c>
      <c r="Q120" s="7">
        <v>967</v>
      </c>
      <c r="R120" s="7">
        <v>1375</v>
      </c>
      <c r="S120" s="7">
        <v>1369</v>
      </c>
      <c r="T120" s="7">
        <v>1149</v>
      </c>
      <c r="U120" s="7">
        <v>660</v>
      </c>
      <c r="V120" s="7">
        <v>2354</v>
      </c>
      <c r="W120" s="24">
        <f t="shared" si="6"/>
        <v>1450</v>
      </c>
      <c r="X120" s="25">
        <f t="shared" si="7"/>
        <v>912.8374131558932</v>
      </c>
      <c r="Y120" s="25"/>
      <c r="Z120" s="26"/>
      <c r="AA120" s="7">
        <v>488</v>
      </c>
      <c r="AB120" s="7">
        <v>520</v>
      </c>
      <c r="AC120" s="7">
        <v>417</v>
      </c>
      <c r="AD120" s="7">
        <v>897</v>
      </c>
      <c r="AE120" s="7">
        <v>295</v>
      </c>
      <c r="AF120" s="7">
        <v>3263</v>
      </c>
      <c r="AG120" s="7">
        <v>2362</v>
      </c>
      <c r="AH120" s="7">
        <v>975</v>
      </c>
      <c r="AI120" s="7">
        <v>1917</v>
      </c>
      <c r="AJ120" s="7">
        <v>1929</v>
      </c>
      <c r="AK120" s="7">
        <v>671</v>
      </c>
      <c r="AL120" s="7">
        <v>1631</v>
      </c>
      <c r="AM120" s="30">
        <f t="shared" si="8"/>
        <v>1280.4166666666667</v>
      </c>
      <c r="AN120" s="30">
        <f t="shared" si="9"/>
        <v>933.4021308518575</v>
      </c>
      <c r="AO120" s="30"/>
      <c r="AP120" s="29">
        <f t="shared" si="10"/>
        <v>0.8830459770114943</v>
      </c>
      <c r="AQ120" s="31">
        <f t="shared" si="11"/>
        <v>0.638956547865009</v>
      </c>
      <c r="AR120" s="21" t="s">
        <v>910</v>
      </c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DM120" s="16"/>
      <c r="DN120" s="16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3"/>
      <c r="FW120" s="11"/>
    </row>
    <row r="121" spans="1:179" ht="18.75">
      <c r="A121" s="1" t="s">
        <v>527</v>
      </c>
      <c r="B121" s="2" t="s">
        <v>528</v>
      </c>
      <c r="C121" s="2" t="s">
        <v>206</v>
      </c>
      <c r="D121" s="2" t="str">
        <f>HYPERLINK("http://eros.fiehnlab.ucdavis.edu:8080/binbase-compound/bin/show/202065?db=rtx5","202065")</f>
        <v>202065</v>
      </c>
      <c r="E121" s="2" t="s">
        <v>583</v>
      </c>
      <c r="F121" s="2" t="str">
        <f>HYPERLINK("http://www.genome.ad.jp/dbget-bin/www_bget?compound+C00259","C00259")</f>
        <v>C00259</v>
      </c>
      <c r="G121" s="2" t="str">
        <f>HYPERLINK("http://pubchem.ncbi.nlm.nih.gov/summary/summary.cgi?cid=229","229")</f>
        <v>229</v>
      </c>
      <c r="H121" s="7">
        <v>779</v>
      </c>
      <c r="I121" s="7">
        <v>837</v>
      </c>
      <c r="J121" s="7">
        <v>1328</v>
      </c>
      <c r="K121" s="7">
        <v>772</v>
      </c>
      <c r="L121" s="7">
        <v>1205</v>
      </c>
      <c r="M121" s="7">
        <v>1134</v>
      </c>
      <c r="N121" s="7">
        <v>975</v>
      </c>
      <c r="O121" s="7">
        <v>1007</v>
      </c>
      <c r="P121" s="7">
        <v>675</v>
      </c>
      <c r="Q121" s="7">
        <v>643</v>
      </c>
      <c r="R121" s="7">
        <v>915</v>
      </c>
      <c r="S121" s="7">
        <v>511</v>
      </c>
      <c r="T121" s="7">
        <v>1006</v>
      </c>
      <c r="U121" s="7">
        <v>755</v>
      </c>
      <c r="V121" s="7">
        <v>920</v>
      </c>
      <c r="W121" s="24">
        <f t="shared" si="6"/>
        <v>897.4666666666667</v>
      </c>
      <c r="X121" s="25">
        <f t="shared" si="7"/>
        <v>221.00706732935885</v>
      </c>
      <c r="Y121" s="25"/>
      <c r="Z121" s="26"/>
      <c r="AA121" s="7">
        <v>557</v>
      </c>
      <c r="AB121" s="7">
        <v>650</v>
      </c>
      <c r="AC121" s="7">
        <v>906</v>
      </c>
      <c r="AD121" s="7">
        <v>852</v>
      </c>
      <c r="AE121" s="7">
        <v>929</v>
      </c>
      <c r="AF121" s="7">
        <v>975</v>
      </c>
      <c r="AG121" s="7">
        <v>647</v>
      </c>
      <c r="AH121" s="7">
        <v>626</v>
      </c>
      <c r="AI121" s="7">
        <v>852</v>
      </c>
      <c r="AJ121" s="7">
        <v>1109</v>
      </c>
      <c r="AK121" s="7">
        <v>640</v>
      </c>
      <c r="AL121" s="7">
        <v>768</v>
      </c>
      <c r="AM121" s="30">
        <f t="shared" si="8"/>
        <v>792.5833333333334</v>
      </c>
      <c r="AN121" s="30">
        <f t="shared" si="9"/>
        <v>170.71744776002538</v>
      </c>
      <c r="AO121" s="30"/>
      <c r="AP121" s="29">
        <f t="shared" si="10"/>
        <v>0.8831340068340514</v>
      </c>
      <c r="AQ121" s="31">
        <f t="shared" si="11"/>
        <v>0.1887764376255145</v>
      </c>
      <c r="AR121" s="21" t="s">
        <v>527</v>
      </c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DM121" s="16"/>
      <c r="DN121" s="16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3"/>
      <c r="FW121" s="11"/>
    </row>
    <row r="122" spans="1:179" ht="18.75">
      <c r="A122" s="1" t="s">
        <v>98</v>
      </c>
      <c r="B122" s="2" t="s">
        <v>332</v>
      </c>
      <c r="C122" s="2" t="s">
        <v>280</v>
      </c>
      <c r="D122" s="2" t="str">
        <f>HYPERLINK("http://eros.fiehnlab.ucdavis.edu:8080/binbase-compound/bin/show/386210?db=rtx5","386210")</f>
        <v>386210</v>
      </c>
      <c r="E122" s="2" t="s">
        <v>590</v>
      </c>
      <c r="F122" s="2" t="str">
        <f>HYPERLINK("http://www.genome.ad.jp/dbget-bin/www_bget?compound+n/a","n/a")</f>
        <v>n/a</v>
      </c>
      <c r="G122" s="2" t="str">
        <f>HYPERLINK("http://pubchem.ncbi.nlm.nih.gov/summary/summary.cgi?cid=10972","10972")</f>
        <v>10972</v>
      </c>
      <c r="H122" s="7">
        <v>826</v>
      </c>
      <c r="I122" s="7">
        <v>430</v>
      </c>
      <c r="J122" s="7">
        <v>914</v>
      </c>
      <c r="K122" s="7">
        <v>600</v>
      </c>
      <c r="L122" s="7">
        <v>820</v>
      </c>
      <c r="M122" s="7">
        <v>489</v>
      </c>
      <c r="N122" s="7">
        <v>266</v>
      </c>
      <c r="O122" s="7">
        <v>426</v>
      </c>
      <c r="P122" s="7">
        <v>456</v>
      </c>
      <c r="Q122" s="7">
        <v>316</v>
      </c>
      <c r="R122" s="7">
        <v>276</v>
      </c>
      <c r="S122" s="7">
        <v>661</v>
      </c>
      <c r="T122" s="7">
        <v>551</v>
      </c>
      <c r="U122" s="7">
        <v>466</v>
      </c>
      <c r="V122" s="7">
        <v>776</v>
      </c>
      <c r="W122" s="24">
        <f t="shared" si="6"/>
        <v>551.5333333333333</v>
      </c>
      <c r="X122" s="25">
        <f t="shared" si="7"/>
        <v>208.2772419728318</v>
      </c>
      <c r="Y122" s="25"/>
      <c r="Z122" s="26"/>
      <c r="AA122" s="7">
        <v>690</v>
      </c>
      <c r="AB122" s="7">
        <v>457</v>
      </c>
      <c r="AC122" s="7">
        <v>238</v>
      </c>
      <c r="AD122" s="7">
        <v>697</v>
      </c>
      <c r="AE122" s="7">
        <v>404</v>
      </c>
      <c r="AF122" s="7">
        <v>325</v>
      </c>
      <c r="AG122" s="7">
        <v>350</v>
      </c>
      <c r="AH122" s="7">
        <v>277</v>
      </c>
      <c r="AI122" s="7">
        <v>1027</v>
      </c>
      <c r="AJ122" s="7">
        <v>535</v>
      </c>
      <c r="AK122" s="7">
        <v>423</v>
      </c>
      <c r="AL122" s="7">
        <v>448</v>
      </c>
      <c r="AM122" s="30">
        <f t="shared" si="8"/>
        <v>489.25</v>
      </c>
      <c r="AN122" s="30">
        <f t="shared" si="9"/>
        <v>222.31677849411187</v>
      </c>
      <c r="AO122" s="30"/>
      <c r="AP122" s="29">
        <f t="shared" si="10"/>
        <v>0.8870724042064548</v>
      </c>
      <c r="AQ122" s="31">
        <f t="shared" si="11"/>
        <v>0.4605613008074716</v>
      </c>
      <c r="AR122" s="21" t="s">
        <v>98</v>
      </c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DM122" s="16"/>
      <c r="DN122" s="16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3"/>
      <c r="FW122" s="11"/>
    </row>
    <row r="123" spans="1:179" ht="18.75">
      <c r="A123" s="1" t="s">
        <v>862</v>
      </c>
      <c r="B123" s="2" t="s">
        <v>863</v>
      </c>
      <c r="C123" s="2" t="s">
        <v>779</v>
      </c>
      <c r="D123" s="2" t="str">
        <f>HYPERLINK("http://eros.fiehnlab.ucdavis.edu:8080/binbase-compound/bin/show/240265?db=rtx5","240265")</f>
        <v>240265</v>
      </c>
      <c r="E123" s="2" t="s">
        <v>124</v>
      </c>
      <c r="F123" s="2" t="s">
        <v>83</v>
      </c>
      <c r="G123" s="2" t="s">
        <v>83</v>
      </c>
      <c r="H123" s="7">
        <v>4681</v>
      </c>
      <c r="I123" s="7">
        <v>1393</v>
      </c>
      <c r="J123" s="7">
        <v>2132</v>
      </c>
      <c r="K123" s="7">
        <v>2379</v>
      </c>
      <c r="L123" s="7">
        <v>2897</v>
      </c>
      <c r="M123" s="7">
        <v>2892</v>
      </c>
      <c r="N123" s="7">
        <v>3450</v>
      </c>
      <c r="O123" s="7">
        <v>728</v>
      </c>
      <c r="P123" s="7">
        <v>707</v>
      </c>
      <c r="Q123" s="7">
        <v>1424</v>
      </c>
      <c r="R123" s="7">
        <v>3102</v>
      </c>
      <c r="S123" s="7">
        <v>2263</v>
      </c>
      <c r="T123" s="7">
        <v>1532</v>
      </c>
      <c r="U123" s="7">
        <v>1792</v>
      </c>
      <c r="V123" s="7">
        <v>6976</v>
      </c>
      <c r="W123" s="24">
        <f t="shared" si="6"/>
        <v>2556.5333333333333</v>
      </c>
      <c r="X123" s="25">
        <f t="shared" si="7"/>
        <v>1619.1301397737643</v>
      </c>
      <c r="Y123" s="25"/>
      <c r="Z123" s="26"/>
      <c r="AA123" s="7">
        <v>1396</v>
      </c>
      <c r="AB123" s="7">
        <v>1778</v>
      </c>
      <c r="AC123" s="7">
        <v>866</v>
      </c>
      <c r="AD123" s="7">
        <v>3998</v>
      </c>
      <c r="AE123" s="7">
        <v>1037</v>
      </c>
      <c r="AF123" s="7">
        <v>3748</v>
      </c>
      <c r="AG123" s="7">
        <v>1191</v>
      </c>
      <c r="AH123" s="7">
        <v>896</v>
      </c>
      <c r="AI123" s="7">
        <v>3325</v>
      </c>
      <c r="AJ123" s="7">
        <v>5366</v>
      </c>
      <c r="AK123" s="7">
        <v>1204</v>
      </c>
      <c r="AL123" s="7">
        <v>2435</v>
      </c>
      <c r="AM123" s="30">
        <f t="shared" si="8"/>
        <v>2270</v>
      </c>
      <c r="AN123" s="30">
        <f t="shared" si="9"/>
        <v>1494.895922190511</v>
      </c>
      <c r="AO123" s="30"/>
      <c r="AP123" s="29">
        <f t="shared" si="10"/>
        <v>0.88792114321477</v>
      </c>
      <c r="AQ123" s="31">
        <f t="shared" si="11"/>
        <v>0.6406502890753465</v>
      </c>
      <c r="AR123" s="21" t="s">
        <v>862</v>
      </c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DM123" s="16"/>
      <c r="DN123" s="16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3"/>
      <c r="FW123" s="11"/>
    </row>
    <row r="124" spans="1:179" ht="18.75">
      <c r="A124" s="1" t="s">
        <v>893</v>
      </c>
      <c r="B124" s="2" t="s">
        <v>894</v>
      </c>
      <c r="C124" s="2" t="s">
        <v>856</v>
      </c>
      <c r="D124" s="2" t="str">
        <f>HYPERLINK("http://eros.fiehnlab.ucdavis.edu:8080/binbase-compound/bin/show/229268?db=rtx5","229268")</f>
        <v>229268</v>
      </c>
      <c r="E124" s="2" t="s">
        <v>122</v>
      </c>
      <c r="F124" s="2" t="s">
        <v>83</v>
      </c>
      <c r="G124" s="2" t="s">
        <v>83</v>
      </c>
      <c r="H124" s="7">
        <v>3511</v>
      </c>
      <c r="I124" s="7">
        <v>2101</v>
      </c>
      <c r="J124" s="7">
        <v>4941</v>
      </c>
      <c r="K124" s="7">
        <v>3940</v>
      </c>
      <c r="L124" s="7">
        <v>3806</v>
      </c>
      <c r="M124" s="7">
        <v>1277</v>
      </c>
      <c r="N124" s="7">
        <v>3971</v>
      </c>
      <c r="O124" s="7">
        <v>431</v>
      </c>
      <c r="P124" s="7">
        <v>1231</v>
      </c>
      <c r="Q124" s="7">
        <v>2161</v>
      </c>
      <c r="R124" s="7">
        <v>4264</v>
      </c>
      <c r="S124" s="7">
        <v>2261</v>
      </c>
      <c r="T124" s="7">
        <v>1687</v>
      </c>
      <c r="U124" s="7">
        <v>3651</v>
      </c>
      <c r="V124" s="7">
        <v>5615</v>
      </c>
      <c r="W124" s="24">
        <f t="shared" si="6"/>
        <v>2989.866666666667</v>
      </c>
      <c r="X124" s="25">
        <f t="shared" si="7"/>
        <v>1508.1427493380568</v>
      </c>
      <c r="Y124" s="25"/>
      <c r="Z124" s="26"/>
      <c r="AA124" s="7">
        <v>2727</v>
      </c>
      <c r="AB124" s="7">
        <v>3117</v>
      </c>
      <c r="AC124" s="7">
        <v>2075</v>
      </c>
      <c r="AD124" s="7">
        <v>3288</v>
      </c>
      <c r="AE124" s="7">
        <v>2452</v>
      </c>
      <c r="AF124" s="7">
        <v>2936</v>
      </c>
      <c r="AG124" s="7">
        <v>1688</v>
      </c>
      <c r="AH124" s="7">
        <v>1949</v>
      </c>
      <c r="AI124" s="7">
        <v>3162</v>
      </c>
      <c r="AJ124" s="7">
        <v>3744</v>
      </c>
      <c r="AK124" s="7">
        <v>2487</v>
      </c>
      <c r="AL124" s="7">
        <v>2244</v>
      </c>
      <c r="AM124" s="30">
        <f t="shared" si="8"/>
        <v>2655.75</v>
      </c>
      <c r="AN124" s="30">
        <f t="shared" si="9"/>
        <v>614.1898026150903</v>
      </c>
      <c r="AO124" s="30"/>
      <c r="AP124" s="29">
        <f t="shared" si="10"/>
        <v>0.8882503121655368</v>
      </c>
      <c r="AQ124" s="31">
        <f t="shared" si="11"/>
        <v>0.47882027416263073</v>
      </c>
      <c r="AR124" s="21" t="s">
        <v>893</v>
      </c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DM124" s="16"/>
      <c r="DN124" s="16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3"/>
      <c r="FW124" s="11"/>
    </row>
    <row r="125" spans="1:179" ht="18.75">
      <c r="A125" s="1" t="s">
        <v>508</v>
      </c>
      <c r="B125" s="2" t="s">
        <v>509</v>
      </c>
      <c r="C125" s="2" t="s">
        <v>510</v>
      </c>
      <c r="D125" s="2" t="str">
        <f>HYPERLINK("http://eros.fiehnlab.ucdavis.edu:8080/binbase-compound/bin/show/233412?db=rtx5","233412")</f>
        <v>233412</v>
      </c>
      <c r="E125" s="2" t="s">
        <v>598</v>
      </c>
      <c r="F125" s="2" t="str">
        <f>HYPERLINK("http://www.genome.ad.jp/dbget-bin/www_bget?compound+C00099","C00099")</f>
        <v>C00099</v>
      </c>
      <c r="G125" s="2" t="str">
        <f>HYPERLINK("http://pubchem.ncbi.nlm.nih.gov/summary/summary.cgi?cid=239","239")</f>
        <v>239</v>
      </c>
      <c r="H125" s="7">
        <v>578</v>
      </c>
      <c r="I125" s="7">
        <v>374</v>
      </c>
      <c r="J125" s="7">
        <v>845</v>
      </c>
      <c r="K125" s="7">
        <v>348</v>
      </c>
      <c r="L125" s="7">
        <v>257</v>
      </c>
      <c r="M125" s="7">
        <v>375</v>
      </c>
      <c r="N125" s="7">
        <v>417</v>
      </c>
      <c r="O125" s="7">
        <v>223</v>
      </c>
      <c r="P125" s="7">
        <v>140</v>
      </c>
      <c r="Q125" s="7">
        <v>269</v>
      </c>
      <c r="R125" s="7">
        <v>459</v>
      </c>
      <c r="S125" s="7">
        <v>209</v>
      </c>
      <c r="T125" s="7">
        <v>259</v>
      </c>
      <c r="U125" s="7">
        <v>342</v>
      </c>
      <c r="V125" s="7">
        <v>624</v>
      </c>
      <c r="W125" s="24">
        <f t="shared" si="6"/>
        <v>381.26666666666665</v>
      </c>
      <c r="X125" s="25">
        <f t="shared" si="7"/>
        <v>184.90556148116977</v>
      </c>
      <c r="Y125" s="25"/>
      <c r="Z125" s="26"/>
      <c r="AA125" s="7">
        <v>303</v>
      </c>
      <c r="AB125" s="7">
        <v>358</v>
      </c>
      <c r="AC125" s="7">
        <v>271</v>
      </c>
      <c r="AD125" s="7">
        <v>474</v>
      </c>
      <c r="AE125" s="7">
        <v>299</v>
      </c>
      <c r="AF125" s="7">
        <v>453</v>
      </c>
      <c r="AG125" s="7">
        <v>422</v>
      </c>
      <c r="AH125" s="7">
        <v>266</v>
      </c>
      <c r="AI125" s="7">
        <v>295</v>
      </c>
      <c r="AJ125" s="7">
        <v>308</v>
      </c>
      <c r="AK125" s="7">
        <v>265</v>
      </c>
      <c r="AL125" s="7">
        <v>352</v>
      </c>
      <c r="AM125" s="30">
        <f t="shared" si="8"/>
        <v>338.8333333333333</v>
      </c>
      <c r="AN125" s="30">
        <f t="shared" si="9"/>
        <v>73.76970717692801</v>
      </c>
      <c r="AO125" s="30"/>
      <c r="AP125" s="29">
        <f t="shared" si="10"/>
        <v>0.8887043189368771</v>
      </c>
      <c r="AQ125" s="31">
        <f t="shared" si="11"/>
        <v>0.46232858168694857</v>
      </c>
      <c r="AR125" s="21" t="s">
        <v>508</v>
      </c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DM125" s="16"/>
      <c r="DN125" s="16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3"/>
      <c r="FW125" s="11"/>
    </row>
    <row r="126" spans="1:179" ht="18.75">
      <c r="A126" s="1" t="s">
        <v>1085</v>
      </c>
      <c r="B126" s="2" t="s">
        <v>461</v>
      </c>
      <c r="C126" s="2" t="s">
        <v>243</v>
      </c>
      <c r="D126" s="2" t="str">
        <f>HYPERLINK("http://eros.fiehnlab.ucdavis.edu:8080/binbase-compound/bin/show/205102?db=rtx5","205102")</f>
        <v>205102</v>
      </c>
      <c r="E126" s="2" t="s">
        <v>180</v>
      </c>
      <c r="F126" s="2" t="str">
        <f>HYPERLINK("http://www.genome.ad.jp/dbget-bin/www_bget?compound+C01018","C01018")</f>
        <v>C01018</v>
      </c>
      <c r="G126" s="2" t="str">
        <f>HYPERLINK("http://pubchem.ncbi.nlm.nih.gov/summary/summary.cgi?cid=94270","94270")</f>
        <v>94270</v>
      </c>
      <c r="H126" s="7">
        <v>3606</v>
      </c>
      <c r="I126" s="7">
        <v>2783</v>
      </c>
      <c r="J126" s="7">
        <v>3118</v>
      </c>
      <c r="K126" s="7">
        <v>2868</v>
      </c>
      <c r="L126" s="7">
        <v>3151</v>
      </c>
      <c r="M126" s="7">
        <v>6572</v>
      </c>
      <c r="N126" s="7">
        <v>4513</v>
      </c>
      <c r="O126" s="7">
        <v>2016</v>
      </c>
      <c r="P126" s="7">
        <v>2014</v>
      </c>
      <c r="Q126" s="7">
        <v>1827</v>
      </c>
      <c r="R126" s="7">
        <v>3555</v>
      </c>
      <c r="S126" s="7">
        <v>3582</v>
      </c>
      <c r="T126" s="7">
        <v>3339</v>
      </c>
      <c r="U126" s="7">
        <v>1438</v>
      </c>
      <c r="V126" s="7">
        <v>4632</v>
      </c>
      <c r="W126" s="24">
        <f t="shared" si="6"/>
        <v>3267.6</v>
      </c>
      <c r="X126" s="25">
        <f t="shared" si="7"/>
        <v>1299.0106015183796</v>
      </c>
      <c r="Y126" s="25"/>
      <c r="Z126" s="26"/>
      <c r="AA126" s="7">
        <v>2364</v>
      </c>
      <c r="AB126" s="7">
        <v>3203</v>
      </c>
      <c r="AC126" s="7">
        <v>5657</v>
      </c>
      <c r="AD126" s="7">
        <v>3045</v>
      </c>
      <c r="AE126" s="7">
        <v>1356</v>
      </c>
      <c r="AF126" s="7">
        <v>2663</v>
      </c>
      <c r="AG126" s="7">
        <v>2667</v>
      </c>
      <c r="AH126" s="7">
        <v>2530</v>
      </c>
      <c r="AI126" s="7">
        <v>3566</v>
      </c>
      <c r="AJ126" s="7">
        <v>2855</v>
      </c>
      <c r="AK126" s="7">
        <v>1561</v>
      </c>
      <c r="AL126" s="7">
        <v>3391</v>
      </c>
      <c r="AM126" s="30">
        <f t="shared" si="8"/>
        <v>2904.8333333333335</v>
      </c>
      <c r="AN126" s="30">
        <f t="shared" si="9"/>
        <v>1091.7781853749443</v>
      </c>
      <c r="AO126" s="30"/>
      <c r="AP126" s="29">
        <f t="shared" si="10"/>
        <v>0.8889806993920105</v>
      </c>
      <c r="AQ126" s="31">
        <f t="shared" si="11"/>
        <v>0.44694812427345265</v>
      </c>
      <c r="AR126" s="21" t="s">
        <v>1085</v>
      </c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DM126" s="16"/>
      <c r="DN126" s="16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3"/>
      <c r="FW126" s="11"/>
    </row>
    <row r="127" spans="1:179" ht="18.75">
      <c r="A127" s="1" t="s">
        <v>1013</v>
      </c>
      <c r="B127" s="2" t="s">
        <v>1014</v>
      </c>
      <c r="C127" s="2" t="s">
        <v>1015</v>
      </c>
      <c r="D127" s="2" t="str">
        <f>HYPERLINK("http://eros.fiehnlab.ucdavis.edu:8080/binbase-compound/bin/show/203761?db=rtx5","203761")</f>
        <v>203761</v>
      </c>
      <c r="E127" s="2" t="s">
        <v>10</v>
      </c>
      <c r="F127" s="2" t="s">
        <v>83</v>
      </c>
      <c r="G127" s="2" t="s">
        <v>83</v>
      </c>
      <c r="H127" s="7">
        <v>1491</v>
      </c>
      <c r="I127" s="7">
        <v>866</v>
      </c>
      <c r="J127" s="7">
        <v>556</v>
      </c>
      <c r="K127" s="7">
        <v>709</v>
      </c>
      <c r="L127" s="7">
        <v>745</v>
      </c>
      <c r="M127" s="7">
        <v>587</v>
      </c>
      <c r="N127" s="7">
        <v>1272</v>
      </c>
      <c r="O127" s="7">
        <v>388</v>
      </c>
      <c r="P127" s="7">
        <v>873</v>
      </c>
      <c r="Q127" s="7">
        <v>276</v>
      </c>
      <c r="R127" s="7">
        <v>1425</v>
      </c>
      <c r="S127" s="7">
        <v>1021</v>
      </c>
      <c r="T127" s="7">
        <v>663</v>
      </c>
      <c r="U127" s="7">
        <v>659</v>
      </c>
      <c r="V127" s="7">
        <v>485</v>
      </c>
      <c r="W127" s="24">
        <f t="shared" si="6"/>
        <v>801.0666666666667</v>
      </c>
      <c r="X127" s="25">
        <f t="shared" si="7"/>
        <v>363.2988668667529</v>
      </c>
      <c r="Y127" s="25"/>
      <c r="Z127" s="26"/>
      <c r="AA127" s="7">
        <v>573</v>
      </c>
      <c r="AB127" s="7">
        <v>406</v>
      </c>
      <c r="AC127" s="7">
        <v>503</v>
      </c>
      <c r="AD127" s="7">
        <v>312</v>
      </c>
      <c r="AE127" s="7">
        <v>433</v>
      </c>
      <c r="AF127" s="7">
        <v>879</v>
      </c>
      <c r="AG127" s="7">
        <v>2032</v>
      </c>
      <c r="AH127" s="7">
        <v>992</v>
      </c>
      <c r="AI127" s="7">
        <v>759</v>
      </c>
      <c r="AJ127" s="7">
        <v>404</v>
      </c>
      <c r="AK127" s="7">
        <v>507</v>
      </c>
      <c r="AL127" s="7">
        <v>754</v>
      </c>
      <c r="AM127" s="30">
        <f t="shared" si="8"/>
        <v>712.8333333333334</v>
      </c>
      <c r="AN127" s="30">
        <f t="shared" si="9"/>
        <v>465.5418804191976</v>
      </c>
      <c r="AO127" s="30"/>
      <c r="AP127" s="29">
        <f t="shared" si="10"/>
        <v>0.8898551930758988</v>
      </c>
      <c r="AQ127" s="31">
        <f t="shared" si="11"/>
        <v>0.5846869732372124</v>
      </c>
      <c r="AR127" s="21" t="s">
        <v>1013</v>
      </c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DM127" s="16"/>
      <c r="DN127" s="16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3"/>
      <c r="FW127" s="11"/>
    </row>
    <row r="128" spans="1:179" ht="18.75">
      <c r="A128" s="1" t="s">
        <v>435</v>
      </c>
      <c r="B128" s="2" t="s">
        <v>436</v>
      </c>
      <c r="C128" s="2" t="s">
        <v>437</v>
      </c>
      <c r="D128" s="2" t="str">
        <f>HYPERLINK("http://eros.fiehnlab.ucdavis.edu:8080/binbase-compound/bin/show/362100?db=rtx5","362100")</f>
        <v>362100</v>
      </c>
      <c r="E128" s="2" t="s">
        <v>203</v>
      </c>
      <c r="F128" s="2" t="s">
        <v>83</v>
      </c>
      <c r="G128" s="2" t="s">
        <v>83</v>
      </c>
      <c r="H128" s="7">
        <v>9005</v>
      </c>
      <c r="I128" s="7">
        <v>7896</v>
      </c>
      <c r="J128" s="7">
        <v>7114</v>
      </c>
      <c r="K128" s="7">
        <v>7060</v>
      </c>
      <c r="L128" s="7">
        <v>12462</v>
      </c>
      <c r="M128" s="7">
        <v>9809</v>
      </c>
      <c r="N128" s="7">
        <v>10110</v>
      </c>
      <c r="O128" s="7">
        <v>6238</v>
      </c>
      <c r="P128" s="7">
        <v>5683</v>
      </c>
      <c r="Q128" s="7">
        <v>4106</v>
      </c>
      <c r="R128" s="7">
        <v>7228</v>
      </c>
      <c r="S128" s="7">
        <v>9609</v>
      </c>
      <c r="T128" s="7">
        <v>9817</v>
      </c>
      <c r="U128" s="7">
        <v>7937</v>
      </c>
      <c r="V128" s="7">
        <v>11093</v>
      </c>
      <c r="W128" s="24">
        <f t="shared" si="6"/>
        <v>8344.466666666667</v>
      </c>
      <c r="X128" s="25">
        <f t="shared" si="7"/>
        <v>2207.7290163251037</v>
      </c>
      <c r="Y128" s="25"/>
      <c r="Z128" s="26"/>
      <c r="AA128" s="7">
        <v>6794</v>
      </c>
      <c r="AB128" s="7">
        <v>4963</v>
      </c>
      <c r="AC128" s="7">
        <v>4051</v>
      </c>
      <c r="AD128" s="7">
        <v>5753</v>
      </c>
      <c r="AE128" s="7">
        <v>4886</v>
      </c>
      <c r="AF128" s="7">
        <v>9918</v>
      </c>
      <c r="AG128" s="7">
        <v>8759</v>
      </c>
      <c r="AH128" s="7">
        <v>8218</v>
      </c>
      <c r="AI128" s="7">
        <v>9987</v>
      </c>
      <c r="AJ128" s="7">
        <v>6640</v>
      </c>
      <c r="AK128" s="7">
        <v>10940</v>
      </c>
      <c r="AL128" s="7">
        <v>8218</v>
      </c>
      <c r="AM128" s="30">
        <f t="shared" si="8"/>
        <v>7427.25</v>
      </c>
      <c r="AN128" s="30">
        <f t="shared" si="9"/>
        <v>2253.7468247343136</v>
      </c>
      <c r="AO128" s="30"/>
      <c r="AP128" s="29">
        <f t="shared" si="10"/>
        <v>0.8900808519817524</v>
      </c>
      <c r="AQ128" s="31">
        <f t="shared" si="11"/>
        <v>0.2979867142777193</v>
      </c>
      <c r="AR128" s="21" t="s">
        <v>435</v>
      </c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DM128" s="16"/>
      <c r="DN128" s="16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3"/>
      <c r="FW128" s="11"/>
    </row>
    <row r="129" spans="1:179" ht="18.75">
      <c r="A129" s="1" t="s">
        <v>539</v>
      </c>
      <c r="B129" s="2" t="s">
        <v>540</v>
      </c>
      <c r="C129" s="2" t="s">
        <v>541</v>
      </c>
      <c r="D129" s="2" t="str">
        <f>HYPERLINK("http://eros.fiehnlab.ucdavis.edu:8080/binbase-compound/bin/show/218815?db=rtx5","218815")</f>
        <v>218815</v>
      </c>
      <c r="E129" s="2" t="s">
        <v>634</v>
      </c>
      <c r="F129" s="2" t="str">
        <f>HYPERLINK("http://www.genome.ad.jp/dbget-bin/www_bget?compound+C06104","C06104")</f>
        <v>C06104</v>
      </c>
      <c r="G129" s="2" t="str">
        <f>HYPERLINK("http://pubchem.ncbi.nlm.nih.gov/summary/summary.cgi?cid=196","196")</f>
        <v>196</v>
      </c>
      <c r="H129" s="7">
        <v>891</v>
      </c>
      <c r="I129" s="7">
        <v>1222</v>
      </c>
      <c r="J129" s="7">
        <v>3669</v>
      </c>
      <c r="K129" s="7">
        <v>1999</v>
      </c>
      <c r="L129" s="7">
        <v>890</v>
      </c>
      <c r="M129" s="7">
        <v>1713</v>
      </c>
      <c r="N129" s="7">
        <v>1230</v>
      </c>
      <c r="O129" s="7">
        <v>913</v>
      </c>
      <c r="P129" s="7">
        <v>1158</v>
      </c>
      <c r="Q129" s="7">
        <v>1177</v>
      </c>
      <c r="R129" s="7">
        <v>1285</v>
      </c>
      <c r="S129" s="7">
        <v>989</v>
      </c>
      <c r="T129" s="7">
        <v>931</v>
      </c>
      <c r="U129" s="7">
        <v>1109</v>
      </c>
      <c r="V129" s="7">
        <v>1778</v>
      </c>
      <c r="W129" s="24">
        <f t="shared" si="6"/>
        <v>1396.9333333333334</v>
      </c>
      <c r="X129" s="25">
        <f t="shared" si="7"/>
        <v>715.1367967705467</v>
      </c>
      <c r="Y129" s="25"/>
      <c r="Z129" s="26"/>
      <c r="AA129" s="7">
        <v>1353</v>
      </c>
      <c r="AB129" s="7">
        <v>1853</v>
      </c>
      <c r="AC129" s="7">
        <v>1221</v>
      </c>
      <c r="AD129" s="7">
        <v>827</v>
      </c>
      <c r="AE129" s="7">
        <v>1654</v>
      </c>
      <c r="AF129" s="7">
        <v>1100</v>
      </c>
      <c r="AG129" s="7">
        <v>1005</v>
      </c>
      <c r="AH129" s="7">
        <v>1283</v>
      </c>
      <c r="AI129" s="7">
        <v>1353</v>
      </c>
      <c r="AJ129" s="7">
        <v>1293</v>
      </c>
      <c r="AK129" s="7">
        <v>1015</v>
      </c>
      <c r="AL129" s="7">
        <v>998</v>
      </c>
      <c r="AM129" s="30">
        <f t="shared" si="8"/>
        <v>1246.25</v>
      </c>
      <c r="AN129" s="30">
        <f t="shared" si="9"/>
        <v>291.0539234637396</v>
      </c>
      <c r="AO129" s="30"/>
      <c r="AP129" s="29">
        <f t="shared" si="10"/>
        <v>0.892132767013458</v>
      </c>
      <c r="AQ129" s="31">
        <f t="shared" si="11"/>
        <v>0.5003519820124397</v>
      </c>
      <c r="AR129" s="21" t="s">
        <v>539</v>
      </c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DM129" s="16"/>
      <c r="DN129" s="16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3"/>
      <c r="FW129" s="11"/>
    </row>
    <row r="130" spans="1:179" ht="18.75">
      <c r="A130" s="1" t="s">
        <v>269</v>
      </c>
      <c r="B130" s="2" t="s">
        <v>270</v>
      </c>
      <c r="C130" s="2" t="s">
        <v>271</v>
      </c>
      <c r="D130" s="2" t="str">
        <f>HYPERLINK("http://eros.fiehnlab.ucdavis.edu:8080/binbase-compound/bin/show/199200?db=rtx5","199200")</f>
        <v>199200</v>
      </c>
      <c r="E130" s="2" t="s">
        <v>632</v>
      </c>
      <c r="F130" s="2" t="str">
        <f>HYPERLINK("http://www.genome.ad.jp/dbget-bin/www_bget?compound+C00805","C00805")</f>
        <v>C00805</v>
      </c>
      <c r="G130" s="2" t="str">
        <f>HYPERLINK("http://pubchem.ncbi.nlm.nih.gov/summary/summary.cgi?cid=338","338")</f>
        <v>338</v>
      </c>
      <c r="H130" s="7">
        <v>644</v>
      </c>
      <c r="I130" s="7">
        <v>1125</v>
      </c>
      <c r="J130" s="7">
        <v>2771</v>
      </c>
      <c r="K130" s="7">
        <v>1110</v>
      </c>
      <c r="L130" s="7">
        <v>829</v>
      </c>
      <c r="M130" s="7">
        <v>788</v>
      </c>
      <c r="N130" s="7">
        <v>887</v>
      </c>
      <c r="O130" s="7">
        <v>868</v>
      </c>
      <c r="P130" s="7">
        <v>1025</v>
      </c>
      <c r="Q130" s="7">
        <v>881</v>
      </c>
      <c r="R130" s="7">
        <v>971</v>
      </c>
      <c r="S130" s="7">
        <v>936</v>
      </c>
      <c r="T130" s="7">
        <v>1111</v>
      </c>
      <c r="U130" s="7">
        <v>562</v>
      </c>
      <c r="V130" s="7">
        <v>1456</v>
      </c>
      <c r="W130" s="24">
        <f t="shared" si="6"/>
        <v>1064.2666666666667</v>
      </c>
      <c r="X130" s="25">
        <f t="shared" si="7"/>
        <v>518.5936293293164</v>
      </c>
      <c r="Y130" s="25"/>
      <c r="Z130" s="26"/>
      <c r="AA130" s="7">
        <v>1390</v>
      </c>
      <c r="AB130" s="7">
        <v>1003</v>
      </c>
      <c r="AC130" s="7">
        <v>1180</v>
      </c>
      <c r="AD130" s="7">
        <v>771</v>
      </c>
      <c r="AE130" s="7">
        <v>913</v>
      </c>
      <c r="AF130" s="7">
        <v>1128</v>
      </c>
      <c r="AG130" s="7">
        <v>496</v>
      </c>
      <c r="AH130" s="7">
        <v>725</v>
      </c>
      <c r="AI130" s="7">
        <v>969</v>
      </c>
      <c r="AJ130" s="7">
        <v>771</v>
      </c>
      <c r="AK130" s="7">
        <v>1120</v>
      </c>
      <c r="AL130" s="7">
        <v>942</v>
      </c>
      <c r="AM130" s="30">
        <f t="shared" si="8"/>
        <v>950.6666666666666</v>
      </c>
      <c r="AN130" s="30">
        <f t="shared" si="9"/>
        <v>239.79246077060927</v>
      </c>
      <c r="AO130" s="30"/>
      <c r="AP130" s="29">
        <f t="shared" si="10"/>
        <v>0.8932598346279128</v>
      </c>
      <c r="AQ130" s="31">
        <f t="shared" si="11"/>
        <v>0.49079203705964447</v>
      </c>
      <c r="AR130" s="21" t="s">
        <v>269</v>
      </c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DM130" s="16"/>
      <c r="DN130" s="16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3"/>
      <c r="FW130" s="11"/>
    </row>
    <row r="131" spans="1:179" ht="18.75">
      <c r="A131" s="1" t="s">
        <v>870</v>
      </c>
      <c r="B131" s="2" t="s">
        <v>871</v>
      </c>
      <c r="C131" s="2" t="s">
        <v>801</v>
      </c>
      <c r="D131" s="2" t="str">
        <f>HYPERLINK("http://eros.fiehnlab.ucdavis.edu:8080/binbase-compound/bin/show/238320?db=rtx5","238320")</f>
        <v>238320</v>
      </c>
      <c r="E131" s="2" t="s">
        <v>123</v>
      </c>
      <c r="F131" s="2" t="s">
        <v>83</v>
      </c>
      <c r="G131" s="2" t="s">
        <v>83</v>
      </c>
      <c r="H131" s="7">
        <v>4167</v>
      </c>
      <c r="I131" s="7">
        <v>4231</v>
      </c>
      <c r="J131" s="7">
        <v>6049</v>
      </c>
      <c r="K131" s="7">
        <v>2950</v>
      </c>
      <c r="L131" s="7">
        <v>3387</v>
      </c>
      <c r="M131" s="7">
        <v>4053</v>
      </c>
      <c r="N131" s="7">
        <v>3972</v>
      </c>
      <c r="O131" s="7">
        <v>3802</v>
      </c>
      <c r="P131" s="7">
        <v>4026</v>
      </c>
      <c r="Q131" s="7">
        <v>2796</v>
      </c>
      <c r="R131" s="7">
        <v>4318</v>
      </c>
      <c r="S131" s="7">
        <v>3267</v>
      </c>
      <c r="T131" s="7">
        <v>3240</v>
      </c>
      <c r="U131" s="7">
        <v>2403</v>
      </c>
      <c r="V131" s="7">
        <v>5580</v>
      </c>
      <c r="W131" s="24">
        <f t="shared" si="6"/>
        <v>3882.733333333333</v>
      </c>
      <c r="X131" s="25">
        <f t="shared" si="7"/>
        <v>974.9563702081873</v>
      </c>
      <c r="Y131" s="25"/>
      <c r="Z131" s="26"/>
      <c r="AA131" s="7">
        <v>3837</v>
      </c>
      <c r="AB131" s="7">
        <v>1931</v>
      </c>
      <c r="AC131" s="7">
        <v>2931</v>
      </c>
      <c r="AD131" s="7">
        <v>2447</v>
      </c>
      <c r="AE131" s="7">
        <v>2769</v>
      </c>
      <c r="AF131" s="7">
        <v>4657</v>
      </c>
      <c r="AG131" s="7">
        <v>3767</v>
      </c>
      <c r="AH131" s="7">
        <v>3330</v>
      </c>
      <c r="AI131" s="7">
        <v>4848</v>
      </c>
      <c r="AJ131" s="7">
        <v>3620</v>
      </c>
      <c r="AK131" s="7">
        <v>3531</v>
      </c>
      <c r="AL131" s="7">
        <v>3976</v>
      </c>
      <c r="AM131" s="30">
        <f t="shared" si="8"/>
        <v>3470.3333333333335</v>
      </c>
      <c r="AN131" s="30">
        <f t="shared" si="9"/>
        <v>854.3779590846759</v>
      </c>
      <c r="AO131" s="30"/>
      <c r="AP131" s="29">
        <f t="shared" si="10"/>
        <v>0.8937861643859137</v>
      </c>
      <c r="AQ131" s="31">
        <f t="shared" si="11"/>
        <v>0.25998089823309767</v>
      </c>
      <c r="AR131" s="21" t="s">
        <v>870</v>
      </c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DM131" s="16"/>
      <c r="DN131" s="16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3"/>
      <c r="FW131" s="11"/>
    </row>
    <row r="132" spans="1:179" ht="18.75">
      <c r="A132" s="1" t="s">
        <v>741</v>
      </c>
      <c r="B132" s="2" t="s">
        <v>742</v>
      </c>
      <c r="C132" s="2" t="s">
        <v>243</v>
      </c>
      <c r="D132" s="2" t="str">
        <f>HYPERLINK("http://eros.fiehnlab.ucdavis.edu:8080/binbase-compound/bin/show/309540?db=rtx5","309540")</f>
        <v>309540</v>
      </c>
      <c r="E132" s="2" t="s">
        <v>140</v>
      </c>
      <c r="F132" s="2" t="s">
        <v>83</v>
      </c>
      <c r="G132" s="2" t="s">
        <v>83</v>
      </c>
      <c r="H132" s="7">
        <v>1842</v>
      </c>
      <c r="I132" s="7">
        <v>1544</v>
      </c>
      <c r="J132" s="7">
        <v>3829</v>
      </c>
      <c r="K132" s="7">
        <v>2373</v>
      </c>
      <c r="L132" s="7">
        <v>1863</v>
      </c>
      <c r="M132" s="7">
        <v>2437</v>
      </c>
      <c r="N132" s="7">
        <v>1214</v>
      </c>
      <c r="O132" s="7">
        <v>1103</v>
      </c>
      <c r="P132" s="7">
        <v>846</v>
      </c>
      <c r="Q132" s="7">
        <v>1349</v>
      </c>
      <c r="R132" s="7">
        <v>1892</v>
      </c>
      <c r="S132" s="7">
        <v>2047</v>
      </c>
      <c r="T132" s="7">
        <v>1744</v>
      </c>
      <c r="U132" s="7">
        <v>2261</v>
      </c>
      <c r="V132" s="7">
        <v>1893</v>
      </c>
      <c r="W132" s="24">
        <f t="shared" si="6"/>
        <v>1882.4666666666667</v>
      </c>
      <c r="X132" s="25">
        <f t="shared" si="7"/>
        <v>709.964673836127</v>
      </c>
      <c r="Y132" s="25"/>
      <c r="Z132" s="26"/>
      <c r="AA132" s="7">
        <v>1396</v>
      </c>
      <c r="AB132" s="7">
        <v>1936</v>
      </c>
      <c r="AC132" s="7">
        <v>2208</v>
      </c>
      <c r="AD132" s="7">
        <v>1397</v>
      </c>
      <c r="AE132" s="7">
        <v>1809</v>
      </c>
      <c r="AF132" s="7">
        <v>1468</v>
      </c>
      <c r="AG132" s="7">
        <v>1520</v>
      </c>
      <c r="AH132" s="7">
        <v>1651</v>
      </c>
      <c r="AI132" s="7">
        <v>1544</v>
      </c>
      <c r="AJ132" s="7">
        <v>1662</v>
      </c>
      <c r="AK132" s="7">
        <v>2192</v>
      </c>
      <c r="AL132" s="7">
        <v>1468</v>
      </c>
      <c r="AM132" s="30">
        <f t="shared" si="8"/>
        <v>1687.5833333333333</v>
      </c>
      <c r="AN132" s="30">
        <f t="shared" si="9"/>
        <v>288.93360619332356</v>
      </c>
      <c r="AO132" s="30"/>
      <c r="AP132" s="29">
        <f t="shared" si="10"/>
        <v>0.8964744838332683</v>
      </c>
      <c r="AQ132" s="31">
        <f t="shared" si="11"/>
        <v>0.38147205505066173</v>
      </c>
      <c r="AR132" s="21" t="s">
        <v>741</v>
      </c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DM132" s="16"/>
      <c r="DN132" s="16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3"/>
      <c r="FW132" s="11"/>
    </row>
    <row r="133" spans="1:179" ht="18.75">
      <c r="A133" s="1" t="s">
        <v>565</v>
      </c>
      <c r="B133" s="2" t="s">
        <v>663</v>
      </c>
      <c r="C133" s="2" t="s">
        <v>316</v>
      </c>
      <c r="D133" s="2" t="str">
        <f>HYPERLINK("http://eros.fiehnlab.ucdavis.edu:8080/binbase-compound/bin/show/425155?db=rtx5","425155")</f>
        <v>425155</v>
      </c>
      <c r="E133" s="2" t="s">
        <v>117</v>
      </c>
      <c r="F133" s="2" t="s">
        <v>83</v>
      </c>
      <c r="G133" s="2" t="s">
        <v>83</v>
      </c>
      <c r="H133" s="7">
        <v>1219</v>
      </c>
      <c r="I133" s="7">
        <v>2421</v>
      </c>
      <c r="J133" s="7">
        <v>4050</v>
      </c>
      <c r="K133" s="7">
        <v>1875</v>
      </c>
      <c r="L133" s="7">
        <v>1140</v>
      </c>
      <c r="M133" s="7">
        <v>1197</v>
      </c>
      <c r="N133" s="7">
        <v>2617</v>
      </c>
      <c r="O133" s="7">
        <v>1858</v>
      </c>
      <c r="P133" s="7">
        <v>2008</v>
      </c>
      <c r="Q133" s="7">
        <v>2143</v>
      </c>
      <c r="R133" s="7">
        <v>2833</v>
      </c>
      <c r="S133" s="7">
        <v>1906</v>
      </c>
      <c r="T133" s="7">
        <v>1407</v>
      </c>
      <c r="U133" s="7">
        <v>2604</v>
      </c>
      <c r="V133" s="7">
        <v>3330</v>
      </c>
      <c r="W133" s="24">
        <f t="shared" si="6"/>
        <v>2173.866666666667</v>
      </c>
      <c r="X133" s="25">
        <f t="shared" si="7"/>
        <v>825.7355047528984</v>
      </c>
      <c r="Y133" s="25"/>
      <c r="Z133" s="26"/>
      <c r="AA133" s="7">
        <v>1436</v>
      </c>
      <c r="AB133" s="7">
        <v>2439</v>
      </c>
      <c r="AC133" s="7">
        <v>2686</v>
      </c>
      <c r="AD133" s="7">
        <v>1693</v>
      </c>
      <c r="AE133" s="7">
        <v>2572</v>
      </c>
      <c r="AF133" s="7">
        <v>2571</v>
      </c>
      <c r="AG133" s="7">
        <v>1980</v>
      </c>
      <c r="AH133" s="7">
        <v>1228</v>
      </c>
      <c r="AI133" s="7">
        <v>1591</v>
      </c>
      <c r="AJ133" s="7">
        <v>1907</v>
      </c>
      <c r="AK133" s="7">
        <v>1691</v>
      </c>
      <c r="AL133" s="7">
        <v>1598</v>
      </c>
      <c r="AM133" s="30">
        <f t="shared" si="8"/>
        <v>1949.3333333333333</v>
      </c>
      <c r="AN133" s="30">
        <f t="shared" si="9"/>
        <v>497.948579552937</v>
      </c>
      <c r="AO133" s="30"/>
      <c r="AP133" s="29">
        <f t="shared" si="10"/>
        <v>0.8967124631992148</v>
      </c>
      <c r="AQ133" s="31">
        <f t="shared" si="11"/>
        <v>0.4158278373542944</v>
      </c>
      <c r="AR133" s="21" t="s">
        <v>565</v>
      </c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DM133" s="16"/>
      <c r="DN133" s="16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3"/>
      <c r="FW133" s="11"/>
    </row>
    <row r="134" spans="1:179" ht="18.75">
      <c r="A134" s="1" t="s">
        <v>776</v>
      </c>
      <c r="B134" s="2" t="s">
        <v>777</v>
      </c>
      <c r="C134" s="2" t="s">
        <v>778</v>
      </c>
      <c r="D134" s="2" t="str">
        <f>HYPERLINK("http://eros.fiehnlab.ucdavis.edu:8080/binbase-compound/bin/show/299130?db=rtx5","299130")</f>
        <v>299130</v>
      </c>
      <c r="E134" s="2" t="s">
        <v>139</v>
      </c>
      <c r="F134" s="2" t="s">
        <v>83</v>
      </c>
      <c r="G134" s="2" t="s">
        <v>83</v>
      </c>
      <c r="H134" s="7">
        <v>1142</v>
      </c>
      <c r="I134" s="7">
        <v>1088</v>
      </c>
      <c r="J134" s="7">
        <v>1416</v>
      </c>
      <c r="K134" s="7">
        <v>1121</v>
      </c>
      <c r="L134" s="7">
        <v>2339</v>
      </c>
      <c r="M134" s="7">
        <v>1655</v>
      </c>
      <c r="N134" s="7">
        <v>1858</v>
      </c>
      <c r="O134" s="7">
        <v>625</v>
      </c>
      <c r="P134" s="7">
        <v>392</v>
      </c>
      <c r="Q134" s="7">
        <v>526</v>
      </c>
      <c r="R134" s="7">
        <v>1743</v>
      </c>
      <c r="S134" s="7">
        <v>891</v>
      </c>
      <c r="T134" s="7">
        <v>725</v>
      </c>
      <c r="U134" s="7">
        <v>1573</v>
      </c>
      <c r="V134" s="7">
        <v>3304</v>
      </c>
      <c r="W134" s="24">
        <f t="shared" si="6"/>
        <v>1359.8666666666666</v>
      </c>
      <c r="X134" s="25">
        <f t="shared" si="7"/>
        <v>767.29672661016</v>
      </c>
      <c r="Y134" s="25"/>
      <c r="Z134" s="26"/>
      <c r="AA134" s="7">
        <v>418</v>
      </c>
      <c r="AB134" s="7">
        <v>649</v>
      </c>
      <c r="AC134" s="7">
        <v>380</v>
      </c>
      <c r="AD134" s="7">
        <v>2695</v>
      </c>
      <c r="AE134" s="7">
        <v>842</v>
      </c>
      <c r="AF134" s="7">
        <v>519</v>
      </c>
      <c r="AG134" s="7">
        <v>1205</v>
      </c>
      <c r="AH134" s="7">
        <v>409</v>
      </c>
      <c r="AI134" s="7">
        <v>1871</v>
      </c>
      <c r="AJ134" s="7">
        <v>3899</v>
      </c>
      <c r="AK134" s="7">
        <v>575</v>
      </c>
      <c r="AL134" s="7">
        <v>1175</v>
      </c>
      <c r="AM134" s="30">
        <f t="shared" si="8"/>
        <v>1219.75</v>
      </c>
      <c r="AN134" s="30">
        <f t="shared" si="9"/>
        <v>1093.8502577426384</v>
      </c>
      <c r="AO134" s="30"/>
      <c r="AP134" s="29">
        <f t="shared" si="10"/>
        <v>0.8969629375428965</v>
      </c>
      <c r="AQ134" s="31">
        <f t="shared" si="11"/>
        <v>0.6991163175606901</v>
      </c>
      <c r="AR134" s="21" t="s">
        <v>776</v>
      </c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DM134" s="16"/>
      <c r="DN134" s="16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3"/>
      <c r="FW134" s="11"/>
    </row>
    <row r="135" spans="1:179" ht="18.75">
      <c r="A135" s="1" t="s">
        <v>519</v>
      </c>
      <c r="B135" s="2" t="s">
        <v>520</v>
      </c>
      <c r="C135" s="2" t="s">
        <v>475</v>
      </c>
      <c r="D135" s="2" t="str">
        <f>HYPERLINK("http://eros.fiehnlab.ucdavis.edu:8080/binbase-compound/bin/show/307890?db=rtx5","307890")</f>
        <v>307890</v>
      </c>
      <c r="E135" s="2" t="s">
        <v>1145</v>
      </c>
      <c r="F135" s="2" t="str">
        <f>HYPERLINK("http://www.genome.ad.jp/dbget-bin/www_bget?compound+C00152","C00152")</f>
        <v>C00152</v>
      </c>
      <c r="G135" s="2" t="str">
        <f>HYPERLINK("http://pubchem.ncbi.nlm.nih.gov/summary/summary.cgi?cid=236","236")</f>
        <v>236</v>
      </c>
      <c r="H135" s="7">
        <v>1759</v>
      </c>
      <c r="I135" s="7">
        <v>3004</v>
      </c>
      <c r="J135" s="7">
        <v>3060</v>
      </c>
      <c r="K135" s="7">
        <v>3360</v>
      </c>
      <c r="L135" s="7">
        <v>3943</v>
      </c>
      <c r="M135" s="7">
        <v>9916</v>
      </c>
      <c r="N135" s="7">
        <v>6468</v>
      </c>
      <c r="O135" s="7">
        <v>18563</v>
      </c>
      <c r="P135" s="7">
        <v>4340</v>
      </c>
      <c r="Q135" s="7">
        <v>2636</v>
      </c>
      <c r="R135" s="7">
        <v>5806</v>
      </c>
      <c r="S135" s="7">
        <v>7236</v>
      </c>
      <c r="T135" s="7">
        <v>11294</v>
      </c>
      <c r="U135" s="7">
        <v>4202</v>
      </c>
      <c r="V135" s="7">
        <v>12008</v>
      </c>
      <c r="W135" s="24">
        <f aca="true" t="shared" si="12" ref="W135:W198">AVERAGE(H135:V135)</f>
        <v>6506.333333333333</v>
      </c>
      <c r="X135" s="25">
        <f aca="true" t="shared" si="13" ref="X135:X198">STDEV(H135:V135)</f>
        <v>4623.98039211529</v>
      </c>
      <c r="Y135" s="25"/>
      <c r="Z135" s="27"/>
      <c r="AA135" s="7">
        <v>3155</v>
      </c>
      <c r="AB135" s="7">
        <v>3225</v>
      </c>
      <c r="AC135" s="7">
        <v>3072</v>
      </c>
      <c r="AD135" s="7">
        <v>4937</v>
      </c>
      <c r="AE135" s="7">
        <v>3089</v>
      </c>
      <c r="AF135" s="7">
        <v>4348</v>
      </c>
      <c r="AG135" s="7">
        <v>6318</v>
      </c>
      <c r="AH135" s="7">
        <v>9934</v>
      </c>
      <c r="AI135" s="7">
        <v>3775</v>
      </c>
      <c r="AJ135" s="7">
        <v>11146</v>
      </c>
      <c r="AK135" s="7">
        <v>13211</v>
      </c>
      <c r="AL135" s="7">
        <v>4035</v>
      </c>
      <c r="AM135" s="30">
        <f aca="true" t="shared" si="14" ref="AM135:AM198">AVERAGE(AA135:AL135)</f>
        <v>5853.75</v>
      </c>
      <c r="AN135" s="30">
        <f aca="true" t="shared" si="15" ref="AN135:AN198">STDEV(AA135:AL135)</f>
        <v>3558.770551877304</v>
      </c>
      <c r="AO135" s="30"/>
      <c r="AP135" s="29">
        <f aca="true" t="shared" si="16" ref="AP135:AP198">AM135/W135</f>
        <v>0.8997002920231569</v>
      </c>
      <c r="AQ135" s="31">
        <f aca="true" t="shared" si="17" ref="AQ135:AQ198">TTEST(AA135:AL135,H135:V135,2,2)</f>
        <v>0.6909151814501009</v>
      </c>
      <c r="AR135" s="21" t="s">
        <v>519</v>
      </c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DM135" s="16"/>
      <c r="DN135" s="16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3"/>
      <c r="FW135" s="11"/>
    </row>
    <row r="136" spans="1:179" ht="18.75">
      <c r="A136" s="1" t="s">
        <v>407</v>
      </c>
      <c r="B136" s="2" t="s">
        <v>408</v>
      </c>
      <c r="C136" s="2" t="s">
        <v>409</v>
      </c>
      <c r="D136" s="2" t="str">
        <f>HYPERLINK("http://eros.fiehnlab.ucdavis.edu:8080/binbase-compound/bin/show/202602?db=rtx5","202602")</f>
        <v>202602</v>
      </c>
      <c r="E136" s="2" t="s">
        <v>587</v>
      </c>
      <c r="F136" s="2" t="str">
        <f>HYPERLINK("http://www.genome.ad.jp/dbget-bin/www_bget?compound+C05629","C05629")</f>
        <v>C05629</v>
      </c>
      <c r="G136" s="2" t="str">
        <f>HYPERLINK("http://pubchem.ncbi.nlm.nih.gov/summary/summary.cgi?cid=107","107")</f>
        <v>107</v>
      </c>
      <c r="H136" s="7">
        <v>947</v>
      </c>
      <c r="I136" s="7">
        <v>1311</v>
      </c>
      <c r="J136" s="7">
        <v>1972</v>
      </c>
      <c r="K136" s="7">
        <v>813</v>
      </c>
      <c r="L136" s="7">
        <v>902</v>
      </c>
      <c r="M136" s="7">
        <v>1361</v>
      </c>
      <c r="N136" s="7">
        <v>1555</v>
      </c>
      <c r="O136" s="7">
        <v>440</v>
      </c>
      <c r="P136" s="7">
        <v>1088</v>
      </c>
      <c r="Q136" s="7">
        <v>1133</v>
      </c>
      <c r="R136" s="7">
        <v>723</v>
      </c>
      <c r="S136" s="7">
        <v>1213</v>
      </c>
      <c r="T136" s="7">
        <v>1265</v>
      </c>
      <c r="U136" s="7">
        <v>1850</v>
      </c>
      <c r="V136" s="7">
        <v>1661</v>
      </c>
      <c r="W136" s="24">
        <f t="shared" si="12"/>
        <v>1215.6</v>
      </c>
      <c r="X136" s="25">
        <f t="shared" si="13"/>
        <v>424.328006550189</v>
      </c>
      <c r="Y136" s="25"/>
      <c r="Z136" s="26"/>
      <c r="AA136" s="7">
        <v>1295</v>
      </c>
      <c r="AB136" s="7">
        <v>849</v>
      </c>
      <c r="AC136" s="7">
        <v>1235</v>
      </c>
      <c r="AD136" s="7">
        <v>986</v>
      </c>
      <c r="AE136" s="7">
        <v>563</v>
      </c>
      <c r="AF136" s="7">
        <v>995</v>
      </c>
      <c r="AG136" s="7">
        <v>595</v>
      </c>
      <c r="AH136" s="7">
        <v>531</v>
      </c>
      <c r="AI136" s="7">
        <v>1214</v>
      </c>
      <c r="AJ136" s="7">
        <v>1628</v>
      </c>
      <c r="AK136" s="7">
        <v>1626</v>
      </c>
      <c r="AL136" s="7">
        <v>1659</v>
      </c>
      <c r="AM136" s="30">
        <f t="shared" si="14"/>
        <v>1098</v>
      </c>
      <c r="AN136" s="30">
        <f t="shared" si="15"/>
        <v>414.6538534510661</v>
      </c>
      <c r="AO136" s="30"/>
      <c r="AP136" s="29">
        <f t="shared" si="16"/>
        <v>0.9032576505429418</v>
      </c>
      <c r="AQ136" s="31">
        <f t="shared" si="17"/>
        <v>0.4765188469521081</v>
      </c>
      <c r="AR136" s="21" t="s">
        <v>407</v>
      </c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DM136" s="16"/>
      <c r="DN136" s="16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3"/>
      <c r="FW136" s="11"/>
    </row>
    <row r="137" spans="1:179" ht="18.75">
      <c r="A137" s="1" t="s">
        <v>521</v>
      </c>
      <c r="B137" s="2" t="s">
        <v>522</v>
      </c>
      <c r="C137" s="2" t="s">
        <v>292</v>
      </c>
      <c r="D137" s="2" t="str">
        <f>HYPERLINK("http://eros.fiehnlab.ucdavis.edu:8080/binbase-compound/bin/show/199796?db=rtx5","199796")</f>
        <v>199796</v>
      </c>
      <c r="E137" s="2" t="s">
        <v>1120</v>
      </c>
      <c r="F137" s="2" t="str">
        <f>HYPERLINK("http://www.genome.ad.jp/dbget-bin/www_bget?compound+C00062","C00062")</f>
        <v>C00062</v>
      </c>
      <c r="G137" s="2" t="str">
        <f>HYPERLINK("http://pubchem.ncbi.nlm.nih.gov/summary/summary.cgi?cid=232","232")</f>
        <v>232</v>
      </c>
      <c r="H137" s="7">
        <v>17606</v>
      </c>
      <c r="I137" s="7">
        <v>23400</v>
      </c>
      <c r="J137" s="7">
        <v>20825</v>
      </c>
      <c r="K137" s="7">
        <v>15580</v>
      </c>
      <c r="L137" s="7">
        <v>20356</v>
      </c>
      <c r="M137" s="7">
        <v>35853</v>
      </c>
      <c r="N137" s="7">
        <v>35934</v>
      </c>
      <c r="O137" s="7">
        <v>37349</v>
      </c>
      <c r="P137" s="7">
        <v>32562</v>
      </c>
      <c r="Q137" s="7">
        <v>43356</v>
      </c>
      <c r="R137" s="7">
        <v>18958</v>
      </c>
      <c r="S137" s="7">
        <v>25196</v>
      </c>
      <c r="T137" s="7">
        <v>27223</v>
      </c>
      <c r="U137" s="7">
        <v>22492</v>
      </c>
      <c r="V137" s="7">
        <v>19569</v>
      </c>
      <c r="W137" s="24">
        <f t="shared" si="12"/>
        <v>26417.266666666666</v>
      </c>
      <c r="X137" s="25">
        <f t="shared" si="13"/>
        <v>8519.185930815776</v>
      </c>
      <c r="Y137" s="25"/>
      <c r="Z137" s="26"/>
      <c r="AA137" s="7">
        <v>22065</v>
      </c>
      <c r="AB137" s="7">
        <v>21678</v>
      </c>
      <c r="AC137" s="7">
        <v>24320</v>
      </c>
      <c r="AD137" s="7">
        <v>30432</v>
      </c>
      <c r="AE137" s="7">
        <v>33367</v>
      </c>
      <c r="AF137" s="7">
        <v>28237</v>
      </c>
      <c r="AG137" s="7">
        <v>24462</v>
      </c>
      <c r="AH137" s="7">
        <v>14602</v>
      </c>
      <c r="AI137" s="7">
        <v>23413</v>
      </c>
      <c r="AJ137" s="7">
        <v>17802</v>
      </c>
      <c r="AK137" s="7">
        <v>19676</v>
      </c>
      <c r="AL137" s="7">
        <v>26493</v>
      </c>
      <c r="AM137" s="30">
        <f t="shared" si="14"/>
        <v>23878.916666666668</v>
      </c>
      <c r="AN137" s="30">
        <f t="shared" si="15"/>
        <v>5294.366670997554</v>
      </c>
      <c r="AO137" s="30"/>
      <c r="AP137" s="29">
        <f t="shared" si="16"/>
        <v>0.9039132234220548</v>
      </c>
      <c r="AQ137" s="31">
        <f t="shared" si="17"/>
        <v>0.3764671101817658</v>
      </c>
      <c r="AR137" s="21" t="s">
        <v>521</v>
      </c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DM137" s="16"/>
      <c r="DN137" s="16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3"/>
      <c r="FW137" s="11"/>
    </row>
    <row r="138" spans="1:179" ht="18.75">
      <c r="A138" s="1" t="s">
        <v>261</v>
      </c>
      <c r="B138" s="2" t="s">
        <v>262</v>
      </c>
      <c r="C138" s="2" t="s">
        <v>243</v>
      </c>
      <c r="D138" s="2" t="str">
        <f>HYPERLINK("http://eros.fiehnlab.ucdavis.edu:8080/binbase-compound/bin/show/199195?db=rtx5","199195")</f>
        <v>199195</v>
      </c>
      <c r="E138" s="2" t="s">
        <v>1097</v>
      </c>
      <c r="F138" s="2" t="str">
        <f>HYPERLINK("http://www.genome.ad.jp/dbget-bin/www_bget?compound+C01530","C01530")</f>
        <v>C01530</v>
      </c>
      <c r="G138" s="2" t="str">
        <f>HYPERLINK("http://pubchem.ncbi.nlm.nih.gov/summary/summary.cgi?cid=5281","5281")</f>
        <v>5281</v>
      </c>
      <c r="H138" s="7">
        <v>303346</v>
      </c>
      <c r="I138" s="7">
        <v>279651</v>
      </c>
      <c r="J138" s="7">
        <v>367563</v>
      </c>
      <c r="K138" s="7">
        <v>381276</v>
      </c>
      <c r="L138" s="7">
        <v>262983</v>
      </c>
      <c r="M138" s="7">
        <v>404516</v>
      </c>
      <c r="N138" s="7">
        <v>224103</v>
      </c>
      <c r="O138" s="7">
        <v>189241</v>
      </c>
      <c r="P138" s="7">
        <v>205705</v>
      </c>
      <c r="Q138" s="7">
        <v>230050</v>
      </c>
      <c r="R138" s="7">
        <v>351246</v>
      </c>
      <c r="S138" s="7">
        <v>279457</v>
      </c>
      <c r="T138" s="7">
        <v>300624</v>
      </c>
      <c r="U138" s="7">
        <v>321113</v>
      </c>
      <c r="V138" s="7">
        <v>258229</v>
      </c>
      <c r="W138" s="24">
        <f t="shared" si="12"/>
        <v>290606.86666666664</v>
      </c>
      <c r="X138" s="25">
        <f t="shared" si="13"/>
        <v>65256.52953959769</v>
      </c>
      <c r="Y138" s="25"/>
      <c r="Z138" s="26"/>
      <c r="AA138" s="7">
        <v>238751</v>
      </c>
      <c r="AB138" s="7">
        <v>353442</v>
      </c>
      <c r="AC138" s="7">
        <v>273484</v>
      </c>
      <c r="AD138" s="7">
        <v>168948</v>
      </c>
      <c r="AE138" s="7">
        <v>256409</v>
      </c>
      <c r="AF138" s="7">
        <v>298736</v>
      </c>
      <c r="AG138" s="7">
        <v>216802</v>
      </c>
      <c r="AH138" s="7">
        <v>299978</v>
      </c>
      <c r="AI138" s="7">
        <v>264793</v>
      </c>
      <c r="AJ138" s="7">
        <v>205719</v>
      </c>
      <c r="AK138" s="7">
        <v>303343</v>
      </c>
      <c r="AL138" s="7">
        <v>273069</v>
      </c>
      <c r="AM138" s="30">
        <f t="shared" si="14"/>
        <v>262789.5</v>
      </c>
      <c r="AN138" s="30">
        <f t="shared" si="15"/>
        <v>50053.00053397944</v>
      </c>
      <c r="AO138" s="30"/>
      <c r="AP138" s="29">
        <f t="shared" si="16"/>
        <v>0.9042783572675388</v>
      </c>
      <c r="AQ138" s="31">
        <f t="shared" si="17"/>
        <v>0.235229369979983</v>
      </c>
      <c r="AR138" s="21" t="s">
        <v>261</v>
      </c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DM138" s="16"/>
      <c r="DN138" s="16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3"/>
      <c r="FW138" s="11"/>
    </row>
    <row r="139" spans="1:179" ht="18.75">
      <c r="A139" s="1" t="s">
        <v>1035</v>
      </c>
      <c r="B139" s="2" t="s">
        <v>1036</v>
      </c>
      <c r="C139" s="2" t="s">
        <v>206</v>
      </c>
      <c r="D139" s="2" t="str">
        <f>HYPERLINK("http://eros.fiehnlab.ucdavis.edu:8080/binbase-compound/bin/show/199777?db=rtx5","199777")</f>
        <v>199777</v>
      </c>
      <c r="E139" s="2" t="s">
        <v>24</v>
      </c>
      <c r="F139" s="2" t="s">
        <v>83</v>
      </c>
      <c r="G139" s="2" t="s">
        <v>83</v>
      </c>
      <c r="H139" s="7">
        <v>67759</v>
      </c>
      <c r="I139" s="7">
        <v>57531</v>
      </c>
      <c r="J139" s="7">
        <v>38255</v>
      </c>
      <c r="K139" s="7">
        <v>47682</v>
      </c>
      <c r="L139" s="7">
        <v>62543</v>
      </c>
      <c r="M139" s="7">
        <v>63392</v>
      </c>
      <c r="N139" s="7">
        <v>53261</v>
      </c>
      <c r="O139" s="7">
        <v>59340</v>
      </c>
      <c r="P139" s="7">
        <v>61441</v>
      </c>
      <c r="Q139" s="7">
        <v>54169</v>
      </c>
      <c r="R139" s="7">
        <v>61540</v>
      </c>
      <c r="S139" s="7">
        <v>47845</v>
      </c>
      <c r="T139" s="7">
        <v>53110</v>
      </c>
      <c r="U139" s="7">
        <v>37053</v>
      </c>
      <c r="V139" s="7">
        <v>72672</v>
      </c>
      <c r="W139" s="24">
        <f t="shared" si="12"/>
        <v>55839.53333333333</v>
      </c>
      <c r="X139" s="25">
        <f t="shared" si="13"/>
        <v>10056.502309214564</v>
      </c>
      <c r="Y139" s="25"/>
      <c r="Z139" s="26"/>
      <c r="AA139" s="7">
        <v>48070</v>
      </c>
      <c r="AB139" s="7">
        <v>43205</v>
      </c>
      <c r="AC139" s="7">
        <v>48875</v>
      </c>
      <c r="AD139" s="7">
        <v>42464</v>
      </c>
      <c r="AE139" s="7">
        <v>47680</v>
      </c>
      <c r="AF139" s="7">
        <v>63362</v>
      </c>
      <c r="AG139" s="7">
        <v>54806</v>
      </c>
      <c r="AH139" s="7">
        <v>53646</v>
      </c>
      <c r="AI139" s="7">
        <v>53074</v>
      </c>
      <c r="AJ139" s="7">
        <v>52177</v>
      </c>
      <c r="AK139" s="7">
        <v>47417</v>
      </c>
      <c r="AL139" s="7">
        <v>52446</v>
      </c>
      <c r="AM139" s="30">
        <f t="shared" si="14"/>
        <v>50601.833333333336</v>
      </c>
      <c r="AN139" s="30">
        <f t="shared" si="15"/>
        <v>5646.941341571704</v>
      </c>
      <c r="AO139" s="30"/>
      <c r="AP139" s="29">
        <f t="shared" si="16"/>
        <v>0.9062008636652885</v>
      </c>
      <c r="AQ139" s="31">
        <f t="shared" si="17"/>
        <v>0.12022531932258003</v>
      </c>
      <c r="AR139" s="21" t="s">
        <v>1035</v>
      </c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DM139" s="16"/>
      <c r="DN139" s="16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3"/>
      <c r="FW139" s="11"/>
    </row>
    <row r="140" spans="1:179" ht="18.75">
      <c r="A140" s="1" t="s">
        <v>204</v>
      </c>
      <c r="B140" s="2" t="s">
        <v>205</v>
      </c>
      <c r="C140" s="2" t="s">
        <v>206</v>
      </c>
      <c r="D140" s="2" t="str">
        <f>HYPERLINK("http://eros.fiehnlab.ucdavis.edu:8080/binbase-compound/bin/show/200524?db=rtx5","200524")</f>
        <v>200524</v>
      </c>
      <c r="E140" s="2" t="s">
        <v>566</v>
      </c>
      <c r="F140" s="2" t="str">
        <f>HYPERLINK("http://www.genome.ad.jp/dbget-bin/www_bget?compound+C00379","C00379")</f>
        <v>C00379</v>
      </c>
      <c r="G140" s="2" t="str">
        <f>HYPERLINK("http://pubchem.ncbi.nlm.nih.gov/summary/summary.cgi?cid=6912","6912")</f>
        <v>6912</v>
      </c>
      <c r="H140" s="7">
        <v>869</v>
      </c>
      <c r="I140" s="7">
        <v>760</v>
      </c>
      <c r="J140" s="7">
        <v>860</v>
      </c>
      <c r="K140" s="7">
        <v>531</v>
      </c>
      <c r="L140" s="7">
        <v>719</v>
      </c>
      <c r="M140" s="7">
        <v>963</v>
      </c>
      <c r="N140" s="7">
        <v>619</v>
      </c>
      <c r="O140" s="7">
        <v>504</v>
      </c>
      <c r="P140" s="7">
        <v>434</v>
      </c>
      <c r="Q140" s="7">
        <v>409</v>
      </c>
      <c r="R140" s="7">
        <v>598</v>
      </c>
      <c r="S140" s="7">
        <v>525</v>
      </c>
      <c r="T140" s="7">
        <v>515</v>
      </c>
      <c r="U140" s="7">
        <v>508</v>
      </c>
      <c r="V140" s="7">
        <v>1046</v>
      </c>
      <c r="W140" s="24">
        <f t="shared" si="12"/>
        <v>657.3333333333334</v>
      </c>
      <c r="X140" s="25">
        <f t="shared" si="13"/>
        <v>200.1416165285637</v>
      </c>
      <c r="Y140" s="25"/>
      <c r="Z140" s="26"/>
      <c r="AA140" s="7">
        <v>477</v>
      </c>
      <c r="AB140" s="7">
        <v>680</v>
      </c>
      <c r="AC140" s="7">
        <v>598</v>
      </c>
      <c r="AD140" s="7">
        <v>721</v>
      </c>
      <c r="AE140" s="7">
        <v>562</v>
      </c>
      <c r="AF140" s="7">
        <v>458</v>
      </c>
      <c r="AG140" s="7">
        <v>688</v>
      </c>
      <c r="AH140" s="7">
        <v>759</v>
      </c>
      <c r="AI140" s="7">
        <v>371</v>
      </c>
      <c r="AJ140" s="7">
        <v>546</v>
      </c>
      <c r="AK140" s="7">
        <v>629</v>
      </c>
      <c r="AL140" s="7">
        <v>665</v>
      </c>
      <c r="AM140" s="30">
        <f t="shared" si="14"/>
        <v>596.1666666666666</v>
      </c>
      <c r="AN140" s="30">
        <f t="shared" si="15"/>
        <v>117.1842630866088</v>
      </c>
      <c r="AO140" s="30"/>
      <c r="AP140" s="29">
        <f t="shared" si="16"/>
        <v>0.9069472616632859</v>
      </c>
      <c r="AQ140" s="31">
        <f t="shared" si="17"/>
        <v>0.3582600921948983</v>
      </c>
      <c r="AR140" s="21" t="s">
        <v>204</v>
      </c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DM140" s="16"/>
      <c r="DN140" s="16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3"/>
      <c r="FW140" s="11"/>
    </row>
    <row r="141" spans="1:179" ht="18.75">
      <c r="A141" s="1" t="s">
        <v>1018</v>
      </c>
      <c r="B141" s="2" t="s">
        <v>1019</v>
      </c>
      <c r="C141" s="2" t="s">
        <v>1020</v>
      </c>
      <c r="D141" s="2" t="str">
        <f>HYPERLINK("http://eros.fiehnlab.ucdavis.edu:8080/binbase-compound/bin/show/201887?db=rtx5","201887")</f>
        <v>201887</v>
      </c>
      <c r="E141" s="2" t="s">
        <v>43</v>
      </c>
      <c r="F141" s="2" t="s">
        <v>83</v>
      </c>
      <c r="G141" s="2" t="s">
        <v>83</v>
      </c>
      <c r="H141" s="7">
        <v>537</v>
      </c>
      <c r="I141" s="7">
        <v>480</v>
      </c>
      <c r="J141" s="7">
        <v>834</v>
      </c>
      <c r="K141" s="7">
        <v>536</v>
      </c>
      <c r="L141" s="7">
        <v>291</v>
      </c>
      <c r="M141" s="7">
        <v>456</v>
      </c>
      <c r="N141" s="7">
        <v>689</v>
      </c>
      <c r="O141" s="7">
        <v>202</v>
      </c>
      <c r="P141" s="7">
        <v>548</v>
      </c>
      <c r="Q141" s="7">
        <v>256</v>
      </c>
      <c r="R141" s="7">
        <v>722</v>
      </c>
      <c r="S141" s="7">
        <v>327</v>
      </c>
      <c r="T141" s="7">
        <v>370</v>
      </c>
      <c r="U141" s="7">
        <v>539</v>
      </c>
      <c r="V141" s="7">
        <v>450</v>
      </c>
      <c r="W141" s="24">
        <f t="shared" si="12"/>
        <v>482.46666666666664</v>
      </c>
      <c r="X141" s="25">
        <f t="shared" si="13"/>
        <v>177.70877728409909</v>
      </c>
      <c r="Y141" s="25"/>
      <c r="Z141" s="26"/>
      <c r="AA141" s="7">
        <v>435</v>
      </c>
      <c r="AB141" s="7">
        <v>281</v>
      </c>
      <c r="AC141" s="7">
        <v>288</v>
      </c>
      <c r="AD141" s="7">
        <v>239</v>
      </c>
      <c r="AE141" s="7">
        <v>338</v>
      </c>
      <c r="AF141" s="7">
        <v>746</v>
      </c>
      <c r="AG141" s="7">
        <v>704</v>
      </c>
      <c r="AH141" s="7">
        <v>389</v>
      </c>
      <c r="AI141" s="7">
        <v>482</v>
      </c>
      <c r="AJ141" s="7">
        <v>341</v>
      </c>
      <c r="AK141" s="7">
        <v>499</v>
      </c>
      <c r="AL141" s="7">
        <v>512</v>
      </c>
      <c r="AM141" s="30">
        <f t="shared" si="14"/>
        <v>437.8333333333333</v>
      </c>
      <c r="AN141" s="30">
        <f t="shared" si="15"/>
        <v>161.0538212317029</v>
      </c>
      <c r="AO141" s="30"/>
      <c r="AP141" s="29">
        <f t="shared" si="16"/>
        <v>0.9074892911427387</v>
      </c>
      <c r="AQ141" s="31">
        <f t="shared" si="17"/>
        <v>0.5055029790881658</v>
      </c>
      <c r="AR141" s="21" t="s">
        <v>1018</v>
      </c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DM141" s="16"/>
      <c r="DN141" s="16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3"/>
      <c r="FW141" s="11"/>
    </row>
    <row r="142" spans="1:179" ht="18.75">
      <c r="A142" s="1" t="s">
        <v>820</v>
      </c>
      <c r="B142" s="2" t="s">
        <v>821</v>
      </c>
      <c r="C142" s="2" t="s">
        <v>489</v>
      </c>
      <c r="D142" s="2" t="str">
        <f>HYPERLINK("http://eros.fiehnlab.ucdavis.edu:8080/binbase-compound/bin/show/272849?db=rtx5","272849")</f>
        <v>272849</v>
      </c>
      <c r="E142" s="2" t="s">
        <v>27</v>
      </c>
      <c r="F142" s="2" t="s">
        <v>83</v>
      </c>
      <c r="G142" s="2" t="s">
        <v>83</v>
      </c>
      <c r="H142" s="7">
        <v>50423</v>
      </c>
      <c r="I142" s="7">
        <v>77134</v>
      </c>
      <c r="J142" s="7">
        <v>235577</v>
      </c>
      <c r="K142" s="7">
        <v>82580</v>
      </c>
      <c r="L142" s="7">
        <v>55083</v>
      </c>
      <c r="M142" s="7">
        <v>37526</v>
      </c>
      <c r="N142" s="7">
        <v>64531</v>
      </c>
      <c r="O142" s="7">
        <v>48669</v>
      </c>
      <c r="P142" s="7">
        <v>72212</v>
      </c>
      <c r="Q142" s="7">
        <v>69930</v>
      </c>
      <c r="R142" s="7">
        <v>71031</v>
      </c>
      <c r="S142" s="7">
        <v>70148</v>
      </c>
      <c r="T142" s="7">
        <v>70147</v>
      </c>
      <c r="U142" s="7">
        <v>90597</v>
      </c>
      <c r="V142" s="7">
        <v>64739</v>
      </c>
      <c r="W142" s="24">
        <f t="shared" si="12"/>
        <v>77355.13333333333</v>
      </c>
      <c r="X142" s="25">
        <f t="shared" si="13"/>
        <v>45838.69260300059</v>
      </c>
      <c r="Y142" s="25"/>
      <c r="Z142" s="26"/>
      <c r="AA142" s="7">
        <v>90318</v>
      </c>
      <c r="AB142" s="7">
        <v>77395</v>
      </c>
      <c r="AC142" s="7">
        <v>72037</v>
      </c>
      <c r="AD142" s="7">
        <v>41577</v>
      </c>
      <c r="AE142" s="7">
        <v>82955</v>
      </c>
      <c r="AF142" s="7">
        <v>70516</v>
      </c>
      <c r="AG142" s="7">
        <v>64670</v>
      </c>
      <c r="AH142" s="7">
        <v>70955</v>
      </c>
      <c r="AI142" s="7">
        <v>52997</v>
      </c>
      <c r="AJ142" s="7">
        <v>46387</v>
      </c>
      <c r="AK142" s="7">
        <v>110000</v>
      </c>
      <c r="AL142" s="7">
        <v>63953</v>
      </c>
      <c r="AM142" s="30">
        <f t="shared" si="14"/>
        <v>70313.33333333333</v>
      </c>
      <c r="AN142" s="30">
        <f t="shared" si="15"/>
        <v>18971.28573461067</v>
      </c>
      <c r="AO142" s="30"/>
      <c r="AP142" s="29">
        <f t="shared" si="16"/>
        <v>0.908967903013547</v>
      </c>
      <c r="AQ142" s="31">
        <f t="shared" si="17"/>
        <v>0.6231042129186023</v>
      </c>
      <c r="AR142" s="21" t="s">
        <v>820</v>
      </c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DM142" s="16"/>
      <c r="DN142" s="16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3"/>
      <c r="FW142" s="11"/>
    </row>
    <row r="143" spans="1:179" ht="18.75">
      <c r="A143" s="1" t="s">
        <v>100</v>
      </c>
      <c r="B143" s="2" t="s">
        <v>234</v>
      </c>
      <c r="C143" s="2" t="s">
        <v>235</v>
      </c>
      <c r="D143" s="2" t="str">
        <f>HYPERLINK("http://eros.fiehnlab.ucdavis.edu:8080/binbase-compound/bin/show/270413?db=rtx5","270413")</f>
        <v>270413</v>
      </c>
      <c r="E143" s="2" t="s">
        <v>594</v>
      </c>
      <c r="F143" s="2" t="str">
        <f>HYPERLINK("http://www.genome.ad.jp/dbget-bin/www_bget?compound+C14152","C14152")</f>
        <v>C14152</v>
      </c>
      <c r="G143" s="2" t="str">
        <f>HYPERLINK("http://pubchem.ncbi.nlm.nih.gov/summary/summary.cgi?cid=8989","8989")</f>
        <v>8989</v>
      </c>
      <c r="H143" s="7">
        <v>297</v>
      </c>
      <c r="I143" s="7">
        <v>408</v>
      </c>
      <c r="J143" s="7">
        <v>955</v>
      </c>
      <c r="K143" s="7">
        <v>476</v>
      </c>
      <c r="L143" s="7">
        <v>319</v>
      </c>
      <c r="M143" s="7">
        <v>304</v>
      </c>
      <c r="N143" s="7">
        <v>428</v>
      </c>
      <c r="O143" s="7">
        <v>341</v>
      </c>
      <c r="P143" s="7">
        <v>501</v>
      </c>
      <c r="Q143" s="7">
        <v>478</v>
      </c>
      <c r="R143" s="7">
        <v>574</v>
      </c>
      <c r="S143" s="7">
        <v>338</v>
      </c>
      <c r="T143" s="7">
        <v>375</v>
      </c>
      <c r="U143" s="7">
        <v>357</v>
      </c>
      <c r="V143" s="7">
        <v>409</v>
      </c>
      <c r="W143" s="24">
        <f t="shared" si="12"/>
        <v>437.3333333333333</v>
      </c>
      <c r="X143" s="25">
        <f t="shared" si="13"/>
        <v>164.00551674809458</v>
      </c>
      <c r="Y143" s="25"/>
      <c r="Z143" s="26"/>
      <c r="AA143" s="7">
        <v>294</v>
      </c>
      <c r="AB143" s="7">
        <v>308</v>
      </c>
      <c r="AC143" s="7">
        <v>409</v>
      </c>
      <c r="AD143" s="7">
        <v>329</v>
      </c>
      <c r="AE143" s="7">
        <v>464</v>
      </c>
      <c r="AF143" s="7">
        <v>496</v>
      </c>
      <c r="AG143" s="7">
        <v>265</v>
      </c>
      <c r="AH143" s="7">
        <v>411</v>
      </c>
      <c r="AI143" s="7">
        <v>489</v>
      </c>
      <c r="AJ143" s="7">
        <v>361</v>
      </c>
      <c r="AK143" s="7">
        <v>546</v>
      </c>
      <c r="AL143" s="7">
        <v>401</v>
      </c>
      <c r="AM143" s="30">
        <f t="shared" si="14"/>
        <v>397.75</v>
      </c>
      <c r="AN143" s="30">
        <f t="shared" si="15"/>
        <v>89.02412849641077</v>
      </c>
      <c r="AO143" s="30"/>
      <c r="AP143" s="29">
        <f t="shared" si="16"/>
        <v>0.9094893292682927</v>
      </c>
      <c r="AQ143" s="31">
        <f t="shared" si="17"/>
        <v>0.46001548656116464</v>
      </c>
      <c r="AR143" s="21" t="s">
        <v>100</v>
      </c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DM143" s="16"/>
      <c r="DN143" s="16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3"/>
      <c r="FW143" s="11"/>
    </row>
    <row r="144" spans="1:179" ht="18.75">
      <c r="A144" s="1" t="s">
        <v>452</v>
      </c>
      <c r="B144" s="2" t="s">
        <v>453</v>
      </c>
      <c r="C144" s="2" t="s">
        <v>448</v>
      </c>
      <c r="D144" s="2" t="str">
        <f>HYPERLINK("http://eros.fiehnlab.ucdavis.edu:8080/binbase-compound/bin/show/211990?db=rtx5","211990")</f>
        <v>211990</v>
      </c>
      <c r="E144" s="2" t="s">
        <v>631</v>
      </c>
      <c r="F144" s="2" t="str">
        <f>HYPERLINK("http://www.genome.ad.jp/dbget-bin/www_bget?compound+C00257","C00257")</f>
        <v>C00257</v>
      </c>
      <c r="G144" s="2" t="str">
        <f>HYPERLINK("http://pubchem.ncbi.nlm.nih.gov/summary/summary.cgi?cid=10690","10690")</f>
        <v>10690</v>
      </c>
      <c r="H144" s="7">
        <v>959</v>
      </c>
      <c r="I144" s="7">
        <v>723</v>
      </c>
      <c r="J144" s="7">
        <v>841</v>
      </c>
      <c r="K144" s="7">
        <v>571</v>
      </c>
      <c r="L144" s="7">
        <v>771</v>
      </c>
      <c r="M144" s="7">
        <v>674</v>
      </c>
      <c r="N144" s="7">
        <v>619</v>
      </c>
      <c r="O144" s="7">
        <v>680</v>
      </c>
      <c r="P144" s="7">
        <v>729</v>
      </c>
      <c r="Q144" s="7">
        <v>469</v>
      </c>
      <c r="R144" s="7">
        <v>639</v>
      </c>
      <c r="S144" s="7">
        <v>725</v>
      </c>
      <c r="T144" s="7">
        <v>638</v>
      </c>
      <c r="U144" s="7">
        <v>450</v>
      </c>
      <c r="V144" s="7">
        <v>811</v>
      </c>
      <c r="W144" s="24">
        <f t="shared" si="12"/>
        <v>686.6</v>
      </c>
      <c r="X144" s="25">
        <f t="shared" si="13"/>
        <v>133.98550028161353</v>
      </c>
      <c r="Y144" s="25"/>
      <c r="Z144" s="26"/>
      <c r="AA144" s="7">
        <v>566</v>
      </c>
      <c r="AB144" s="7">
        <v>686</v>
      </c>
      <c r="AC144" s="7">
        <v>387</v>
      </c>
      <c r="AD144" s="7">
        <v>535</v>
      </c>
      <c r="AE144" s="7">
        <v>751</v>
      </c>
      <c r="AF144" s="7">
        <v>851</v>
      </c>
      <c r="AG144" s="7">
        <v>591</v>
      </c>
      <c r="AH144" s="7">
        <v>751</v>
      </c>
      <c r="AI144" s="7">
        <v>739</v>
      </c>
      <c r="AJ144" s="7">
        <v>521</v>
      </c>
      <c r="AK144" s="7">
        <v>753</v>
      </c>
      <c r="AL144" s="7">
        <v>372</v>
      </c>
      <c r="AM144" s="30">
        <f t="shared" si="14"/>
        <v>625.25</v>
      </c>
      <c r="AN144" s="30">
        <f t="shared" si="15"/>
        <v>153.78090967938178</v>
      </c>
      <c r="AO144" s="30"/>
      <c r="AP144" s="29">
        <f t="shared" si="16"/>
        <v>0.9106466647247305</v>
      </c>
      <c r="AQ144" s="31">
        <f t="shared" si="17"/>
        <v>0.2786334217693561</v>
      </c>
      <c r="AR144" s="21" t="s">
        <v>452</v>
      </c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DM144" s="16"/>
      <c r="DN144" s="16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3"/>
      <c r="FW144" s="11"/>
    </row>
    <row r="145" spans="1:179" ht="18.75">
      <c r="A145" s="1" t="s">
        <v>562</v>
      </c>
      <c r="B145" s="2" t="s">
        <v>563</v>
      </c>
      <c r="C145" s="2" t="s">
        <v>564</v>
      </c>
      <c r="D145" s="2" t="str">
        <f>HYPERLINK("http://eros.fiehnlab.ucdavis.edu:8080/binbase-compound/bin/show/425281?db=rtx5","425281")</f>
        <v>425281</v>
      </c>
      <c r="E145" s="2" t="s">
        <v>79</v>
      </c>
      <c r="F145" s="2" t="s">
        <v>83</v>
      </c>
      <c r="G145" s="2" t="s">
        <v>83</v>
      </c>
      <c r="H145" s="7">
        <v>1515</v>
      </c>
      <c r="I145" s="7">
        <v>1940</v>
      </c>
      <c r="J145" s="7">
        <v>4240</v>
      </c>
      <c r="K145" s="7">
        <v>2487</v>
      </c>
      <c r="L145" s="7">
        <v>3679</v>
      </c>
      <c r="M145" s="7">
        <v>2114</v>
      </c>
      <c r="N145" s="7">
        <v>2480</v>
      </c>
      <c r="O145" s="7">
        <v>2428</v>
      </c>
      <c r="P145" s="7">
        <v>722</v>
      </c>
      <c r="Q145" s="7">
        <v>1797</v>
      </c>
      <c r="R145" s="7">
        <v>2666</v>
      </c>
      <c r="S145" s="7">
        <v>1888</v>
      </c>
      <c r="T145" s="7">
        <v>1658</v>
      </c>
      <c r="U145" s="7">
        <v>3897</v>
      </c>
      <c r="V145" s="7">
        <v>2904</v>
      </c>
      <c r="W145" s="24">
        <f t="shared" si="12"/>
        <v>2427.6666666666665</v>
      </c>
      <c r="X145" s="25">
        <f t="shared" si="13"/>
        <v>950.9061593078064</v>
      </c>
      <c r="Y145" s="25"/>
      <c r="Z145" s="26"/>
      <c r="AA145" s="7">
        <v>1378</v>
      </c>
      <c r="AB145" s="7">
        <v>2625</v>
      </c>
      <c r="AC145" s="7">
        <v>1353</v>
      </c>
      <c r="AD145" s="7">
        <v>3360</v>
      </c>
      <c r="AE145" s="7">
        <v>3677</v>
      </c>
      <c r="AF145" s="7">
        <v>1100</v>
      </c>
      <c r="AG145" s="7">
        <v>2017</v>
      </c>
      <c r="AH145" s="7">
        <v>1216</v>
      </c>
      <c r="AI145" s="7">
        <v>2355</v>
      </c>
      <c r="AJ145" s="7">
        <v>3309</v>
      </c>
      <c r="AK145" s="7">
        <v>1354</v>
      </c>
      <c r="AL145" s="7">
        <v>2795</v>
      </c>
      <c r="AM145" s="30">
        <f t="shared" si="14"/>
        <v>2211.5833333333335</v>
      </c>
      <c r="AN145" s="30">
        <f t="shared" si="15"/>
        <v>935.8821272257559</v>
      </c>
      <c r="AO145" s="30"/>
      <c r="AP145" s="29">
        <f t="shared" si="16"/>
        <v>0.9109913497185227</v>
      </c>
      <c r="AQ145" s="31">
        <f t="shared" si="17"/>
        <v>0.5599460011799435</v>
      </c>
      <c r="AR145" s="21" t="s">
        <v>562</v>
      </c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DM145" s="16"/>
      <c r="DN145" s="16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3"/>
      <c r="FW145" s="11"/>
    </row>
    <row r="146" spans="1:179" ht="18.75">
      <c r="A146" s="1" t="s">
        <v>1009</v>
      </c>
      <c r="B146" s="2" t="s">
        <v>1010</v>
      </c>
      <c r="C146" s="2" t="s">
        <v>317</v>
      </c>
      <c r="D146" s="2" t="str">
        <f>HYPERLINK("http://eros.fiehnlab.ucdavis.edu:8080/binbase-compound/bin/show/204344?db=rtx5","204344")</f>
        <v>204344</v>
      </c>
      <c r="E146" s="2" t="s">
        <v>25</v>
      </c>
      <c r="F146" s="2" t="s">
        <v>83</v>
      </c>
      <c r="G146" s="2" t="s">
        <v>83</v>
      </c>
      <c r="H146" s="7">
        <v>83629</v>
      </c>
      <c r="I146" s="7">
        <v>100239</v>
      </c>
      <c r="J146" s="7">
        <v>217717</v>
      </c>
      <c r="K146" s="7">
        <v>79981</v>
      </c>
      <c r="L146" s="7">
        <v>69456</v>
      </c>
      <c r="M146" s="7">
        <v>67064</v>
      </c>
      <c r="N146" s="7">
        <v>93641</v>
      </c>
      <c r="O146" s="7">
        <v>59217</v>
      </c>
      <c r="P146" s="7">
        <v>99571</v>
      </c>
      <c r="Q146" s="7">
        <v>71577</v>
      </c>
      <c r="R146" s="7">
        <v>100429</v>
      </c>
      <c r="S146" s="7">
        <v>74967</v>
      </c>
      <c r="T146" s="7">
        <v>74349</v>
      </c>
      <c r="U146" s="7">
        <v>83408</v>
      </c>
      <c r="V146" s="7">
        <v>74646</v>
      </c>
      <c r="W146" s="24">
        <f t="shared" si="12"/>
        <v>89992.73333333334</v>
      </c>
      <c r="X146" s="25">
        <f t="shared" si="13"/>
        <v>37565.48957956466</v>
      </c>
      <c r="Y146" s="25"/>
      <c r="Z146" s="26"/>
      <c r="AA146" s="7">
        <v>92865</v>
      </c>
      <c r="AB146" s="7">
        <v>79578</v>
      </c>
      <c r="AC146" s="7">
        <v>67097</v>
      </c>
      <c r="AD146" s="7">
        <v>52166</v>
      </c>
      <c r="AE146" s="7">
        <v>80346</v>
      </c>
      <c r="AF146" s="7">
        <v>104231</v>
      </c>
      <c r="AG146" s="7">
        <v>104824</v>
      </c>
      <c r="AH146" s="7">
        <v>72795</v>
      </c>
      <c r="AI146" s="7">
        <v>91225</v>
      </c>
      <c r="AJ146" s="7">
        <v>53551</v>
      </c>
      <c r="AK146" s="7">
        <v>92764</v>
      </c>
      <c r="AL146" s="7">
        <v>93141</v>
      </c>
      <c r="AM146" s="30">
        <f t="shared" si="14"/>
        <v>82048.58333333333</v>
      </c>
      <c r="AN146" s="30">
        <f t="shared" si="15"/>
        <v>17768.98429316112</v>
      </c>
      <c r="AO146" s="30"/>
      <c r="AP146" s="29">
        <f t="shared" si="16"/>
        <v>0.9117245392405756</v>
      </c>
      <c r="AQ146" s="31">
        <f t="shared" si="17"/>
        <v>0.5071818753762329</v>
      </c>
      <c r="AR146" s="21" t="s">
        <v>1009</v>
      </c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DM146" s="16"/>
      <c r="DN146" s="16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3"/>
      <c r="FW146" s="11"/>
    </row>
    <row r="147" spans="1:179" ht="18.75">
      <c r="A147" s="1" t="s">
        <v>1083</v>
      </c>
      <c r="B147" s="2" t="s">
        <v>447</v>
      </c>
      <c r="C147" s="2" t="s">
        <v>448</v>
      </c>
      <c r="D147" s="2" t="str">
        <f>HYPERLINK("http://eros.fiehnlab.ucdavis.edu:8080/binbase-compound/bin/show/353273?db=rtx5","353273")</f>
        <v>353273</v>
      </c>
      <c r="E147" s="2" t="s">
        <v>604</v>
      </c>
      <c r="F147" s="2" t="str">
        <f>HYPERLINK("http://www.genome.ad.jp/dbget-bin/www_bget?compound+C00191","C00191")</f>
        <v>C00191</v>
      </c>
      <c r="G147" s="2" t="str">
        <f>HYPERLINK("http://pubchem.ncbi.nlm.nih.gov/summary/summary.cgi?cid=94715","94715")</f>
        <v>94715</v>
      </c>
      <c r="H147" s="7">
        <v>1638</v>
      </c>
      <c r="I147" s="7">
        <v>1546</v>
      </c>
      <c r="J147" s="7">
        <v>868</v>
      </c>
      <c r="K147" s="7">
        <v>898</v>
      </c>
      <c r="L147" s="7">
        <v>1256</v>
      </c>
      <c r="M147" s="7">
        <v>1616</v>
      </c>
      <c r="N147" s="7">
        <v>1198</v>
      </c>
      <c r="O147" s="7">
        <v>1027</v>
      </c>
      <c r="P147" s="7">
        <v>1176</v>
      </c>
      <c r="Q147" s="7">
        <v>864</v>
      </c>
      <c r="R147" s="7">
        <v>1222</v>
      </c>
      <c r="S147" s="7">
        <v>892</v>
      </c>
      <c r="T147" s="7">
        <v>1288</v>
      </c>
      <c r="U147" s="7">
        <v>637</v>
      </c>
      <c r="V147" s="7">
        <v>2646</v>
      </c>
      <c r="W147" s="24">
        <f t="shared" si="12"/>
        <v>1251.4666666666667</v>
      </c>
      <c r="X147" s="25">
        <f t="shared" si="13"/>
        <v>485.7857944559908</v>
      </c>
      <c r="Y147" s="25"/>
      <c r="Z147" s="26"/>
      <c r="AA147" s="7">
        <v>1133</v>
      </c>
      <c r="AB147" s="7">
        <v>1013</v>
      </c>
      <c r="AC147" s="7">
        <v>1193</v>
      </c>
      <c r="AD147" s="7">
        <v>1025</v>
      </c>
      <c r="AE147" s="7">
        <v>904</v>
      </c>
      <c r="AF147" s="7">
        <v>1351</v>
      </c>
      <c r="AG147" s="7">
        <v>1293</v>
      </c>
      <c r="AH147" s="7">
        <v>1004</v>
      </c>
      <c r="AI147" s="7">
        <v>1004</v>
      </c>
      <c r="AJ147" s="7">
        <v>1279</v>
      </c>
      <c r="AK147" s="7">
        <v>981</v>
      </c>
      <c r="AL147" s="7">
        <v>1542</v>
      </c>
      <c r="AM147" s="30">
        <f t="shared" si="14"/>
        <v>1143.5</v>
      </c>
      <c r="AN147" s="30">
        <f t="shared" si="15"/>
        <v>190.4275094718102</v>
      </c>
      <c r="AO147" s="30"/>
      <c r="AP147" s="29">
        <f t="shared" si="16"/>
        <v>0.913727892606009</v>
      </c>
      <c r="AQ147" s="31">
        <f t="shared" si="17"/>
        <v>0.47557039729342276</v>
      </c>
      <c r="AR147" s="21" t="s">
        <v>1083</v>
      </c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DM147" s="16"/>
      <c r="DN147" s="16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3"/>
      <c r="FW147" s="11"/>
    </row>
    <row r="148" spans="1:179" ht="18.75">
      <c r="A148" s="1" t="s">
        <v>324</v>
      </c>
      <c r="B148" s="2" t="s">
        <v>325</v>
      </c>
      <c r="C148" s="2" t="s">
        <v>326</v>
      </c>
      <c r="D148" s="2" t="str">
        <f>HYPERLINK("http://eros.fiehnlab.ucdavis.edu:8080/binbase-compound/bin/show/199219?db=rtx5","199219")</f>
        <v>199219</v>
      </c>
      <c r="E148" s="2" t="s">
        <v>596</v>
      </c>
      <c r="F148" s="2" t="str">
        <f>HYPERLINK("http://www.genome.ad.jp/dbget-bin/www_bget?compound+D01924","D01924")</f>
        <v>D01924</v>
      </c>
      <c r="G148" s="2" t="str">
        <f>HYPERLINK("http://pubchem.ncbi.nlm.nih.gov/summary/summary.cgi?cid=8221","8221")</f>
        <v>8221</v>
      </c>
      <c r="H148" s="7">
        <v>434</v>
      </c>
      <c r="I148" s="7">
        <v>501</v>
      </c>
      <c r="J148" s="7">
        <v>1991</v>
      </c>
      <c r="K148" s="7">
        <v>1017</v>
      </c>
      <c r="L148" s="7">
        <v>707</v>
      </c>
      <c r="M148" s="7">
        <v>814</v>
      </c>
      <c r="N148" s="7">
        <v>849</v>
      </c>
      <c r="O148" s="7">
        <v>574</v>
      </c>
      <c r="P148" s="7">
        <v>382</v>
      </c>
      <c r="Q148" s="7">
        <v>992</v>
      </c>
      <c r="R148" s="7">
        <v>883</v>
      </c>
      <c r="S148" s="7">
        <v>554</v>
      </c>
      <c r="T148" s="7">
        <v>847</v>
      </c>
      <c r="U148" s="7">
        <v>965</v>
      </c>
      <c r="V148" s="7">
        <v>830</v>
      </c>
      <c r="W148" s="24">
        <f t="shared" si="12"/>
        <v>822.6666666666666</v>
      </c>
      <c r="X148" s="25">
        <f t="shared" si="13"/>
        <v>382.92756992612044</v>
      </c>
      <c r="Y148" s="25"/>
      <c r="Z148" s="26"/>
      <c r="AA148" s="7">
        <v>705</v>
      </c>
      <c r="AB148" s="7">
        <v>1059</v>
      </c>
      <c r="AC148" s="7">
        <v>898</v>
      </c>
      <c r="AD148" s="7">
        <v>626</v>
      </c>
      <c r="AE148" s="7">
        <v>1275</v>
      </c>
      <c r="AF148" s="7">
        <v>546</v>
      </c>
      <c r="AG148" s="7">
        <v>424</v>
      </c>
      <c r="AH148" s="7">
        <v>575</v>
      </c>
      <c r="AI148" s="7">
        <v>825</v>
      </c>
      <c r="AJ148" s="7">
        <v>667</v>
      </c>
      <c r="AK148" s="7">
        <v>875</v>
      </c>
      <c r="AL148" s="7">
        <v>567</v>
      </c>
      <c r="AM148" s="30">
        <f t="shared" si="14"/>
        <v>753.5</v>
      </c>
      <c r="AN148" s="30">
        <f t="shared" si="15"/>
        <v>243.162684039083</v>
      </c>
      <c r="AO148" s="30"/>
      <c r="AP148" s="29">
        <f t="shared" si="16"/>
        <v>0.9159238249594814</v>
      </c>
      <c r="AQ148" s="31">
        <f t="shared" si="17"/>
        <v>0.5918742020094345</v>
      </c>
      <c r="AR148" s="21" t="s">
        <v>324</v>
      </c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DM148" s="16"/>
      <c r="DN148" s="16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3"/>
      <c r="FW148" s="11"/>
    </row>
    <row r="149" spans="1:179" ht="18.75">
      <c r="A149" s="1" t="s">
        <v>1025</v>
      </c>
      <c r="B149" s="2" t="s">
        <v>1026</v>
      </c>
      <c r="C149" s="2" t="s">
        <v>855</v>
      </c>
      <c r="D149" s="2" t="str">
        <f>HYPERLINK("http://eros.fiehnlab.ucdavis.edu:8080/binbase-compound/bin/show/200624?db=rtx5","200624")</f>
        <v>200624</v>
      </c>
      <c r="E149" s="2" t="s">
        <v>121</v>
      </c>
      <c r="F149" s="2" t="s">
        <v>83</v>
      </c>
      <c r="G149" s="2" t="s">
        <v>83</v>
      </c>
      <c r="H149" s="7">
        <v>2671</v>
      </c>
      <c r="I149" s="7">
        <v>1067</v>
      </c>
      <c r="J149" s="7">
        <v>4035</v>
      </c>
      <c r="K149" s="7">
        <v>723</v>
      </c>
      <c r="L149" s="7">
        <v>2402</v>
      </c>
      <c r="M149" s="7">
        <v>3429</v>
      </c>
      <c r="N149" s="7">
        <v>2380</v>
      </c>
      <c r="O149" s="7">
        <v>2064</v>
      </c>
      <c r="P149" s="7">
        <v>1207</v>
      </c>
      <c r="Q149" s="7">
        <v>2093</v>
      </c>
      <c r="R149" s="7">
        <v>1959</v>
      </c>
      <c r="S149" s="7">
        <v>1329</v>
      </c>
      <c r="T149" s="7">
        <v>1940</v>
      </c>
      <c r="U149" s="7">
        <v>1427</v>
      </c>
      <c r="V149" s="7">
        <v>3180</v>
      </c>
      <c r="W149" s="24">
        <f t="shared" si="12"/>
        <v>2127.0666666666666</v>
      </c>
      <c r="X149" s="25">
        <f t="shared" si="13"/>
        <v>926.451946688985</v>
      </c>
      <c r="Y149" s="25"/>
      <c r="Z149" s="26"/>
      <c r="AA149" s="7">
        <v>1637</v>
      </c>
      <c r="AB149" s="7">
        <v>1586</v>
      </c>
      <c r="AC149" s="7">
        <v>1808</v>
      </c>
      <c r="AD149" s="7">
        <v>2371</v>
      </c>
      <c r="AE149" s="7">
        <v>2188</v>
      </c>
      <c r="AF149" s="7">
        <v>2032</v>
      </c>
      <c r="AG149" s="7">
        <v>1140</v>
      </c>
      <c r="AH149" s="7">
        <v>1049</v>
      </c>
      <c r="AI149" s="7">
        <v>2993</v>
      </c>
      <c r="AJ149" s="7">
        <v>2942</v>
      </c>
      <c r="AK149" s="7">
        <v>2092</v>
      </c>
      <c r="AL149" s="7">
        <v>1548</v>
      </c>
      <c r="AM149" s="30">
        <f t="shared" si="14"/>
        <v>1948.8333333333333</v>
      </c>
      <c r="AN149" s="30">
        <f t="shared" si="15"/>
        <v>618.8555174797679</v>
      </c>
      <c r="AO149" s="30"/>
      <c r="AP149" s="29">
        <f t="shared" si="16"/>
        <v>0.9162069830125995</v>
      </c>
      <c r="AQ149" s="31">
        <f t="shared" si="17"/>
        <v>0.5729842157633288</v>
      </c>
      <c r="AR149" s="21" t="s">
        <v>1025</v>
      </c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DM149" s="16"/>
      <c r="DN149" s="16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3"/>
      <c r="FW149" s="11"/>
    </row>
    <row r="150" spans="1:179" ht="18.75">
      <c r="A150" s="1" t="s">
        <v>380</v>
      </c>
      <c r="B150" s="2" t="s">
        <v>381</v>
      </c>
      <c r="C150" s="2" t="s">
        <v>245</v>
      </c>
      <c r="D150" s="2" t="str">
        <f>HYPERLINK("http://eros.fiehnlab.ucdavis.edu:8080/binbase-compound/bin/show/200467?db=rtx5","200467")</f>
        <v>200467</v>
      </c>
      <c r="E150" s="2" t="s">
        <v>178</v>
      </c>
      <c r="F150" s="2" t="str">
        <f>HYPERLINK("http://www.genome.ad.jp/dbget-bin/www_bget?compound+n/a","n/a")</f>
        <v>n/a</v>
      </c>
      <c r="G150" s="2" t="str">
        <f>HYPERLINK("http://pubchem.ncbi.nlm.nih.gov/summary/summary.cgi?cid=151152","151152")</f>
        <v>151152</v>
      </c>
      <c r="H150" s="7">
        <v>2670</v>
      </c>
      <c r="I150" s="7">
        <v>2043</v>
      </c>
      <c r="J150" s="7">
        <v>879</v>
      </c>
      <c r="K150" s="7">
        <v>1720</v>
      </c>
      <c r="L150" s="7">
        <v>2416</v>
      </c>
      <c r="M150" s="7">
        <v>1898</v>
      </c>
      <c r="N150" s="7">
        <v>1588</v>
      </c>
      <c r="O150" s="7">
        <v>2012</v>
      </c>
      <c r="P150" s="7">
        <v>1953</v>
      </c>
      <c r="Q150" s="7">
        <v>1688</v>
      </c>
      <c r="R150" s="7">
        <v>2234</v>
      </c>
      <c r="S150" s="7">
        <v>1695</v>
      </c>
      <c r="T150" s="7">
        <v>1499</v>
      </c>
      <c r="U150" s="7">
        <v>1469</v>
      </c>
      <c r="V150" s="7">
        <v>2926</v>
      </c>
      <c r="W150" s="24">
        <f t="shared" si="12"/>
        <v>1912.6666666666667</v>
      </c>
      <c r="X150" s="25">
        <f t="shared" si="13"/>
        <v>511.47568950281607</v>
      </c>
      <c r="Y150" s="25"/>
      <c r="Z150" s="26"/>
      <c r="AA150" s="7">
        <v>1440</v>
      </c>
      <c r="AB150" s="7">
        <v>1643</v>
      </c>
      <c r="AC150" s="7">
        <v>1639</v>
      </c>
      <c r="AD150" s="7">
        <v>1825</v>
      </c>
      <c r="AE150" s="7">
        <v>1776</v>
      </c>
      <c r="AF150" s="7">
        <v>1844</v>
      </c>
      <c r="AG150" s="7">
        <v>1698</v>
      </c>
      <c r="AH150" s="7">
        <v>1880</v>
      </c>
      <c r="AI150" s="7">
        <v>1567</v>
      </c>
      <c r="AJ150" s="7">
        <v>2191</v>
      </c>
      <c r="AK150" s="7">
        <v>1491</v>
      </c>
      <c r="AL150" s="7">
        <v>2055</v>
      </c>
      <c r="AM150" s="30">
        <f t="shared" si="14"/>
        <v>1754.0833333333333</v>
      </c>
      <c r="AN150" s="30">
        <f t="shared" si="15"/>
        <v>222.07429483000098</v>
      </c>
      <c r="AO150" s="30"/>
      <c r="AP150" s="29">
        <f t="shared" si="16"/>
        <v>0.9170878354827465</v>
      </c>
      <c r="AQ150" s="31">
        <f t="shared" si="17"/>
        <v>0.3276572231178344</v>
      </c>
      <c r="AR150" s="21" t="s">
        <v>380</v>
      </c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DM150" s="16"/>
      <c r="DN150" s="16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3"/>
      <c r="FW150" s="11"/>
    </row>
    <row r="151" spans="1:179" ht="18.75">
      <c r="A151" s="1" t="s">
        <v>977</v>
      </c>
      <c r="B151" s="2" t="s">
        <v>978</v>
      </c>
      <c r="C151" s="2" t="s">
        <v>456</v>
      </c>
      <c r="D151" s="2" t="str">
        <f>HYPERLINK("http://eros.fiehnlab.ucdavis.edu:8080/binbase-compound/bin/show/216428?db=rtx5","216428")</f>
        <v>216428</v>
      </c>
      <c r="E151" s="2" t="s">
        <v>660</v>
      </c>
      <c r="F151" s="2" t="s">
        <v>83</v>
      </c>
      <c r="G151" s="2" t="s">
        <v>83</v>
      </c>
      <c r="H151" s="7">
        <v>6368</v>
      </c>
      <c r="I151" s="7">
        <v>4285</v>
      </c>
      <c r="J151" s="7">
        <v>19565</v>
      </c>
      <c r="K151" s="7">
        <v>4919</v>
      </c>
      <c r="L151" s="7">
        <v>4072</v>
      </c>
      <c r="M151" s="7">
        <v>3831</v>
      </c>
      <c r="N151" s="7">
        <v>3205</v>
      </c>
      <c r="O151" s="7">
        <v>5220</v>
      </c>
      <c r="P151" s="7">
        <v>4225</v>
      </c>
      <c r="Q151" s="7">
        <v>5101</v>
      </c>
      <c r="R151" s="7">
        <v>5113</v>
      </c>
      <c r="S151" s="7">
        <v>5310</v>
      </c>
      <c r="T151" s="7">
        <v>4688</v>
      </c>
      <c r="U151" s="7">
        <v>8090</v>
      </c>
      <c r="V151" s="7">
        <v>7600</v>
      </c>
      <c r="W151" s="24">
        <f t="shared" si="12"/>
        <v>6106.133333333333</v>
      </c>
      <c r="X151" s="25">
        <f t="shared" si="13"/>
        <v>3953.2877793890325</v>
      </c>
      <c r="Y151" s="25"/>
      <c r="Z151" s="26"/>
      <c r="AA151" s="7">
        <v>6390</v>
      </c>
      <c r="AB151" s="7">
        <v>7621</v>
      </c>
      <c r="AC151" s="7">
        <v>6575</v>
      </c>
      <c r="AD151" s="7">
        <v>1794</v>
      </c>
      <c r="AE151" s="7">
        <v>8416</v>
      </c>
      <c r="AF151" s="7">
        <v>6444</v>
      </c>
      <c r="AG151" s="7">
        <v>5925</v>
      </c>
      <c r="AH151" s="7">
        <v>4202</v>
      </c>
      <c r="AI151" s="7">
        <v>3973</v>
      </c>
      <c r="AJ151" s="7">
        <v>2930</v>
      </c>
      <c r="AK151" s="7">
        <v>8372</v>
      </c>
      <c r="AL151" s="7">
        <v>4571</v>
      </c>
      <c r="AM151" s="30">
        <f t="shared" si="14"/>
        <v>5601.083333333333</v>
      </c>
      <c r="AN151" s="30">
        <f t="shared" si="15"/>
        <v>2118.444174316843</v>
      </c>
      <c r="AO151" s="30"/>
      <c r="AP151" s="29">
        <f t="shared" si="16"/>
        <v>0.9172880819285527</v>
      </c>
      <c r="AQ151" s="31">
        <f t="shared" si="17"/>
        <v>0.6938919309846613</v>
      </c>
      <c r="AR151" s="21" t="s">
        <v>977</v>
      </c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DM151" s="16"/>
      <c r="DN151" s="16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3"/>
      <c r="FW151" s="11"/>
    </row>
    <row r="152" spans="1:179" ht="18.75">
      <c r="A152" s="1" t="s">
        <v>860</v>
      </c>
      <c r="B152" s="2" t="s">
        <v>861</v>
      </c>
      <c r="C152" s="2" t="s">
        <v>854</v>
      </c>
      <c r="D152" s="2" t="str">
        <f>HYPERLINK("http://eros.fiehnlab.ucdavis.edu:8080/binbase-compound/bin/show/240432?db=rtx5","240432")</f>
        <v>240432</v>
      </c>
      <c r="E152" s="2" t="s">
        <v>52</v>
      </c>
      <c r="F152" s="2" t="s">
        <v>83</v>
      </c>
      <c r="G152" s="2" t="s">
        <v>83</v>
      </c>
      <c r="H152" s="7">
        <v>243</v>
      </c>
      <c r="I152" s="7">
        <v>245</v>
      </c>
      <c r="J152" s="7">
        <v>651</v>
      </c>
      <c r="K152" s="7">
        <v>427</v>
      </c>
      <c r="L152" s="7">
        <v>200</v>
      </c>
      <c r="M152" s="7">
        <v>145</v>
      </c>
      <c r="N152" s="7">
        <v>235</v>
      </c>
      <c r="O152" s="7">
        <v>136</v>
      </c>
      <c r="P152" s="7">
        <v>303</v>
      </c>
      <c r="Q152" s="7">
        <v>326</v>
      </c>
      <c r="R152" s="7">
        <v>459</v>
      </c>
      <c r="S152" s="7">
        <v>429</v>
      </c>
      <c r="T152" s="7">
        <v>545</v>
      </c>
      <c r="U152" s="7">
        <v>329</v>
      </c>
      <c r="V152" s="7">
        <v>404</v>
      </c>
      <c r="W152" s="24">
        <f t="shared" si="12"/>
        <v>338.46666666666664</v>
      </c>
      <c r="X152" s="25">
        <f t="shared" si="13"/>
        <v>147.0771744292609</v>
      </c>
      <c r="Y152" s="25"/>
      <c r="Z152" s="26"/>
      <c r="AA152" s="7">
        <v>418</v>
      </c>
      <c r="AB152" s="7">
        <v>325</v>
      </c>
      <c r="AC152" s="7">
        <v>329</v>
      </c>
      <c r="AD152" s="7">
        <v>202</v>
      </c>
      <c r="AE152" s="7">
        <v>177</v>
      </c>
      <c r="AF152" s="7">
        <v>286</v>
      </c>
      <c r="AG152" s="7">
        <v>222</v>
      </c>
      <c r="AH152" s="7">
        <v>321</v>
      </c>
      <c r="AI152" s="7">
        <v>268</v>
      </c>
      <c r="AJ152" s="7">
        <v>280</v>
      </c>
      <c r="AK152" s="7">
        <v>633</v>
      </c>
      <c r="AL152" s="7">
        <v>279</v>
      </c>
      <c r="AM152" s="30">
        <f t="shared" si="14"/>
        <v>311.6666666666667</v>
      </c>
      <c r="AN152" s="30">
        <f t="shared" si="15"/>
        <v>119.83498755548919</v>
      </c>
      <c r="AO152" s="30"/>
      <c r="AP152" s="29">
        <f t="shared" si="16"/>
        <v>0.9208193815245225</v>
      </c>
      <c r="AQ152" s="31">
        <f t="shared" si="17"/>
        <v>0.6147446216744497</v>
      </c>
      <c r="AR152" s="21" t="s">
        <v>860</v>
      </c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DM152" s="16"/>
      <c r="DN152" s="16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3"/>
      <c r="FW152" s="11"/>
    </row>
    <row r="153" spans="1:179" ht="18.75">
      <c r="A153" s="1" t="s">
        <v>713</v>
      </c>
      <c r="B153" s="2" t="s">
        <v>714</v>
      </c>
      <c r="C153" s="2" t="s">
        <v>715</v>
      </c>
      <c r="D153" s="2" t="str">
        <f>HYPERLINK("http://eros.fiehnlab.ucdavis.edu:8080/binbase-compound/bin/show/354038?db=rtx5","354038")</f>
        <v>354038</v>
      </c>
      <c r="E153" s="2" t="s">
        <v>716</v>
      </c>
      <c r="F153" s="2" t="s">
        <v>83</v>
      </c>
      <c r="G153" s="2" t="s">
        <v>83</v>
      </c>
      <c r="H153" s="7">
        <v>515</v>
      </c>
      <c r="I153" s="7">
        <v>709</v>
      </c>
      <c r="J153" s="7">
        <v>1667</v>
      </c>
      <c r="K153" s="7">
        <v>556</v>
      </c>
      <c r="L153" s="7">
        <v>412</v>
      </c>
      <c r="M153" s="7">
        <v>533</v>
      </c>
      <c r="N153" s="7">
        <v>482</v>
      </c>
      <c r="O153" s="7">
        <v>378</v>
      </c>
      <c r="P153" s="7">
        <v>876</v>
      </c>
      <c r="Q153" s="7">
        <v>534</v>
      </c>
      <c r="R153" s="7">
        <v>555</v>
      </c>
      <c r="S153" s="7">
        <v>617</v>
      </c>
      <c r="T153" s="7">
        <v>794</v>
      </c>
      <c r="U153" s="7">
        <v>627</v>
      </c>
      <c r="V153" s="7">
        <v>763</v>
      </c>
      <c r="W153" s="24">
        <f t="shared" si="12"/>
        <v>667.8666666666667</v>
      </c>
      <c r="X153" s="25">
        <f t="shared" si="13"/>
        <v>309.52310476110245</v>
      </c>
      <c r="Y153" s="25"/>
      <c r="Z153" s="26"/>
      <c r="AA153" s="7">
        <v>746</v>
      </c>
      <c r="AB153" s="7">
        <v>565</v>
      </c>
      <c r="AC153" s="7">
        <v>520</v>
      </c>
      <c r="AD153" s="7">
        <v>420</v>
      </c>
      <c r="AE153" s="7">
        <v>513</v>
      </c>
      <c r="AF153" s="7">
        <v>732</v>
      </c>
      <c r="AG153" s="7">
        <v>755</v>
      </c>
      <c r="AH153" s="7">
        <v>612</v>
      </c>
      <c r="AI153" s="7">
        <v>666</v>
      </c>
      <c r="AJ153" s="7">
        <v>553</v>
      </c>
      <c r="AK153" s="7">
        <v>747</v>
      </c>
      <c r="AL153" s="7">
        <v>551</v>
      </c>
      <c r="AM153" s="30">
        <f t="shared" si="14"/>
        <v>615</v>
      </c>
      <c r="AN153" s="30">
        <f t="shared" si="15"/>
        <v>112.15978861346959</v>
      </c>
      <c r="AO153" s="30"/>
      <c r="AP153" s="29">
        <f t="shared" si="16"/>
        <v>0.9208424835296466</v>
      </c>
      <c r="AQ153" s="31">
        <f t="shared" si="17"/>
        <v>0.5797351148876064</v>
      </c>
      <c r="AR153" s="21" t="s">
        <v>713</v>
      </c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DM153" s="16"/>
      <c r="DN153" s="16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3"/>
      <c r="FW153" s="11"/>
    </row>
    <row r="154" spans="1:179" ht="18.75">
      <c r="A154" s="1" t="s">
        <v>718</v>
      </c>
      <c r="B154" s="2" t="s">
        <v>719</v>
      </c>
      <c r="C154" s="2" t="s">
        <v>720</v>
      </c>
      <c r="D154" s="2" t="str">
        <f>HYPERLINK("http://eros.fiehnlab.ucdavis.edu:8080/binbase-compound/bin/show/350532?db=rtx5","350532")</f>
        <v>350532</v>
      </c>
      <c r="E154" s="2" t="s">
        <v>55</v>
      </c>
      <c r="F154" s="2" t="s">
        <v>83</v>
      </c>
      <c r="G154" s="2" t="s">
        <v>83</v>
      </c>
      <c r="H154" s="7">
        <v>136</v>
      </c>
      <c r="I154" s="7">
        <v>247</v>
      </c>
      <c r="J154" s="7">
        <v>567</v>
      </c>
      <c r="K154" s="7">
        <v>282</v>
      </c>
      <c r="L154" s="7">
        <v>232</v>
      </c>
      <c r="M154" s="7">
        <v>260</v>
      </c>
      <c r="N154" s="7">
        <v>197</v>
      </c>
      <c r="O154" s="7">
        <v>140</v>
      </c>
      <c r="P154" s="7">
        <v>247</v>
      </c>
      <c r="Q154" s="7">
        <v>224</v>
      </c>
      <c r="R154" s="7">
        <v>130</v>
      </c>
      <c r="S154" s="7">
        <v>309</v>
      </c>
      <c r="T154" s="7">
        <v>287</v>
      </c>
      <c r="U154" s="7">
        <v>226</v>
      </c>
      <c r="V154" s="7">
        <v>483</v>
      </c>
      <c r="W154" s="24">
        <f t="shared" si="12"/>
        <v>264.46666666666664</v>
      </c>
      <c r="X154" s="25">
        <f t="shared" si="13"/>
        <v>119.97372728266485</v>
      </c>
      <c r="Y154" s="25"/>
      <c r="Z154" s="26"/>
      <c r="AA154" s="7">
        <v>306</v>
      </c>
      <c r="AB154" s="7">
        <v>257</v>
      </c>
      <c r="AC154" s="7">
        <v>137</v>
      </c>
      <c r="AD154" s="7">
        <v>206</v>
      </c>
      <c r="AE154" s="7">
        <v>289</v>
      </c>
      <c r="AF154" s="7">
        <v>288</v>
      </c>
      <c r="AG154" s="7">
        <v>187</v>
      </c>
      <c r="AH154" s="7">
        <v>89</v>
      </c>
      <c r="AI154" s="7">
        <v>300</v>
      </c>
      <c r="AJ154" s="7">
        <v>293</v>
      </c>
      <c r="AK154" s="7">
        <v>297</v>
      </c>
      <c r="AL154" s="7">
        <v>278</v>
      </c>
      <c r="AM154" s="30">
        <f t="shared" si="14"/>
        <v>243.91666666666666</v>
      </c>
      <c r="AN154" s="30">
        <f t="shared" si="15"/>
        <v>72.38967572461662</v>
      </c>
      <c r="AO154" s="30"/>
      <c r="AP154" s="29">
        <f t="shared" si="16"/>
        <v>0.9222964456768339</v>
      </c>
      <c r="AQ154" s="31">
        <f t="shared" si="17"/>
        <v>0.6068533362508368</v>
      </c>
      <c r="AR154" s="21" t="s">
        <v>718</v>
      </c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DM154" s="16"/>
      <c r="DN154" s="16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3"/>
      <c r="FW154" s="11"/>
    </row>
    <row r="155" spans="1:179" ht="18.75">
      <c r="A155" s="1" t="s">
        <v>378</v>
      </c>
      <c r="B155" s="2" t="s">
        <v>379</v>
      </c>
      <c r="C155" s="2" t="s">
        <v>222</v>
      </c>
      <c r="D155" s="2" t="str">
        <f>HYPERLINK("http://eros.fiehnlab.ucdavis.edu:8080/binbase-compound/bin/show/226885?db=rtx5","226885")</f>
        <v>226885</v>
      </c>
      <c r="E155" s="2" t="s">
        <v>578</v>
      </c>
      <c r="F155" s="2" t="str">
        <f>HYPERLINK("http://www.genome.ad.jp/dbget-bin/www_bget?compound+C00328","C00328")</f>
        <v>C00328</v>
      </c>
      <c r="G155" s="2" t="str">
        <f>HYPERLINK("http://pubchem.ncbi.nlm.nih.gov/summary/summary.cgi?cid=161166","161166")</f>
        <v>161166</v>
      </c>
      <c r="H155" s="7">
        <v>150</v>
      </c>
      <c r="I155" s="7">
        <v>392</v>
      </c>
      <c r="J155" s="7">
        <v>845</v>
      </c>
      <c r="K155" s="7">
        <v>376</v>
      </c>
      <c r="L155" s="7">
        <v>232</v>
      </c>
      <c r="M155" s="7">
        <v>541</v>
      </c>
      <c r="N155" s="7">
        <v>491</v>
      </c>
      <c r="O155" s="7">
        <v>564</v>
      </c>
      <c r="P155" s="7">
        <v>557</v>
      </c>
      <c r="Q155" s="7">
        <v>637</v>
      </c>
      <c r="R155" s="7">
        <v>607</v>
      </c>
      <c r="S155" s="7">
        <v>717</v>
      </c>
      <c r="T155" s="7">
        <v>571</v>
      </c>
      <c r="U155" s="7">
        <v>584</v>
      </c>
      <c r="V155" s="7">
        <v>548</v>
      </c>
      <c r="W155" s="24">
        <f t="shared" si="12"/>
        <v>520.8</v>
      </c>
      <c r="X155" s="25">
        <f t="shared" si="13"/>
        <v>176.21302043671054</v>
      </c>
      <c r="Y155" s="25"/>
      <c r="Z155" s="26"/>
      <c r="AA155" s="7">
        <v>736</v>
      </c>
      <c r="AB155" s="7">
        <v>599</v>
      </c>
      <c r="AC155" s="7">
        <v>421</v>
      </c>
      <c r="AD155" s="7">
        <v>301</v>
      </c>
      <c r="AE155" s="7">
        <v>576</v>
      </c>
      <c r="AF155" s="7">
        <v>262</v>
      </c>
      <c r="AG155" s="7">
        <v>227</v>
      </c>
      <c r="AH155" s="7">
        <v>391</v>
      </c>
      <c r="AI155" s="7">
        <v>572</v>
      </c>
      <c r="AJ155" s="7">
        <v>324</v>
      </c>
      <c r="AK155" s="7">
        <v>730</v>
      </c>
      <c r="AL155" s="7">
        <v>626</v>
      </c>
      <c r="AM155" s="30">
        <f t="shared" si="14"/>
        <v>480.4166666666667</v>
      </c>
      <c r="AN155" s="30">
        <f t="shared" si="15"/>
        <v>181.03312521260415</v>
      </c>
      <c r="AO155" s="30"/>
      <c r="AP155" s="29">
        <f t="shared" si="16"/>
        <v>0.9224590373783923</v>
      </c>
      <c r="AQ155" s="31">
        <f t="shared" si="17"/>
        <v>0.5640336704761537</v>
      </c>
      <c r="AR155" s="21" t="s">
        <v>378</v>
      </c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DM155" s="16"/>
      <c r="DN155" s="16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3"/>
      <c r="FW155" s="11"/>
    </row>
    <row r="156" spans="1:179" ht="18.75">
      <c r="A156" s="1" t="s">
        <v>752</v>
      </c>
      <c r="B156" s="2" t="s">
        <v>753</v>
      </c>
      <c r="C156" s="2" t="s">
        <v>316</v>
      </c>
      <c r="D156" s="2" t="str">
        <f>HYPERLINK("http://eros.fiehnlab.ucdavis.edu:8080/binbase-compound/bin/show/300865?db=rtx5","300865")</f>
        <v>300865</v>
      </c>
      <c r="E156" s="2" t="s">
        <v>196</v>
      </c>
      <c r="F156" s="2" t="s">
        <v>83</v>
      </c>
      <c r="G156" s="2" t="s">
        <v>83</v>
      </c>
      <c r="H156" s="7">
        <v>484</v>
      </c>
      <c r="I156" s="7">
        <v>546</v>
      </c>
      <c r="J156" s="7">
        <v>2139</v>
      </c>
      <c r="K156" s="7">
        <v>489</v>
      </c>
      <c r="L156" s="7">
        <v>427</v>
      </c>
      <c r="M156" s="7">
        <v>342</v>
      </c>
      <c r="N156" s="7">
        <v>425</v>
      </c>
      <c r="O156" s="7">
        <v>350</v>
      </c>
      <c r="P156" s="7">
        <v>395</v>
      </c>
      <c r="Q156" s="7">
        <v>453</v>
      </c>
      <c r="R156" s="7">
        <v>472</v>
      </c>
      <c r="S156" s="7">
        <v>437</v>
      </c>
      <c r="T156" s="7">
        <v>686</v>
      </c>
      <c r="U156" s="7">
        <v>639</v>
      </c>
      <c r="V156" s="7">
        <v>667</v>
      </c>
      <c r="W156" s="24">
        <f t="shared" si="12"/>
        <v>596.7333333333333</v>
      </c>
      <c r="X156" s="25">
        <f t="shared" si="13"/>
        <v>439.6967244861048</v>
      </c>
      <c r="Y156" s="25"/>
      <c r="Z156" s="26"/>
      <c r="AA156" s="7">
        <v>659</v>
      </c>
      <c r="AB156" s="7">
        <v>520</v>
      </c>
      <c r="AC156" s="7">
        <v>669</v>
      </c>
      <c r="AD156" s="7">
        <v>473</v>
      </c>
      <c r="AE156" s="7">
        <v>597</v>
      </c>
      <c r="AF156" s="7">
        <v>514</v>
      </c>
      <c r="AG156" s="7">
        <v>489</v>
      </c>
      <c r="AH156" s="7">
        <v>516</v>
      </c>
      <c r="AI156" s="7">
        <v>434</v>
      </c>
      <c r="AJ156" s="7">
        <v>652</v>
      </c>
      <c r="AK156" s="7">
        <v>588</v>
      </c>
      <c r="AL156" s="7">
        <v>507</v>
      </c>
      <c r="AM156" s="30">
        <f t="shared" si="14"/>
        <v>551.5</v>
      </c>
      <c r="AN156" s="30">
        <f t="shared" si="15"/>
        <v>78.84334294836012</v>
      </c>
      <c r="AO156" s="30"/>
      <c r="AP156" s="29">
        <f t="shared" si="16"/>
        <v>0.9241984135850743</v>
      </c>
      <c r="AQ156" s="31">
        <f t="shared" si="17"/>
        <v>0.7288637159058263</v>
      </c>
      <c r="AR156" s="21" t="s">
        <v>752</v>
      </c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DM156" s="16"/>
      <c r="DN156" s="16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3"/>
      <c r="FW156" s="11"/>
    </row>
    <row r="157" spans="1:179" ht="18.75">
      <c r="A157" s="1" t="s">
        <v>97</v>
      </c>
      <c r="B157" s="2" t="s">
        <v>507</v>
      </c>
      <c r="C157" s="2" t="s">
        <v>280</v>
      </c>
      <c r="D157" s="2" t="str">
        <f>HYPERLINK("http://eros.fiehnlab.ucdavis.edu:8080/binbase-compound/bin/show/299715?db=rtx5","299715")</f>
        <v>299715</v>
      </c>
      <c r="E157" s="2" t="s">
        <v>589</v>
      </c>
      <c r="F157" s="2" t="s">
        <v>83</v>
      </c>
      <c r="G157" s="2" t="str">
        <f>HYPERLINK("http://pubchem.ncbi.nlm.nih.gov/summary/summary.cgi?cid=8007","8007")</f>
        <v>8007</v>
      </c>
      <c r="H157" s="7">
        <v>5754</v>
      </c>
      <c r="I157" s="7">
        <v>4565</v>
      </c>
      <c r="J157" s="7">
        <v>3479</v>
      </c>
      <c r="K157" s="7">
        <v>4269</v>
      </c>
      <c r="L157" s="7">
        <v>5539</v>
      </c>
      <c r="M157" s="7">
        <v>4603</v>
      </c>
      <c r="N157" s="7">
        <v>3835</v>
      </c>
      <c r="O157" s="7">
        <v>4945</v>
      </c>
      <c r="P157" s="7">
        <v>5440</v>
      </c>
      <c r="Q157" s="7">
        <v>3789</v>
      </c>
      <c r="R157" s="7">
        <v>4463</v>
      </c>
      <c r="S157" s="7">
        <v>4874</v>
      </c>
      <c r="T157" s="7">
        <v>5464</v>
      </c>
      <c r="U157" s="7">
        <v>3713</v>
      </c>
      <c r="V157" s="7">
        <v>4293</v>
      </c>
      <c r="W157" s="24">
        <f t="shared" si="12"/>
        <v>4601.666666666667</v>
      </c>
      <c r="X157" s="25">
        <f t="shared" si="13"/>
        <v>725.5422274475293</v>
      </c>
      <c r="Y157" s="25"/>
      <c r="Z157" s="26"/>
      <c r="AA157" s="7">
        <v>4022</v>
      </c>
      <c r="AB157" s="7">
        <v>3962</v>
      </c>
      <c r="AC157" s="7">
        <v>4002</v>
      </c>
      <c r="AD157" s="7">
        <v>2885</v>
      </c>
      <c r="AE157" s="7">
        <v>3836</v>
      </c>
      <c r="AF157" s="7">
        <v>6383</v>
      </c>
      <c r="AG157" s="7">
        <v>5521</v>
      </c>
      <c r="AH157" s="7">
        <v>5406</v>
      </c>
      <c r="AI157" s="7">
        <v>3817</v>
      </c>
      <c r="AJ157" s="7">
        <v>3025</v>
      </c>
      <c r="AK157" s="7">
        <v>5289</v>
      </c>
      <c r="AL157" s="7">
        <v>2922</v>
      </c>
      <c r="AM157" s="30">
        <f t="shared" si="14"/>
        <v>4255.833333333333</v>
      </c>
      <c r="AN157" s="30">
        <f t="shared" si="15"/>
        <v>1138.7125771384683</v>
      </c>
      <c r="AO157" s="30"/>
      <c r="AP157" s="29">
        <f t="shared" si="16"/>
        <v>0.9248460702643968</v>
      </c>
      <c r="AQ157" s="31">
        <f t="shared" si="17"/>
        <v>0.3462914795450097</v>
      </c>
      <c r="AR157" s="21" t="s">
        <v>97</v>
      </c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DM157" s="16"/>
      <c r="DN157" s="16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3"/>
      <c r="FW157" s="11"/>
    </row>
    <row r="158" spans="1:179" ht="18.75">
      <c r="A158" s="1" t="s">
        <v>866</v>
      </c>
      <c r="B158" s="2" t="s">
        <v>867</v>
      </c>
      <c r="C158" s="2" t="s">
        <v>561</v>
      </c>
      <c r="D158" s="2" t="str">
        <f>HYPERLINK("http://eros.fiehnlab.ucdavis.edu:8080/binbase-compound/bin/show/239966?db=rtx5","239966")</f>
        <v>239966</v>
      </c>
      <c r="E158" s="2" t="s">
        <v>49</v>
      </c>
      <c r="F158" s="2" t="s">
        <v>83</v>
      </c>
      <c r="G158" s="2" t="s">
        <v>83</v>
      </c>
      <c r="H158" s="7">
        <v>420</v>
      </c>
      <c r="I158" s="7">
        <v>455</v>
      </c>
      <c r="J158" s="7">
        <v>609</v>
      </c>
      <c r="K158" s="7">
        <v>287</v>
      </c>
      <c r="L158" s="7">
        <v>411</v>
      </c>
      <c r="M158" s="7">
        <v>154</v>
      </c>
      <c r="N158" s="7">
        <v>398</v>
      </c>
      <c r="O158" s="7">
        <v>727</v>
      </c>
      <c r="P158" s="7">
        <v>425</v>
      </c>
      <c r="Q158" s="7">
        <v>357</v>
      </c>
      <c r="R158" s="7">
        <v>361</v>
      </c>
      <c r="S158" s="7">
        <v>407</v>
      </c>
      <c r="T158" s="7">
        <v>360</v>
      </c>
      <c r="U158" s="7">
        <v>307</v>
      </c>
      <c r="V158" s="7">
        <v>509</v>
      </c>
      <c r="W158" s="24">
        <f t="shared" si="12"/>
        <v>412.46666666666664</v>
      </c>
      <c r="X158" s="25">
        <f t="shared" si="13"/>
        <v>133.97434011602303</v>
      </c>
      <c r="Y158" s="25"/>
      <c r="Z158" s="26"/>
      <c r="AA158" s="7">
        <v>319</v>
      </c>
      <c r="AB158" s="7">
        <v>230</v>
      </c>
      <c r="AC158" s="7">
        <v>319</v>
      </c>
      <c r="AD158" s="7">
        <v>325</v>
      </c>
      <c r="AE158" s="7">
        <v>484</v>
      </c>
      <c r="AF158" s="7">
        <v>490</v>
      </c>
      <c r="AG158" s="7">
        <v>746</v>
      </c>
      <c r="AH158" s="7">
        <v>225</v>
      </c>
      <c r="AI158" s="7">
        <v>437</v>
      </c>
      <c r="AJ158" s="7">
        <v>428</v>
      </c>
      <c r="AK158" s="7">
        <v>367</v>
      </c>
      <c r="AL158" s="7">
        <v>213</v>
      </c>
      <c r="AM158" s="30">
        <f t="shared" si="14"/>
        <v>381.9166666666667</v>
      </c>
      <c r="AN158" s="30">
        <f t="shared" si="15"/>
        <v>149.9790641955393</v>
      </c>
      <c r="AO158" s="30"/>
      <c r="AP158" s="29">
        <f t="shared" si="16"/>
        <v>0.9259334087603039</v>
      </c>
      <c r="AQ158" s="31">
        <f t="shared" si="17"/>
        <v>0.5814845873905348</v>
      </c>
      <c r="AR158" s="21" t="s">
        <v>866</v>
      </c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DM158" s="16"/>
      <c r="DN158" s="16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3"/>
      <c r="FW158" s="11"/>
    </row>
    <row r="159" spans="1:179" ht="18.75">
      <c r="A159" s="1" t="s">
        <v>311</v>
      </c>
      <c r="B159" s="2" t="s">
        <v>312</v>
      </c>
      <c r="C159" s="2" t="s">
        <v>313</v>
      </c>
      <c r="D159" s="2" t="str">
        <f>HYPERLINK("http://eros.fiehnlab.ucdavis.edu:8080/binbase-compound/bin/show/227993?db=rtx5","227993")</f>
        <v>227993</v>
      </c>
      <c r="E159" s="2" t="s">
        <v>1113</v>
      </c>
      <c r="F159" s="2" t="str">
        <f>HYPERLINK("http://www.genome.ad.jp/dbget-bin/www_bget?compound+C00249","C00249")</f>
        <v>C00249</v>
      </c>
      <c r="G159" s="2" t="str">
        <f>HYPERLINK("http://pubchem.ncbi.nlm.nih.gov/summary/summary.cgi?cid=985","985")</f>
        <v>985</v>
      </c>
      <c r="H159" s="7">
        <v>67523</v>
      </c>
      <c r="I159" s="7">
        <v>41716</v>
      </c>
      <c r="J159" s="7">
        <v>45008</v>
      </c>
      <c r="K159" s="7">
        <v>50905</v>
      </c>
      <c r="L159" s="7">
        <v>59279</v>
      </c>
      <c r="M159" s="7">
        <v>65208</v>
      </c>
      <c r="N159" s="7">
        <v>45413</v>
      </c>
      <c r="O159" s="7">
        <v>35050</v>
      </c>
      <c r="P159" s="7">
        <v>37297</v>
      </c>
      <c r="Q159" s="7">
        <v>37605</v>
      </c>
      <c r="R159" s="7">
        <v>68974</v>
      </c>
      <c r="S159" s="7">
        <v>47222</v>
      </c>
      <c r="T159" s="7">
        <v>44928</v>
      </c>
      <c r="U159" s="7">
        <v>55294</v>
      </c>
      <c r="V159" s="7">
        <v>54614</v>
      </c>
      <c r="W159" s="24">
        <f t="shared" si="12"/>
        <v>50402.4</v>
      </c>
      <c r="X159" s="25">
        <f t="shared" si="13"/>
        <v>11079.870330597603</v>
      </c>
      <c r="Y159" s="25"/>
      <c r="Z159" s="26"/>
      <c r="AA159" s="7">
        <v>39261</v>
      </c>
      <c r="AB159" s="7">
        <v>59055</v>
      </c>
      <c r="AC159" s="7">
        <v>59945</v>
      </c>
      <c r="AD159" s="7">
        <v>39654</v>
      </c>
      <c r="AE159" s="7">
        <v>53056</v>
      </c>
      <c r="AF159" s="7">
        <v>47771</v>
      </c>
      <c r="AG159" s="7">
        <v>42846</v>
      </c>
      <c r="AH159" s="7">
        <v>58462</v>
      </c>
      <c r="AI159" s="7">
        <v>41386</v>
      </c>
      <c r="AJ159" s="7">
        <v>34942</v>
      </c>
      <c r="AK159" s="7">
        <v>50217</v>
      </c>
      <c r="AL159" s="7">
        <v>33859</v>
      </c>
      <c r="AM159" s="30">
        <f t="shared" si="14"/>
        <v>46704.5</v>
      </c>
      <c r="AN159" s="30">
        <f t="shared" si="15"/>
        <v>9398.037082284789</v>
      </c>
      <c r="AO159" s="30"/>
      <c r="AP159" s="29">
        <f t="shared" si="16"/>
        <v>0.9266324619462565</v>
      </c>
      <c r="AQ159" s="31">
        <f t="shared" si="17"/>
        <v>0.3661526275140926</v>
      </c>
      <c r="AR159" s="21" t="s">
        <v>311</v>
      </c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DM159" s="16"/>
      <c r="DN159" s="16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3"/>
      <c r="FW159" s="11"/>
    </row>
    <row r="160" spans="1:179" ht="18.75">
      <c r="A160" s="1" t="s">
        <v>849</v>
      </c>
      <c r="B160" s="2" t="s">
        <v>850</v>
      </c>
      <c r="C160" s="2" t="s">
        <v>851</v>
      </c>
      <c r="D160" s="2" t="str">
        <f>HYPERLINK("http://eros.fiehnlab.ucdavis.edu:8080/binbase-compound/bin/show/242417?db=rtx5","242417")</f>
        <v>242417</v>
      </c>
      <c r="E160" s="2" t="s">
        <v>191</v>
      </c>
      <c r="F160" s="2" t="s">
        <v>83</v>
      </c>
      <c r="G160" s="2" t="s">
        <v>83</v>
      </c>
      <c r="H160" s="7">
        <v>329</v>
      </c>
      <c r="I160" s="7">
        <v>417</v>
      </c>
      <c r="J160" s="7">
        <v>1542</v>
      </c>
      <c r="K160" s="7">
        <v>642</v>
      </c>
      <c r="L160" s="7">
        <v>518</v>
      </c>
      <c r="M160" s="7">
        <v>335</v>
      </c>
      <c r="N160" s="7">
        <v>435</v>
      </c>
      <c r="O160" s="7">
        <v>460</v>
      </c>
      <c r="P160" s="7">
        <v>352</v>
      </c>
      <c r="Q160" s="7">
        <v>329</v>
      </c>
      <c r="R160" s="7">
        <v>419</v>
      </c>
      <c r="S160" s="7">
        <v>458</v>
      </c>
      <c r="T160" s="7">
        <v>564</v>
      </c>
      <c r="U160" s="7">
        <v>615</v>
      </c>
      <c r="V160" s="7">
        <v>1522</v>
      </c>
      <c r="W160" s="24">
        <f t="shared" si="12"/>
        <v>595.8</v>
      </c>
      <c r="X160" s="25">
        <f t="shared" si="13"/>
        <v>392.70512383430184</v>
      </c>
      <c r="Y160" s="25"/>
      <c r="Z160" s="26"/>
      <c r="AA160" s="7">
        <v>525</v>
      </c>
      <c r="AB160" s="7">
        <v>576</v>
      </c>
      <c r="AC160" s="7">
        <v>551</v>
      </c>
      <c r="AD160" s="7">
        <v>742</v>
      </c>
      <c r="AE160" s="7">
        <v>696</v>
      </c>
      <c r="AF160" s="7">
        <v>425</v>
      </c>
      <c r="AG160" s="7">
        <v>371</v>
      </c>
      <c r="AH160" s="7">
        <v>332</v>
      </c>
      <c r="AI160" s="7">
        <v>478</v>
      </c>
      <c r="AJ160" s="7">
        <v>932</v>
      </c>
      <c r="AK160" s="7">
        <v>456</v>
      </c>
      <c r="AL160" s="7">
        <v>545</v>
      </c>
      <c r="AM160" s="30">
        <f t="shared" si="14"/>
        <v>552.4166666666666</v>
      </c>
      <c r="AN160" s="30">
        <f t="shared" si="15"/>
        <v>169.10752810151902</v>
      </c>
      <c r="AO160" s="30"/>
      <c r="AP160" s="29">
        <f t="shared" si="16"/>
        <v>0.9271847376076984</v>
      </c>
      <c r="AQ160" s="31">
        <f t="shared" si="17"/>
        <v>0.724747545149574</v>
      </c>
      <c r="AR160" s="21" t="s">
        <v>849</v>
      </c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DM160" s="16"/>
      <c r="DN160" s="16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3"/>
      <c r="FW160" s="11"/>
    </row>
    <row r="161" spans="1:179" ht="18.75">
      <c r="A161" s="1" t="s">
        <v>466</v>
      </c>
      <c r="B161" s="2" t="s">
        <v>467</v>
      </c>
      <c r="C161" s="2" t="s">
        <v>317</v>
      </c>
      <c r="D161" s="2" t="str">
        <f>HYPERLINK("http://eros.fiehnlab.ucdavis.edu:8080/binbase-compound/bin/show/200446?db=rtx5","200446")</f>
        <v>200446</v>
      </c>
      <c r="E161" s="2" t="s">
        <v>173</v>
      </c>
      <c r="F161" s="2" t="str">
        <f>HYPERLINK("http://www.genome.ad.jp/dbget-bin/www_bget?compound+n/a","n/a")</f>
        <v>n/a</v>
      </c>
      <c r="G161" s="2" t="str">
        <f>HYPERLINK("http://pubchem.ncbi.nlm.nih.gov/summary/summary.cgi?cid=5325915","5325915")</f>
        <v>5325915</v>
      </c>
      <c r="H161" s="7">
        <v>20052</v>
      </c>
      <c r="I161" s="7">
        <v>21881</v>
      </c>
      <c r="J161" s="7">
        <v>54326</v>
      </c>
      <c r="K161" s="7">
        <v>13401</v>
      </c>
      <c r="L161" s="7">
        <v>27099</v>
      </c>
      <c r="M161" s="7">
        <v>26515</v>
      </c>
      <c r="N161" s="7">
        <v>37409</v>
      </c>
      <c r="O161" s="7">
        <v>25806</v>
      </c>
      <c r="P161" s="7">
        <v>17135</v>
      </c>
      <c r="Q161" s="7">
        <v>24354</v>
      </c>
      <c r="R161" s="7">
        <v>28017</v>
      </c>
      <c r="S161" s="7">
        <v>19074</v>
      </c>
      <c r="T161" s="7">
        <v>15123</v>
      </c>
      <c r="U161" s="7">
        <v>17376</v>
      </c>
      <c r="V161" s="7">
        <v>42190</v>
      </c>
      <c r="W161" s="24">
        <f t="shared" si="12"/>
        <v>25983.866666666665</v>
      </c>
      <c r="X161" s="25">
        <f t="shared" si="13"/>
        <v>11126.698559684955</v>
      </c>
      <c r="Y161" s="25"/>
      <c r="Z161" s="26"/>
      <c r="AA161" s="7">
        <v>17037</v>
      </c>
      <c r="AB161" s="7">
        <v>25418</v>
      </c>
      <c r="AC161" s="7">
        <v>12137</v>
      </c>
      <c r="AD161" s="7">
        <v>47290</v>
      </c>
      <c r="AE161" s="7">
        <v>12631</v>
      </c>
      <c r="AF161" s="7">
        <v>18708</v>
      </c>
      <c r="AG161" s="7">
        <v>20983</v>
      </c>
      <c r="AH161" s="7">
        <v>14194</v>
      </c>
      <c r="AI161" s="7">
        <v>31490</v>
      </c>
      <c r="AJ161" s="7">
        <v>42942</v>
      </c>
      <c r="AK161" s="7">
        <v>13819</v>
      </c>
      <c r="AL161" s="7">
        <v>33195</v>
      </c>
      <c r="AM161" s="30">
        <f t="shared" si="14"/>
        <v>24153.666666666668</v>
      </c>
      <c r="AN161" s="30">
        <f t="shared" si="15"/>
        <v>12056.628507576113</v>
      </c>
      <c r="AO161" s="30"/>
      <c r="AP161" s="29">
        <f t="shared" si="16"/>
        <v>0.9295639858578915</v>
      </c>
      <c r="AQ161" s="31">
        <f t="shared" si="17"/>
        <v>0.685795902064062</v>
      </c>
      <c r="AR161" s="21" t="s">
        <v>466</v>
      </c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DM161" s="16"/>
      <c r="DN161" s="16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3"/>
      <c r="FW161" s="11"/>
    </row>
    <row r="162" spans="1:179" ht="18.75">
      <c r="A162" s="1" t="s">
        <v>990</v>
      </c>
      <c r="B162" s="2" t="s">
        <v>991</v>
      </c>
      <c r="C162" s="2" t="s">
        <v>384</v>
      </c>
      <c r="D162" s="2" t="str">
        <f>HYPERLINK("http://eros.fiehnlab.ucdavis.edu:8080/binbase-compound/bin/show/213253?db=rtx5","213253")</f>
        <v>213253</v>
      </c>
      <c r="E162" s="2" t="s">
        <v>31</v>
      </c>
      <c r="F162" s="2" t="s">
        <v>83</v>
      </c>
      <c r="G162" s="2" t="s">
        <v>83</v>
      </c>
      <c r="H162" s="7">
        <v>97748</v>
      </c>
      <c r="I162" s="7">
        <v>70171</v>
      </c>
      <c r="J162" s="7">
        <v>48959</v>
      </c>
      <c r="K162" s="7">
        <v>59055</v>
      </c>
      <c r="L162" s="7">
        <v>78483</v>
      </c>
      <c r="M162" s="7">
        <v>78170</v>
      </c>
      <c r="N162" s="7">
        <v>52636</v>
      </c>
      <c r="O162" s="7">
        <v>95076</v>
      </c>
      <c r="P162" s="7">
        <v>92992</v>
      </c>
      <c r="Q162" s="7">
        <v>57008</v>
      </c>
      <c r="R162" s="7">
        <v>114749</v>
      </c>
      <c r="S162" s="7">
        <v>63788</v>
      </c>
      <c r="T162" s="7">
        <v>81966</v>
      </c>
      <c r="U162" s="7">
        <v>49162</v>
      </c>
      <c r="V162" s="7">
        <v>97910</v>
      </c>
      <c r="W162" s="24">
        <f t="shared" si="12"/>
        <v>75858.2</v>
      </c>
      <c r="X162" s="25">
        <f t="shared" si="13"/>
        <v>20670.209544172492</v>
      </c>
      <c r="Y162" s="25"/>
      <c r="Z162" s="26"/>
      <c r="AA162" s="7">
        <v>61953</v>
      </c>
      <c r="AB162" s="7">
        <v>65720</v>
      </c>
      <c r="AC162" s="7">
        <v>59144</v>
      </c>
      <c r="AD162" s="7">
        <v>52999</v>
      </c>
      <c r="AE162" s="7">
        <v>65280</v>
      </c>
      <c r="AF162" s="7">
        <v>103935</v>
      </c>
      <c r="AG162" s="7">
        <v>83224</v>
      </c>
      <c r="AH162" s="7">
        <v>89109</v>
      </c>
      <c r="AI162" s="7">
        <v>67500</v>
      </c>
      <c r="AJ162" s="7">
        <v>59891</v>
      </c>
      <c r="AK162" s="7">
        <v>78816</v>
      </c>
      <c r="AL162" s="7">
        <v>58880</v>
      </c>
      <c r="AM162" s="30">
        <f t="shared" si="14"/>
        <v>70537.58333333333</v>
      </c>
      <c r="AN162" s="30">
        <f t="shared" si="15"/>
        <v>15106.290727305579</v>
      </c>
      <c r="AO162" s="30"/>
      <c r="AP162" s="29">
        <f t="shared" si="16"/>
        <v>0.9298610213969397</v>
      </c>
      <c r="AQ162" s="31">
        <f t="shared" si="17"/>
        <v>0.4629841454705099</v>
      </c>
      <c r="AR162" s="21" t="s">
        <v>990</v>
      </c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DM162" s="16"/>
      <c r="DN162" s="16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3"/>
      <c r="FW162" s="11"/>
    </row>
    <row r="163" spans="1:179" ht="18.75">
      <c r="A163" s="1" t="s">
        <v>301</v>
      </c>
      <c r="B163" s="2" t="s">
        <v>302</v>
      </c>
      <c r="C163" s="2" t="s">
        <v>303</v>
      </c>
      <c r="D163" s="2" t="str">
        <f>HYPERLINK("http://eros.fiehnlab.ucdavis.edu:8080/binbase-compound/bin/show/368045?db=rtx5","368045")</f>
        <v>368045</v>
      </c>
      <c r="E163" s="2" t="s">
        <v>630</v>
      </c>
      <c r="F163" s="2" t="str">
        <f>HYPERLINK("http://www.genome.ad.jp/dbget-bin/www_bget?compound+C00146","C00146")</f>
        <v>C00146</v>
      </c>
      <c r="G163" s="2" t="str">
        <f>HYPERLINK("http://pubchem.ncbi.nlm.nih.gov/summary/summary.cgi?cid=996","996")</f>
        <v>996</v>
      </c>
      <c r="H163" s="7">
        <v>6090</v>
      </c>
      <c r="I163" s="7">
        <v>1752</v>
      </c>
      <c r="J163" s="7">
        <v>6718</v>
      </c>
      <c r="K163" s="7">
        <v>2304</v>
      </c>
      <c r="L163" s="7">
        <v>2197</v>
      </c>
      <c r="M163" s="7">
        <v>2468</v>
      </c>
      <c r="N163" s="7">
        <v>6619</v>
      </c>
      <c r="O163" s="7">
        <v>2351</v>
      </c>
      <c r="P163" s="7">
        <v>4565</v>
      </c>
      <c r="Q163" s="7">
        <v>2206</v>
      </c>
      <c r="R163" s="7">
        <v>3749</v>
      </c>
      <c r="S163" s="7">
        <v>2066</v>
      </c>
      <c r="T163" s="7">
        <v>4021</v>
      </c>
      <c r="U163" s="7">
        <v>2447</v>
      </c>
      <c r="V163" s="7">
        <v>2609</v>
      </c>
      <c r="W163" s="24">
        <f t="shared" si="12"/>
        <v>3477.4666666666667</v>
      </c>
      <c r="X163" s="25">
        <f t="shared" si="13"/>
        <v>1741.392540742144</v>
      </c>
      <c r="Y163" s="25"/>
      <c r="Z163" s="26"/>
      <c r="AA163" s="7">
        <v>2482</v>
      </c>
      <c r="AB163" s="7">
        <v>5255</v>
      </c>
      <c r="AC163" s="7">
        <v>4491</v>
      </c>
      <c r="AD163" s="7">
        <v>1499</v>
      </c>
      <c r="AE163" s="7">
        <v>2210</v>
      </c>
      <c r="AF163" s="7">
        <v>3475</v>
      </c>
      <c r="AG163" s="7">
        <v>2884</v>
      </c>
      <c r="AH163" s="7">
        <v>5685</v>
      </c>
      <c r="AI163" s="7">
        <v>3711</v>
      </c>
      <c r="AJ163" s="7">
        <v>1864</v>
      </c>
      <c r="AK163" s="7">
        <v>3475</v>
      </c>
      <c r="AL163" s="7">
        <v>1777</v>
      </c>
      <c r="AM163" s="30">
        <f t="shared" si="14"/>
        <v>3234</v>
      </c>
      <c r="AN163" s="30">
        <f t="shared" si="15"/>
        <v>1373.8511233357526</v>
      </c>
      <c r="AO163" s="30"/>
      <c r="AP163" s="29">
        <f t="shared" si="16"/>
        <v>0.9299873471109237</v>
      </c>
      <c r="AQ163" s="31">
        <f t="shared" si="17"/>
        <v>0.6959597172818345</v>
      </c>
      <c r="AR163" s="21" t="s">
        <v>301</v>
      </c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DM163" s="16"/>
      <c r="DN163" s="16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3"/>
      <c r="FW163" s="11"/>
    </row>
    <row r="164" spans="1:179" ht="18.75">
      <c r="A164" s="1" t="s">
        <v>304</v>
      </c>
      <c r="B164" s="2" t="s">
        <v>305</v>
      </c>
      <c r="C164" s="2" t="s">
        <v>243</v>
      </c>
      <c r="D164" s="2" t="str">
        <f>HYPERLINK("http://eros.fiehnlab.ucdavis.edu:8080/binbase-compound/bin/show/233458?db=rtx5","233458")</f>
        <v>233458</v>
      </c>
      <c r="E164" s="2" t="s">
        <v>1115</v>
      </c>
      <c r="F164" s="2" t="str">
        <f>HYPERLINK("http://www.genome.ad.jp/dbget-bin/www_bget?compound+C01601","C01601")</f>
        <v>C01601</v>
      </c>
      <c r="G164" s="2" t="str">
        <f>HYPERLINK("http://pubchem.ncbi.nlm.nih.gov/summary/summary.cgi?cid=8158","8158")</f>
        <v>8158</v>
      </c>
      <c r="H164" s="7">
        <v>26589</v>
      </c>
      <c r="I164" s="7">
        <v>37416</v>
      </c>
      <c r="J164" s="7">
        <v>34624</v>
      </c>
      <c r="K164" s="7">
        <v>45220</v>
      </c>
      <c r="L164" s="7">
        <v>57264</v>
      </c>
      <c r="M164" s="7">
        <v>36639</v>
      </c>
      <c r="N164" s="7">
        <v>52828</v>
      </c>
      <c r="O164" s="7">
        <v>30671</v>
      </c>
      <c r="P164" s="7">
        <v>27555</v>
      </c>
      <c r="Q164" s="7">
        <v>25907</v>
      </c>
      <c r="R164" s="7">
        <v>41362</v>
      </c>
      <c r="S164" s="7">
        <v>24910</v>
      </c>
      <c r="T164" s="7">
        <v>32799</v>
      </c>
      <c r="U164" s="7">
        <v>35577</v>
      </c>
      <c r="V164" s="7">
        <v>54333</v>
      </c>
      <c r="W164" s="24">
        <f t="shared" si="12"/>
        <v>37579.6</v>
      </c>
      <c r="X164" s="25">
        <f t="shared" si="13"/>
        <v>10608.765208880002</v>
      </c>
      <c r="Y164" s="25"/>
      <c r="Z164" s="26"/>
      <c r="AA164" s="7">
        <v>29330</v>
      </c>
      <c r="AB164" s="7">
        <v>25325</v>
      </c>
      <c r="AC164" s="7">
        <v>23364</v>
      </c>
      <c r="AD164" s="7">
        <v>43926</v>
      </c>
      <c r="AE164" s="7">
        <v>49884</v>
      </c>
      <c r="AF164" s="7">
        <v>42401</v>
      </c>
      <c r="AG164" s="7">
        <v>29032</v>
      </c>
      <c r="AH164" s="7">
        <v>38714</v>
      </c>
      <c r="AI164" s="7">
        <v>27796</v>
      </c>
      <c r="AJ164" s="7">
        <v>48306</v>
      </c>
      <c r="AK164" s="7">
        <v>37493</v>
      </c>
      <c r="AL164" s="7">
        <v>24025</v>
      </c>
      <c r="AM164" s="30">
        <f t="shared" si="14"/>
        <v>34966.333333333336</v>
      </c>
      <c r="AN164" s="30">
        <f t="shared" si="15"/>
        <v>9639.610038635881</v>
      </c>
      <c r="AO164" s="30"/>
      <c r="AP164" s="29">
        <f t="shared" si="16"/>
        <v>0.9304604980716489</v>
      </c>
      <c r="AQ164" s="31">
        <f t="shared" si="17"/>
        <v>0.5140772213817834</v>
      </c>
      <c r="AR164" s="21" t="s">
        <v>304</v>
      </c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DM164" s="16"/>
      <c r="DN164" s="16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3"/>
      <c r="FW164" s="11"/>
    </row>
    <row r="165" spans="1:179" ht="18.75">
      <c r="A165" s="1" t="s">
        <v>827</v>
      </c>
      <c r="B165" s="2" t="s">
        <v>828</v>
      </c>
      <c r="C165" s="2" t="s">
        <v>494</v>
      </c>
      <c r="D165" s="2" t="str">
        <f>HYPERLINK("http://eros.fiehnlab.ucdavis.edu:8080/binbase-compound/bin/show/271050?db=rtx5","271050")</f>
        <v>271050</v>
      </c>
      <c r="E165" s="2" t="s">
        <v>120</v>
      </c>
      <c r="F165" s="2" t="s">
        <v>83</v>
      </c>
      <c r="G165" s="2" t="s">
        <v>83</v>
      </c>
      <c r="H165" s="7">
        <v>4533</v>
      </c>
      <c r="I165" s="7">
        <v>2437</v>
      </c>
      <c r="J165" s="7">
        <v>13913</v>
      </c>
      <c r="K165" s="7">
        <v>6404</v>
      </c>
      <c r="L165" s="7">
        <v>11075</v>
      </c>
      <c r="M165" s="7">
        <v>10560</v>
      </c>
      <c r="N165" s="7">
        <v>20863</v>
      </c>
      <c r="O165" s="7">
        <v>4819</v>
      </c>
      <c r="P165" s="7">
        <v>2786</v>
      </c>
      <c r="Q165" s="7">
        <v>6707</v>
      </c>
      <c r="R165" s="7">
        <v>14510</v>
      </c>
      <c r="S165" s="7">
        <v>2834</v>
      </c>
      <c r="T165" s="7">
        <v>3243</v>
      </c>
      <c r="U165" s="7">
        <v>12959</v>
      </c>
      <c r="V165" s="7">
        <v>17886</v>
      </c>
      <c r="W165" s="24">
        <f t="shared" si="12"/>
        <v>9035.266666666666</v>
      </c>
      <c r="X165" s="25">
        <f t="shared" si="13"/>
        <v>5969.356084760455</v>
      </c>
      <c r="Y165" s="25"/>
      <c r="Z165" s="26"/>
      <c r="AA165" s="7">
        <v>3119</v>
      </c>
      <c r="AB165" s="7">
        <v>6953</v>
      </c>
      <c r="AC165" s="7">
        <v>4643</v>
      </c>
      <c r="AD165" s="7">
        <v>25075</v>
      </c>
      <c r="AE165" s="7">
        <v>7968</v>
      </c>
      <c r="AF165" s="7">
        <v>2262</v>
      </c>
      <c r="AG165" s="7">
        <v>2557</v>
      </c>
      <c r="AH165" s="7">
        <v>2149</v>
      </c>
      <c r="AI165" s="7">
        <v>10692</v>
      </c>
      <c r="AJ165" s="7">
        <v>26037</v>
      </c>
      <c r="AK165" s="7">
        <v>3791</v>
      </c>
      <c r="AL165" s="7">
        <v>5701</v>
      </c>
      <c r="AM165" s="30">
        <f t="shared" si="14"/>
        <v>8412.25</v>
      </c>
      <c r="AN165" s="30">
        <f t="shared" si="15"/>
        <v>8410.34793491706</v>
      </c>
      <c r="AO165" s="30"/>
      <c r="AP165" s="29">
        <f t="shared" si="16"/>
        <v>0.9310461229699917</v>
      </c>
      <c r="AQ165" s="31">
        <f t="shared" si="17"/>
        <v>0.82374586484358</v>
      </c>
      <c r="AR165" s="21" t="s">
        <v>827</v>
      </c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DM165" s="16"/>
      <c r="DN165" s="16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3"/>
      <c r="FW165" s="11"/>
    </row>
    <row r="166" spans="1:179" ht="18.75">
      <c r="A166" s="1" t="s">
        <v>502</v>
      </c>
      <c r="B166" s="2" t="s">
        <v>503</v>
      </c>
      <c r="C166" s="2" t="s">
        <v>504</v>
      </c>
      <c r="D166" s="2" t="str">
        <f>HYPERLINK("http://eros.fiehnlab.ucdavis.edu:8080/binbase-compound/bin/show/331346?db=rtx5","331346")</f>
        <v>331346</v>
      </c>
      <c r="E166" s="2" t="s">
        <v>201</v>
      </c>
      <c r="F166" s="2" t="str">
        <f>HYPERLINK("http://www.genome.ad.jp/dbget-bin/www_bget?compound+C06423","C06423")</f>
        <v>C06423</v>
      </c>
      <c r="G166" s="2" t="str">
        <f>HYPERLINK("http://pubchem.ncbi.nlm.nih.gov/summary/summary.cgi?cid=379","379")</f>
        <v>379</v>
      </c>
      <c r="H166" s="7">
        <v>2672</v>
      </c>
      <c r="I166" s="7">
        <v>2780</v>
      </c>
      <c r="J166" s="7">
        <v>6981</v>
      </c>
      <c r="K166" s="7">
        <v>4303</v>
      </c>
      <c r="L166" s="7">
        <v>3735</v>
      </c>
      <c r="M166" s="7">
        <v>3154</v>
      </c>
      <c r="N166" s="7">
        <v>3099</v>
      </c>
      <c r="O166" s="7">
        <v>3284</v>
      </c>
      <c r="P166" s="7">
        <v>2045</v>
      </c>
      <c r="Q166" s="7">
        <v>2527</v>
      </c>
      <c r="R166" s="7">
        <v>3406</v>
      </c>
      <c r="S166" s="7">
        <v>2480</v>
      </c>
      <c r="T166" s="7">
        <v>2472</v>
      </c>
      <c r="U166" s="7">
        <v>4606</v>
      </c>
      <c r="V166" s="7">
        <v>4867</v>
      </c>
      <c r="W166" s="24">
        <f t="shared" si="12"/>
        <v>3494.0666666666666</v>
      </c>
      <c r="X166" s="25">
        <f t="shared" si="13"/>
        <v>1270.8187162313159</v>
      </c>
      <c r="Y166" s="25"/>
      <c r="Z166" s="26"/>
      <c r="AA166" s="7">
        <v>2412</v>
      </c>
      <c r="AB166" s="7">
        <v>3215</v>
      </c>
      <c r="AC166" s="7">
        <v>2770</v>
      </c>
      <c r="AD166" s="7">
        <v>3668</v>
      </c>
      <c r="AE166" s="7">
        <v>5725</v>
      </c>
      <c r="AF166" s="7">
        <v>2530</v>
      </c>
      <c r="AG166" s="7">
        <v>3036</v>
      </c>
      <c r="AH166" s="7">
        <v>3204</v>
      </c>
      <c r="AI166" s="7">
        <v>2631</v>
      </c>
      <c r="AJ166" s="7">
        <v>4359</v>
      </c>
      <c r="AK166" s="7">
        <v>2675</v>
      </c>
      <c r="AL166" s="7">
        <v>2828</v>
      </c>
      <c r="AM166" s="30">
        <f t="shared" si="14"/>
        <v>3254.4166666666665</v>
      </c>
      <c r="AN166" s="30">
        <f t="shared" si="15"/>
        <v>949.7390510827254</v>
      </c>
      <c r="AO166" s="30"/>
      <c r="AP166" s="29">
        <f t="shared" si="16"/>
        <v>0.931412298944878</v>
      </c>
      <c r="AQ166" s="31">
        <f t="shared" si="17"/>
        <v>0.5923217280311408</v>
      </c>
      <c r="AR166" s="21" t="s">
        <v>502</v>
      </c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DM166" s="16"/>
      <c r="DN166" s="16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3"/>
      <c r="FW166" s="11"/>
    </row>
    <row r="167" spans="1:179" ht="18.75">
      <c r="A167" s="1" t="s">
        <v>965</v>
      </c>
      <c r="B167" s="2" t="s">
        <v>966</v>
      </c>
      <c r="C167" s="2" t="s">
        <v>210</v>
      </c>
      <c r="D167" s="2" t="str">
        <f>HYPERLINK("http://eros.fiehnlab.ucdavis.edu:8080/binbase-compound/bin/show/222169?db=rtx5","222169")</f>
        <v>222169</v>
      </c>
      <c r="E167" s="2" t="s">
        <v>73</v>
      </c>
      <c r="F167" s="2" t="s">
        <v>83</v>
      </c>
      <c r="G167" s="2" t="s">
        <v>83</v>
      </c>
      <c r="H167" s="7">
        <v>798</v>
      </c>
      <c r="I167" s="7">
        <v>912</v>
      </c>
      <c r="J167" s="7">
        <v>1127</v>
      </c>
      <c r="K167" s="7">
        <v>4336</v>
      </c>
      <c r="L167" s="7">
        <v>9409</v>
      </c>
      <c r="M167" s="7">
        <v>3674</v>
      </c>
      <c r="N167" s="7">
        <v>1913</v>
      </c>
      <c r="O167" s="7">
        <v>224</v>
      </c>
      <c r="P167" s="7">
        <v>6334</v>
      </c>
      <c r="Q167" s="7">
        <v>3628</v>
      </c>
      <c r="R167" s="7">
        <v>3571</v>
      </c>
      <c r="S167" s="7">
        <v>840</v>
      </c>
      <c r="T167" s="7">
        <v>1823</v>
      </c>
      <c r="U167" s="7">
        <v>4156</v>
      </c>
      <c r="V167" s="7">
        <v>926</v>
      </c>
      <c r="W167" s="24">
        <f t="shared" si="12"/>
        <v>2911.4</v>
      </c>
      <c r="X167" s="25">
        <f t="shared" si="13"/>
        <v>2511.7701157322726</v>
      </c>
      <c r="Y167" s="25"/>
      <c r="Z167" s="26"/>
      <c r="AA167" s="7">
        <v>632</v>
      </c>
      <c r="AB167" s="7">
        <v>4091</v>
      </c>
      <c r="AC167" s="7">
        <v>3962</v>
      </c>
      <c r="AD167" s="7">
        <v>3900</v>
      </c>
      <c r="AE167" s="7">
        <v>4994</v>
      </c>
      <c r="AF167" s="7">
        <v>831</v>
      </c>
      <c r="AG167" s="7">
        <v>1425</v>
      </c>
      <c r="AH167" s="7">
        <v>614</v>
      </c>
      <c r="AI167" s="7">
        <v>5227</v>
      </c>
      <c r="AJ167" s="7">
        <v>2244</v>
      </c>
      <c r="AK167" s="7">
        <v>4068</v>
      </c>
      <c r="AL167" s="7">
        <v>614</v>
      </c>
      <c r="AM167" s="30">
        <f t="shared" si="14"/>
        <v>2716.8333333333335</v>
      </c>
      <c r="AN167" s="30">
        <f t="shared" si="15"/>
        <v>1828.80615968368</v>
      </c>
      <c r="AO167" s="30"/>
      <c r="AP167" s="29">
        <f t="shared" si="16"/>
        <v>0.9331707540473083</v>
      </c>
      <c r="AQ167" s="31">
        <f t="shared" si="17"/>
        <v>0.8241450561272878</v>
      </c>
      <c r="AR167" s="21" t="s">
        <v>965</v>
      </c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DM167" s="16"/>
      <c r="DN167" s="16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3"/>
      <c r="FW167" s="11"/>
    </row>
    <row r="168" spans="1:179" ht="18.75">
      <c r="A168" s="1" t="s">
        <v>284</v>
      </c>
      <c r="B168" s="2" t="s">
        <v>285</v>
      </c>
      <c r="C168" s="2" t="s">
        <v>206</v>
      </c>
      <c r="D168" s="2" t="str">
        <f>HYPERLINK("http://eros.fiehnlab.ucdavis.edu:8080/binbase-compound/bin/show/213381?db=rtx5","213381")</f>
        <v>213381</v>
      </c>
      <c r="E168" s="2" t="s">
        <v>1146</v>
      </c>
      <c r="F168" s="2" t="str">
        <f>HYPERLINK("http://www.genome.ad.jp/dbget-bin/www_bget?compound+C02067","C02067")</f>
        <v>C02067</v>
      </c>
      <c r="G168" s="2" t="str">
        <f>HYPERLINK("http://pubchem.ncbi.nlm.nih.gov/summary/summary.cgi?cid=15047","15047")</f>
        <v>15047</v>
      </c>
      <c r="H168" s="7">
        <v>5245</v>
      </c>
      <c r="I168" s="7">
        <v>4360</v>
      </c>
      <c r="J168" s="7">
        <v>2212</v>
      </c>
      <c r="K168" s="7">
        <v>3240</v>
      </c>
      <c r="L168" s="7">
        <v>3902</v>
      </c>
      <c r="M168" s="7">
        <v>4280</v>
      </c>
      <c r="N168" s="7">
        <v>4151</v>
      </c>
      <c r="O168" s="7">
        <v>3671</v>
      </c>
      <c r="P168" s="7">
        <v>4564</v>
      </c>
      <c r="Q168" s="7">
        <v>2692</v>
      </c>
      <c r="R168" s="7">
        <v>3898</v>
      </c>
      <c r="S168" s="7">
        <v>4739</v>
      </c>
      <c r="T168" s="7">
        <v>3747</v>
      </c>
      <c r="U168" s="7">
        <v>3036</v>
      </c>
      <c r="V168" s="7">
        <v>3846</v>
      </c>
      <c r="W168" s="24">
        <f t="shared" si="12"/>
        <v>3838.866666666667</v>
      </c>
      <c r="X168" s="25">
        <f t="shared" si="13"/>
        <v>796.7013122572223</v>
      </c>
      <c r="Y168" s="25"/>
      <c r="Z168" s="26"/>
      <c r="AA168" s="7">
        <v>3409</v>
      </c>
      <c r="AB168" s="7">
        <v>2724</v>
      </c>
      <c r="AC168" s="7">
        <v>3261</v>
      </c>
      <c r="AD168" s="7">
        <v>2192</v>
      </c>
      <c r="AE168" s="7">
        <v>3342</v>
      </c>
      <c r="AF168" s="7">
        <v>4898</v>
      </c>
      <c r="AG168" s="7">
        <v>4696</v>
      </c>
      <c r="AH168" s="7">
        <v>3394</v>
      </c>
      <c r="AI168" s="7">
        <v>4347</v>
      </c>
      <c r="AJ168" s="7">
        <v>2641</v>
      </c>
      <c r="AK168" s="7">
        <v>3996</v>
      </c>
      <c r="AL168" s="7">
        <v>4134</v>
      </c>
      <c r="AM168" s="30">
        <f t="shared" si="14"/>
        <v>3586.1666666666665</v>
      </c>
      <c r="AN168" s="30">
        <f t="shared" si="15"/>
        <v>842.8106477013606</v>
      </c>
      <c r="AO168" s="30"/>
      <c r="AP168" s="29">
        <f t="shared" si="16"/>
        <v>0.9341732803084243</v>
      </c>
      <c r="AQ168" s="31">
        <f t="shared" si="17"/>
        <v>0.43220783741462954</v>
      </c>
      <c r="AR168" s="21" t="s">
        <v>284</v>
      </c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DM168" s="16"/>
      <c r="DN168" s="16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3"/>
      <c r="FW168" s="11"/>
    </row>
    <row r="169" spans="1:179" ht="18.75">
      <c r="A169" s="1" t="s">
        <v>352</v>
      </c>
      <c r="B169" s="2" t="s">
        <v>353</v>
      </c>
      <c r="C169" s="2" t="s">
        <v>85</v>
      </c>
      <c r="D169" s="2" t="str">
        <f>HYPERLINK("http://eros.fiehnlab.ucdavis.edu:8080/binbase-compound/bin/show/210512?db=rtx5","210512")</f>
        <v>210512</v>
      </c>
      <c r="E169" s="2" t="s">
        <v>162</v>
      </c>
      <c r="F169" s="2" t="str">
        <f>HYPERLINK("http://www.genome.ad.jp/dbget-bin/www_bget?compound+C00392","C00392")</f>
        <v>C00392</v>
      </c>
      <c r="G169" s="2" t="str">
        <f>HYPERLINK("http://pubchem.ncbi.nlm.nih.gov/summary/summary.cgi?cid=6251","6251")</f>
        <v>6251</v>
      </c>
      <c r="H169" s="7">
        <v>4208</v>
      </c>
      <c r="I169" s="7">
        <v>8446</v>
      </c>
      <c r="J169" s="7">
        <v>5782</v>
      </c>
      <c r="K169" s="7">
        <v>6439</v>
      </c>
      <c r="L169" s="7">
        <v>38389</v>
      </c>
      <c r="M169" s="7">
        <v>9785</v>
      </c>
      <c r="N169" s="7">
        <v>8160</v>
      </c>
      <c r="O169" s="7">
        <v>6450</v>
      </c>
      <c r="P169" s="7">
        <v>9658</v>
      </c>
      <c r="Q169" s="7">
        <v>7213</v>
      </c>
      <c r="R169" s="7">
        <v>7911</v>
      </c>
      <c r="S169" s="7">
        <v>1131</v>
      </c>
      <c r="T169" s="7">
        <v>428</v>
      </c>
      <c r="U169" s="7">
        <v>7902</v>
      </c>
      <c r="V169" s="7">
        <v>9682</v>
      </c>
      <c r="W169" s="24">
        <f t="shared" si="12"/>
        <v>8772.266666666666</v>
      </c>
      <c r="X169" s="25">
        <f t="shared" si="13"/>
        <v>8671.906451019759</v>
      </c>
      <c r="Y169" s="25"/>
      <c r="Z169" s="27"/>
      <c r="AA169" s="7">
        <v>11024</v>
      </c>
      <c r="AB169" s="7">
        <v>6656</v>
      </c>
      <c r="AC169" s="7">
        <v>1877</v>
      </c>
      <c r="AD169" s="7">
        <v>6181</v>
      </c>
      <c r="AE169" s="7">
        <v>6466</v>
      </c>
      <c r="AF169" s="7">
        <v>7502</v>
      </c>
      <c r="AG169" s="7">
        <v>7627</v>
      </c>
      <c r="AH169" s="7">
        <v>6215</v>
      </c>
      <c r="AI169" s="7">
        <v>8694</v>
      </c>
      <c r="AJ169" s="7">
        <v>6275</v>
      </c>
      <c r="AK169" s="7">
        <v>22808</v>
      </c>
      <c r="AL169" s="7">
        <v>7020</v>
      </c>
      <c r="AM169" s="30">
        <f t="shared" si="14"/>
        <v>8195.416666666666</v>
      </c>
      <c r="AN169" s="30">
        <f t="shared" si="15"/>
        <v>5053.473952878776</v>
      </c>
      <c r="AO169" s="30"/>
      <c r="AP169" s="29">
        <f t="shared" si="16"/>
        <v>0.9342416251215953</v>
      </c>
      <c r="AQ169" s="31">
        <f t="shared" si="17"/>
        <v>0.8400699164061304</v>
      </c>
      <c r="AR169" s="21" t="s">
        <v>352</v>
      </c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DM169" s="16"/>
      <c r="DN169" s="16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3"/>
      <c r="FW169" s="11"/>
    </row>
    <row r="170" spans="1:179" ht="18.75">
      <c r="A170" s="1" t="s">
        <v>840</v>
      </c>
      <c r="B170" s="2" t="s">
        <v>841</v>
      </c>
      <c r="C170" s="2" t="s">
        <v>842</v>
      </c>
      <c r="D170" s="2" t="str">
        <f>HYPERLINK("http://eros.fiehnlab.ucdavis.edu:8080/binbase-compound/bin/show/268312?db=rtx5","268312")</f>
        <v>268312</v>
      </c>
      <c r="E170" s="2" t="s">
        <v>132</v>
      </c>
      <c r="F170" s="2" t="s">
        <v>83</v>
      </c>
      <c r="G170" s="2" t="s">
        <v>83</v>
      </c>
      <c r="H170" s="7">
        <v>2047</v>
      </c>
      <c r="I170" s="7">
        <v>1896</v>
      </c>
      <c r="J170" s="7">
        <v>3605</v>
      </c>
      <c r="K170" s="7">
        <v>1388</v>
      </c>
      <c r="L170" s="7">
        <v>1412</v>
      </c>
      <c r="M170" s="7">
        <v>1200</v>
      </c>
      <c r="N170" s="7">
        <v>2018</v>
      </c>
      <c r="O170" s="7">
        <v>812</v>
      </c>
      <c r="P170" s="7">
        <v>1724</v>
      </c>
      <c r="Q170" s="7">
        <v>1344</v>
      </c>
      <c r="R170" s="7">
        <v>2294</v>
      </c>
      <c r="S170" s="7">
        <v>1284</v>
      </c>
      <c r="T170" s="7">
        <v>1554</v>
      </c>
      <c r="U170" s="7">
        <v>1931</v>
      </c>
      <c r="V170" s="7">
        <v>1843</v>
      </c>
      <c r="W170" s="24">
        <f t="shared" si="12"/>
        <v>1756.8</v>
      </c>
      <c r="X170" s="25">
        <f t="shared" si="13"/>
        <v>644.0797643593088</v>
      </c>
      <c r="Y170" s="25"/>
      <c r="Z170" s="26"/>
      <c r="AA170" s="7">
        <v>2562</v>
      </c>
      <c r="AB170" s="7">
        <v>1263</v>
      </c>
      <c r="AC170" s="7">
        <v>1388</v>
      </c>
      <c r="AD170" s="7">
        <v>940</v>
      </c>
      <c r="AE170" s="7">
        <v>1022</v>
      </c>
      <c r="AF170" s="7">
        <v>2203</v>
      </c>
      <c r="AG170" s="7">
        <v>1546</v>
      </c>
      <c r="AH170" s="7">
        <v>1845</v>
      </c>
      <c r="AI170" s="7">
        <v>1903</v>
      </c>
      <c r="AJ170" s="7">
        <v>1156</v>
      </c>
      <c r="AK170" s="7">
        <v>2506</v>
      </c>
      <c r="AL170" s="7">
        <v>1443</v>
      </c>
      <c r="AM170" s="30">
        <f t="shared" si="14"/>
        <v>1648.0833333333333</v>
      </c>
      <c r="AN170" s="30">
        <f t="shared" si="15"/>
        <v>554.8854850463757</v>
      </c>
      <c r="AO170" s="30"/>
      <c r="AP170" s="29">
        <f t="shared" si="16"/>
        <v>0.9381166514875531</v>
      </c>
      <c r="AQ170" s="31">
        <f t="shared" si="17"/>
        <v>0.6474655373560434</v>
      </c>
      <c r="AR170" s="21" t="s">
        <v>840</v>
      </c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DM170" s="16"/>
      <c r="DN170" s="16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3"/>
      <c r="FW170" s="11"/>
    </row>
    <row r="171" spans="1:179" ht="18.75">
      <c r="A171" s="1" t="s">
        <v>906</v>
      </c>
      <c r="B171" s="2" t="s">
        <v>907</v>
      </c>
      <c r="C171" s="2" t="s">
        <v>561</v>
      </c>
      <c r="D171" s="2" t="str">
        <f>HYPERLINK("http://eros.fiehnlab.ucdavis.edu:8080/binbase-compound/bin/show/226923?db=rtx5","226923")</f>
        <v>226923</v>
      </c>
      <c r="E171" s="2" t="s">
        <v>47</v>
      </c>
      <c r="F171" s="2" t="s">
        <v>83</v>
      </c>
      <c r="G171" s="2" t="s">
        <v>83</v>
      </c>
      <c r="H171" s="7">
        <v>3617</v>
      </c>
      <c r="I171" s="7">
        <v>3213</v>
      </c>
      <c r="J171" s="7">
        <v>978</v>
      </c>
      <c r="K171" s="7">
        <v>674</v>
      </c>
      <c r="L171" s="7">
        <v>1083</v>
      </c>
      <c r="M171" s="7">
        <v>275</v>
      </c>
      <c r="N171" s="7">
        <v>844</v>
      </c>
      <c r="O171" s="7">
        <v>211</v>
      </c>
      <c r="P171" s="7">
        <v>324</v>
      </c>
      <c r="Q171" s="7">
        <v>328</v>
      </c>
      <c r="R171" s="7">
        <v>1045</v>
      </c>
      <c r="S171" s="7">
        <v>767</v>
      </c>
      <c r="T171" s="7">
        <v>435</v>
      </c>
      <c r="U171" s="7">
        <v>423</v>
      </c>
      <c r="V171" s="7">
        <v>4239</v>
      </c>
      <c r="W171" s="24">
        <f t="shared" si="12"/>
        <v>1230.4</v>
      </c>
      <c r="X171" s="25">
        <f t="shared" si="13"/>
        <v>1318.6593733247198</v>
      </c>
      <c r="Y171" s="25"/>
      <c r="Z171" s="26"/>
      <c r="AA171" s="7">
        <v>346</v>
      </c>
      <c r="AB171" s="7">
        <v>424</v>
      </c>
      <c r="AC171" s="7">
        <v>377</v>
      </c>
      <c r="AD171" s="7">
        <v>343</v>
      </c>
      <c r="AE171" s="7">
        <v>510</v>
      </c>
      <c r="AF171" s="7">
        <v>4925</v>
      </c>
      <c r="AG171" s="7">
        <v>2426</v>
      </c>
      <c r="AH171" s="7">
        <v>597</v>
      </c>
      <c r="AI171" s="7">
        <v>363</v>
      </c>
      <c r="AJ171" s="7">
        <v>1989</v>
      </c>
      <c r="AK171" s="7">
        <v>484</v>
      </c>
      <c r="AL171" s="7">
        <v>1109</v>
      </c>
      <c r="AM171" s="30">
        <f t="shared" si="14"/>
        <v>1157.75</v>
      </c>
      <c r="AN171" s="30">
        <f t="shared" si="15"/>
        <v>1374.5837799791682</v>
      </c>
      <c r="AO171" s="30"/>
      <c r="AP171" s="29">
        <f t="shared" si="16"/>
        <v>0.9409541612483744</v>
      </c>
      <c r="AQ171" s="31">
        <f t="shared" si="17"/>
        <v>0.8900820943988037</v>
      </c>
      <c r="AR171" s="21" t="s">
        <v>906</v>
      </c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DM171" s="16"/>
      <c r="DN171" s="16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3"/>
      <c r="FW171" s="11"/>
    </row>
    <row r="172" spans="1:179" ht="18.75">
      <c r="A172" s="1" t="s">
        <v>492</v>
      </c>
      <c r="B172" s="2" t="s">
        <v>493</v>
      </c>
      <c r="C172" s="2" t="s">
        <v>494</v>
      </c>
      <c r="D172" s="2" t="str">
        <f>HYPERLINK("http://eros.fiehnlab.ucdavis.edu:8080/binbase-compound/bin/show/323374?db=rtx5","323374")</f>
        <v>323374</v>
      </c>
      <c r="E172" s="2" t="s">
        <v>581</v>
      </c>
      <c r="F172" s="2" t="str">
        <f>HYPERLINK("http://www.genome.ad.jp/dbget-bin/www_bget?compound+C00327","C00327")</f>
        <v>C00327</v>
      </c>
      <c r="G172" s="2" t="str">
        <f>HYPERLINK("http://pubchem.ncbi.nlm.nih.gov/summary/summary.cgi?cid=9750","9750")</f>
        <v>9750</v>
      </c>
      <c r="H172" s="7">
        <v>2915</v>
      </c>
      <c r="I172" s="7">
        <v>2610</v>
      </c>
      <c r="J172" s="7">
        <v>4857</v>
      </c>
      <c r="K172" s="7">
        <v>3601</v>
      </c>
      <c r="L172" s="7">
        <v>3623</v>
      </c>
      <c r="M172" s="7">
        <v>3404</v>
      </c>
      <c r="N172" s="7">
        <v>2565</v>
      </c>
      <c r="O172" s="7">
        <v>4565</v>
      </c>
      <c r="P172" s="7">
        <v>3196</v>
      </c>
      <c r="Q172" s="7">
        <v>4281</v>
      </c>
      <c r="R172" s="7">
        <v>2465</v>
      </c>
      <c r="S172" s="7">
        <v>4202</v>
      </c>
      <c r="T172" s="7">
        <v>2801</v>
      </c>
      <c r="U172" s="7">
        <v>4114</v>
      </c>
      <c r="V172" s="7">
        <v>5509</v>
      </c>
      <c r="W172" s="24">
        <f t="shared" si="12"/>
        <v>3647.2</v>
      </c>
      <c r="X172" s="25">
        <f t="shared" si="13"/>
        <v>920.4748929609265</v>
      </c>
      <c r="Y172" s="25"/>
      <c r="Z172" s="26"/>
      <c r="AA172" s="7">
        <v>2594</v>
      </c>
      <c r="AB172" s="7">
        <v>4502</v>
      </c>
      <c r="AC172" s="7">
        <v>2974</v>
      </c>
      <c r="AD172" s="7">
        <v>5131</v>
      </c>
      <c r="AE172" s="7">
        <v>5295</v>
      </c>
      <c r="AF172" s="7">
        <v>3330</v>
      </c>
      <c r="AG172" s="7">
        <v>2686</v>
      </c>
      <c r="AH172" s="7">
        <v>2669</v>
      </c>
      <c r="AI172" s="7">
        <v>2875</v>
      </c>
      <c r="AJ172" s="7">
        <v>3418</v>
      </c>
      <c r="AK172" s="7">
        <v>2244</v>
      </c>
      <c r="AL172" s="7">
        <v>3536</v>
      </c>
      <c r="AM172" s="30">
        <f t="shared" si="14"/>
        <v>3437.8333333333335</v>
      </c>
      <c r="AN172" s="30">
        <f t="shared" si="15"/>
        <v>1013.3456588165873</v>
      </c>
      <c r="AO172" s="30"/>
      <c r="AP172" s="29">
        <f t="shared" si="16"/>
        <v>0.9425952328727061</v>
      </c>
      <c r="AQ172" s="31">
        <f t="shared" si="17"/>
        <v>0.579336865228526</v>
      </c>
      <c r="AR172" s="21" t="s">
        <v>492</v>
      </c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DM172" s="16"/>
      <c r="DN172" s="16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3"/>
      <c r="FW172" s="11"/>
    </row>
    <row r="173" spans="1:179" ht="18.75">
      <c r="A173" s="1" t="s">
        <v>957</v>
      </c>
      <c r="B173" s="2" t="s">
        <v>958</v>
      </c>
      <c r="C173" s="2" t="s">
        <v>864</v>
      </c>
      <c r="D173" s="2" t="str">
        <f>HYPERLINK("http://eros.fiehnlab.ucdavis.edu:8080/binbase-compound/bin/show/223548?db=rtx5","223548")</f>
        <v>223548</v>
      </c>
      <c r="E173" s="2" t="s">
        <v>185</v>
      </c>
      <c r="F173" s="2" t="s">
        <v>83</v>
      </c>
      <c r="G173" s="2" t="s">
        <v>83</v>
      </c>
      <c r="H173" s="7">
        <v>1096</v>
      </c>
      <c r="I173" s="7">
        <v>336</v>
      </c>
      <c r="J173" s="7">
        <v>716</v>
      </c>
      <c r="K173" s="7">
        <v>399</v>
      </c>
      <c r="L173" s="7">
        <v>492</v>
      </c>
      <c r="M173" s="7">
        <v>620</v>
      </c>
      <c r="N173" s="7">
        <v>590</v>
      </c>
      <c r="O173" s="7">
        <v>605</v>
      </c>
      <c r="P173" s="7">
        <v>733</v>
      </c>
      <c r="Q173" s="7">
        <v>346</v>
      </c>
      <c r="R173" s="7">
        <v>645</v>
      </c>
      <c r="S173" s="7">
        <v>587</v>
      </c>
      <c r="T173" s="7">
        <v>617</v>
      </c>
      <c r="U173" s="7">
        <v>515</v>
      </c>
      <c r="V173" s="7">
        <v>635</v>
      </c>
      <c r="W173" s="24">
        <f t="shared" si="12"/>
        <v>595.4666666666667</v>
      </c>
      <c r="X173" s="25">
        <f t="shared" si="13"/>
        <v>184.11714697312635</v>
      </c>
      <c r="Y173" s="25"/>
      <c r="Z173" s="26"/>
      <c r="AA173" s="7">
        <v>447</v>
      </c>
      <c r="AB173" s="7">
        <v>497</v>
      </c>
      <c r="AC173" s="7">
        <v>527</v>
      </c>
      <c r="AD173" s="7">
        <v>370</v>
      </c>
      <c r="AE173" s="7">
        <v>693</v>
      </c>
      <c r="AF173" s="7">
        <v>568</v>
      </c>
      <c r="AG173" s="7">
        <v>453</v>
      </c>
      <c r="AH173" s="7">
        <v>777</v>
      </c>
      <c r="AI173" s="7">
        <v>556</v>
      </c>
      <c r="AJ173" s="7">
        <v>465</v>
      </c>
      <c r="AK173" s="7">
        <v>888</v>
      </c>
      <c r="AL173" s="7">
        <v>498</v>
      </c>
      <c r="AM173" s="30">
        <f t="shared" si="14"/>
        <v>561.5833333333334</v>
      </c>
      <c r="AN173" s="30">
        <f t="shared" si="15"/>
        <v>150.95361017293496</v>
      </c>
      <c r="AO173" s="30"/>
      <c r="AP173" s="29">
        <f t="shared" si="16"/>
        <v>0.9430978504254367</v>
      </c>
      <c r="AQ173" s="31">
        <f t="shared" si="17"/>
        <v>0.6120060957874633</v>
      </c>
      <c r="AR173" s="21" t="s">
        <v>957</v>
      </c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DM173" s="16"/>
      <c r="DN173" s="16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3"/>
      <c r="FW173" s="11"/>
    </row>
    <row r="174" spans="1:179" ht="18.75">
      <c r="A174" s="1" t="s">
        <v>468</v>
      </c>
      <c r="B174" s="2" t="s">
        <v>469</v>
      </c>
      <c r="C174" s="2" t="s">
        <v>428</v>
      </c>
      <c r="D174" s="2" t="str">
        <f>HYPERLINK("http://eros.fiehnlab.ucdavis.edu:8080/binbase-compound/bin/show/200514?db=rtx5","200514")</f>
        <v>200514</v>
      </c>
      <c r="E174" s="2" t="s">
        <v>168</v>
      </c>
      <c r="F174" s="2" t="str">
        <f>HYPERLINK("http://www.genome.ad.jp/dbget-bin/www_bget?compound+C00503","C00503")</f>
        <v>C00503</v>
      </c>
      <c r="G174" s="2" t="str">
        <f>HYPERLINK("http://pubchem.ncbi.nlm.nih.gov/summary/summary.cgi?cid=222285","222285")</f>
        <v>222285</v>
      </c>
      <c r="H174" s="7">
        <v>3167</v>
      </c>
      <c r="I174" s="7">
        <v>2120</v>
      </c>
      <c r="J174" s="7">
        <v>1218</v>
      </c>
      <c r="K174" s="7">
        <v>1859</v>
      </c>
      <c r="L174" s="7">
        <v>3033</v>
      </c>
      <c r="M174" s="7">
        <v>2507</v>
      </c>
      <c r="N174" s="7">
        <v>1950</v>
      </c>
      <c r="O174" s="7">
        <v>3843</v>
      </c>
      <c r="P174" s="7">
        <v>2536</v>
      </c>
      <c r="Q174" s="7">
        <v>1470</v>
      </c>
      <c r="R174" s="7">
        <v>2730</v>
      </c>
      <c r="S174" s="7">
        <v>2430</v>
      </c>
      <c r="T174" s="7">
        <v>1951</v>
      </c>
      <c r="U174" s="7">
        <v>2046</v>
      </c>
      <c r="V174" s="7">
        <v>3580</v>
      </c>
      <c r="W174" s="24">
        <f t="shared" si="12"/>
        <v>2429.3333333333335</v>
      </c>
      <c r="X174" s="25">
        <f t="shared" si="13"/>
        <v>744.1671919157744</v>
      </c>
      <c r="Y174" s="25"/>
      <c r="Z174" s="26"/>
      <c r="AA174" s="7">
        <v>2132</v>
      </c>
      <c r="AB174" s="7">
        <v>1844</v>
      </c>
      <c r="AC174" s="7">
        <v>2244</v>
      </c>
      <c r="AD174" s="7">
        <v>1854</v>
      </c>
      <c r="AE174" s="7">
        <v>2101</v>
      </c>
      <c r="AF174" s="7">
        <v>2512</v>
      </c>
      <c r="AG174" s="7">
        <v>2602</v>
      </c>
      <c r="AH174" s="7">
        <v>2293</v>
      </c>
      <c r="AI174" s="7">
        <v>2235</v>
      </c>
      <c r="AJ174" s="7">
        <v>3060</v>
      </c>
      <c r="AK174" s="7">
        <v>2112</v>
      </c>
      <c r="AL174" s="7">
        <v>2515</v>
      </c>
      <c r="AM174" s="30">
        <f t="shared" si="14"/>
        <v>2292</v>
      </c>
      <c r="AN174" s="30">
        <f t="shared" si="15"/>
        <v>340.67259675796964</v>
      </c>
      <c r="AO174" s="30"/>
      <c r="AP174" s="29">
        <f t="shared" si="16"/>
        <v>0.9434687156970362</v>
      </c>
      <c r="AQ174" s="31">
        <f t="shared" si="17"/>
        <v>0.5604739939735217</v>
      </c>
      <c r="AR174" s="21" t="s">
        <v>468</v>
      </c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DM174" s="16"/>
      <c r="DN174" s="16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3"/>
      <c r="FW174" s="11"/>
    </row>
    <row r="175" spans="1:179" ht="18.75">
      <c r="A175" s="1" t="s">
        <v>293</v>
      </c>
      <c r="B175" s="2" t="s">
        <v>294</v>
      </c>
      <c r="C175" s="2" t="s">
        <v>295</v>
      </c>
      <c r="D175" s="2" t="str">
        <f>HYPERLINK("http://eros.fiehnlab.ucdavis.edu:8080/binbase-compound/bin/show/199184?db=rtx5","199184")</f>
        <v>199184</v>
      </c>
      <c r="E175" s="2" t="s">
        <v>568</v>
      </c>
      <c r="F175" s="2" t="str">
        <f>HYPERLINK("http://www.genome.ad.jp/dbget-bin/www_bget?compound+C01389","C01389")</f>
        <v>C01389</v>
      </c>
      <c r="G175" s="2" t="str">
        <f>HYPERLINK("http://pubchem.ncbi.nlm.nih.gov/summary/summary.cgi?cid=9018","9018")</f>
        <v>9018</v>
      </c>
      <c r="H175" s="7">
        <v>285</v>
      </c>
      <c r="I175" s="7">
        <v>1172</v>
      </c>
      <c r="J175" s="7">
        <v>1328</v>
      </c>
      <c r="K175" s="7">
        <v>659</v>
      </c>
      <c r="L175" s="7">
        <v>366</v>
      </c>
      <c r="M175" s="7">
        <v>1069</v>
      </c>
      <c r="N175" s="7">
        <v>404</v>
      </c>
      <c r="O175" s="7">
        <v>434</v>
      </c>
      <c r="P175" s="7">
        <v>841</v>
      </c>
      <c r="Q175" s="7">
        <v>652</v>
      </c>
      <c r="R175" s="7">
        <v>971</v>
      </c>
      <c r="S175" s="7">
        <v>1616</v>
      </c>
      <c r="T175" s="7">
        <v>1384</v>
      </c>
      <c r="U175" s="7">
        <v>513</v>
      </c>
      <c r="V175" s="7">
        <v>1287</v>
      </c>
      <c r="W175" s="24">
        <f t="shared" si="12"/>
        <v>865.4</v>
      </c>
      <c r="X175" s="25">
        <f t="shared" si="13"/>
        <v>428.35912836910904</v>
      </c>
      <c r="Y175" s="25"/>
      <c r="Z175" s="26"/>
      <c r="AA175" s="7">
        <v>778</v>
      </c>
      <c r="AB175" s="7">
        <v>729</v>
      </c>
      <c r="AC175" s="7">
        <v>593</v>
      </c>
      <c r="AD175" s="7">
        <v>441</v>
      </c>
      <c r="AE175" s="7">
        <v>600</v>
      </c>
      <c r="AF175" s="7">
        <v>905</v>
      </c>
      <c r="AG175" s="7">
        <v>267</v>
      </c>
      <c r="AH175" s="7">
        <v>880</v>
      </c>
      <c r="AI175" s="7">
        <v>1118</v>
      </c>
      <c r="AJ175" s="7">
        <v>532</v>
      </c>
      <c r="AK175" s="7">
        <v>1576</v>
      </c>
      <c r="AL175" s="7">
        <v>1384</v>
      </c>
      <c r="AM175" s="30">
        <f t="shared" si="14"/>
        <v>816.9166666666666</v>
      </c>
      <c r="AN175" s="30">
        <f t="shared" si="15"/>
        <v>385.12275689549676</v>
      </c>
      <c r="AO175" s="30"/>
      <c r="AP175" s="29">
        <f t="shared" si="16"/>
        <v>0.9439758108004006</v>
      </c>
      <c r="AQ175" s="31">
        <f t="shared" si="17"/>
        <v>0.7625884941699128</v>
      </c>
      <c r="AR175" s="21" t="s">
        <v>293</v>
      </c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DM175" s="16"/>
      <c r="DN175" s="16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3"/>
      <c r="FW175" s="11"/>
    </row>
    <row r="176" spans="1:179" ht="18.75">
      <c r="A176" s="1" t="s">
        <v>782</v>
      </c>
      <c r="B176" s="2" t="s">
        <v>783</v>
      </c>
      <c r="C176" s="2" t="s">
        <v>715</v>
      </c>
      <c r="D176" s="2" t="str">
        <f>HYPERLINK("http://eros.fiehnlab.ucdavis.edu:8080/binbase-compound/bin/show/295002?db=rtx5","295002")</f>
        <v>295002</v>
      </c>
      <c r="E176" s="2" t="s">
        <v>48</v>
      </c>
      <c r="F176" s="2" t="s">
        <v>83</v>
      </c>
      <c r="G176" s="2" t="s">
        <v>83</v>
      </c>
      <c r="H176" s="7">
        <v>515</v>
      </c>
      <c r="I176" s="7">
        <v>517</v>
      </c>
      <c r="J176" s="7">
        <v>914</v>
      </c>
      <c r="K176" s="7">
        <v>471</v>
      </c>
      <c r="L176" s="7">
        <v>455</v>
      </c>
      <c r="M176" s="7">
        <v>665</v>
      </c>
      <c r="N176" s="7">
        <v>631</v>
      </c>
      <c r="O176" s="7">
        <v>603</v>
      </c>
      <c r="P176" s="7">
        <v>617</v>
      </c>
      <c r="Q176" s="7">
        <v>664</v>
      </c>
      <c r="R176" s="7">
        <v>618</v>
      </c>
      <c r="S176" s="7">
        <v>515</v>
      </c>
      <c r="T176" s="7">
        <v>648</v>
      </c>
      <c r="U176" s="7">
        <v>566</v>
      </c>
      <c r="V176" s="7">
        <v>796</v>
      </c>
      <c r="W176" s="24">
        <f t="shared" si="12"/>
        <v>613</v>
      </c>
      <c r="X176" s="25">
        <f t="shared" si="13"/>
        <v>121.5512825342221</v>
      </c>
      <c r="Y176" s="25"/>
      <c r="Z176" s="26"/>
      <c r="AA176" s="7">
        <v>626</v>
      </c>
      <c r="AB176" s="7">
        <v>526</v>
      </c>
      <c r="AC176" s="7">
        <v>520</v>
      </c>
      <c r="AD176" s="7">
        <v>631</v>
      </c>
      <c r="AE176" s="7">
        <v>561</v>
      </c>
      <c r="AF176" s="7">
        <v>535</v>
      </c>
      <c r="AG176" s="7">
        <v>517</v>
      </c>
      <c r="AH176" s="7">
        <v>562</v>
      </c>
      <c r="AI176" s="7">
        <v>627</v>
      </c>
      <c r="AJ176" s="7">
        <v>687</v>
      </c>
      <c r="AK176" s="7">
        <v>564</v>
      </c>
      <c r="AL176" s="7">
        <v>591</v>
      </c>
      <c r="AM176" s="30">
        <f t="shared" si="14"/>
        <v>578.9166666666666</v>
      </c>
      <c r="AN176" s="30">
        <f t="shared" si="15"/>
        <v>53.879424869261776</v>
      </c>
      <c r="AO176" s="30"/>
      <c r="AP176" s="29">
        <f t="shared" si="16"/>
        <v>0.9443991299619358</v>
      </c>
      <c r="AQ176" s="31">
        <f t="shared" si="17"/>
        <v>0.3764639092139359</v>
      </c>
      <c r="AR176" s="21" t="s">
        <v>782</v>
      </c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DM176" s="16"/>
      <c r="DN176" s="16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3"/>
      <c r="FW176" s="11"/>
    </row>
    <row r="177" spans="1:179" ht="18.75">
      <c r="A177" s="1" t="s">
        <v>398</v>
      </c>
      <c r="B177" s="2" t="s">
        <v>399</v>
      </c>
      <c r="C177" s="2" t="s">
        <v>227</v>
      </c>
      <c r="D177" s="2" t="str">
        <f>HYPERLINK("http://eros.fiehnlab.ucdavis.edu:8080/binbase-compound/bin/show/223508?db=rtx5","223508")</f>
        <v>223508</v>
      </c>
      <c r="E177" s="2" t="s">
        <v>622</v>
      </c>
      <c r="F177" s="2" t="str">
        <f>HYPERLINK("http://www.genome.ad.jp/dbget-bin/www_bget?compound+C00954","C00954")</f>
        <v>C00954</v>
      </c>
      <c r="G177" s="2" t="str">
        <f>HYPERLINK("http://pubchem.ncbi.nlm.nih.gov/summary/summary.cgi?cid=802","802")</f>
        <v>802</v>
      </c>
      <c r="H177" s="7">
        <v>3580</v>
      </c>
      <c r="I177" s="7">
        <v>1831</v>
      </c>
      <c r="J177" s="7">
        <v>1603</v>
      </c>
      <c r="K177" s="7">
        <v>1200</v>
      </c>
      <c r="L177" s="7">
        <v>2600</v>
      </c>
      <c r="M177" s="7">
        <v>2405</v>
      </c>
      <c r="N177" s="7">
        <v>2646</v>
      </c>
      <c r="O177" s="7">
        <v>2108</v>
      </c>
      <c r="P177" s="7">
        <v>4117</v>
      </c>
      <c r="Q177" s="7">
        <v>1848</v>
      </c>
      <c r="R177" s="7">
        <v>3287</v>
      </c>
      <c r="S177" s="7">
        <v>3341</v>
      </c>
      <c r="T177" s="7">
        <v>3427</v>
      </c>
      <c r="U177" s="7">
        <v>1695</v>
      </c>
      <c r="V177" s="7">
        <v>3235</v>
      </c>
      <c r="W177" s="24">
        <f t="shared" si="12"/>
        <v>2594.866666666667</v>
      </c>
      <c r="X177" s="25">
        <f t="shared" si="13"/>
        <v>869.3840895933715</v>
      </c>
      <c r="Y177" s="25"/>
      <c r="Z177" s="26"/>
      <c r="AA177" s="7">
        <v>2236</v>
      </c>
      <c r="AB177" s="7">
        <v>1064</v>
      </c>
      <c r="AC177" s="7">
        <v>2336</v>
      </c>
      <c r="AD177" s="7">
        <v>1632</v>
      </c>
      <c r="AE177" s="7">
        <v>1635</v>
      </c>
      <c r="AF177" s="7">
        <v>4135</v>
      </c>
      <c r="AG177" s="7">
        <v>1615</v>
      </c>
      <c r="AH177" s="7">
        <v>3423</v>
      </c>
      <c r="AI177" s="7">
        <v>2705</v>
      </c>
      <c r="AJ177" s="7">
        <v>2870</v>
      </c>
      <c r="AK177" s="7">
        <v>2849</v>
      </c>
      <c r="AL177" s="7">
        <v>2952</v>
      </c>
      <c r="AM177" s="30">
        <f t="shared" si="14"/>
        <v>2454.3333333333335</v>
      </c>
      <c r="AN177" s="30">
        <f t="shared" si="15"/>
        <v>876.3934705094028</v>
      </c>
      <c r="AO177" s="30"/>
      <c r="AP177" s="29">
        <f t="shared" si="16"/>
        <v>0.9458417902011664</v>
      </c>
      <c r="AQ177" s="31">
        <f t="shared" si="17"/>
        <v>0.6810374504810768</v>
      </c>
      <c r="AR177" s="21" t="s">
        <v>398</v>
      </c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DM177" s="16"/>
      <c r="DN177" s="16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3"/>
      <c r="FW177" s="11"/>
    </row>
    <row r="178" spans="1:179" ht="18.75">
      <c r="A178" s="1" t="s">
        <v>1006</v>
      </c>
      <c r="B178" s="2" t="s">
        <v>1007</v>
      </c>
      <c r="C178" s="2" t="s">
        <v>1008</v>
      </c>
      <c r="D178" s="2" t="str">
        <f>HYPERLINK("http://eros.fiehnlab.ucdavis.edu:8080/binbase-compound/bin/show/204425?db=rtx5","204425")</f>
        <v>204425</v>
      </c>
      <c r="E178" s="2" t="s">
        <v>12</v>
      </c>
      <c r="F178" s="2" t="s">
        <v>83</v>
      </c>
      <c r="G178" s="2" t="s">
        <v>83</v>
      </c>
      <c r="H178" s="7">
        <v>481</v>
      </c>
      <c r="I178" s="7">
        <v>400</v>
      </c>
      <c r="J178" s="7">
        <v>1245</v>
      </c>
      <c r="K178" s="7">
        <v>713</v>
      </c>
      <c r="L178" s="7">
        <v>482</v>
      </c>
      <c r="M178" s="7">
        <v>420</v>
      </c>
      <c r="N178" s="7">
        <v>760</v>
      </c>
      <c r="O178" s="7">
        <v>573</v>
      </c>
      <c r="P178" s="7">
        <v>483</v>
      </c>
      <c r="Q178" s="7">
        <v>405</v>
      </c>
      <c r="R178" s="7">
        <v>650</v>
      </c>
      <c r="S178" s="7">
        <v>847</v>
      </c>
      <c r="T178" s="7">
        <v>601</v>
      </c>
      <c r="U178" s="7">
        <v>524</v>
      </c>
      <c r="V178" s="7">
        <v>1135</v>
      </c>
      <c r="W178" s="24">
        <f t="shared" si="12"/>
        <v>647.9333333333333</v>
      </c>
      <c r="X178" s="25">
        <f t="shared" si="13"/>
        <v>257.5112942506924</v>
      </c>
      <c r="Y178" s="25"/>
      <c r="Z178" s="26"/>
      <c r="AA178" s="7">
        <v>356</v>
      </c>
      <c r="AB178" s="7">
        <v>701</v>
      </c>
      <c r="AC178" s="7">
        <v>297</v>
      </c>
      <c r="AD178" s="7">
        <v>475</v>
      </c>
      <c r="AE178" s="7">
        <v>600</v>
      </c>
      <c r="AF178" s="7">
        <v>1098</v>
      </c>
      <c r="AG178" s="7">
        <v>633</v>
      </c>
      <c r="AH178" s="7">
        <v>673</v>
      </c>
      <c r="AI178" s="7">
        <v>492</v>
      </c>
      <c r="AJ178" s="7">
        <v>495</v>
      </c>
      <c r="AK178" s="7">
        <v>326</v>
      </c>
      <c r="AL178" s="7">
        <v>1218</v>
      </c>
      <c r="AM178" s="30">
        <f t="shared" si="14"/>
        <v>613.6666666666666</v>
      </c>
      <c r="AN178" s="30">
        <f t="shared" si="15"/>
        <v>287.47184315348284</v>
      </c>
      <c r="AO178" s="30"/>
      <c r="AP178" s="29">
        <f t="shared" si="16"/>
        <v>0.9471139006070584</v>
      </c>
      <c r="AQ178" s="31">
        <f t="shared" si="17"/>
        <v>0.7468704940378439</v>
      </c>
      <c r="AR178" s="21" t="s">
        <v>1006</v>
      </c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DM178" s="16"/>
      <c r="DN178" s="16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3"/>
      <c r="FW178" s="11"/>
    </row>
    <row r="179" spans="1:179" ht="18.75">
      <c r="A179" s="1" t="s">
        <v>735</v>
      </c>
      <c r="B179" s="2" t="s">
        <v>736</v>
      </c>
      <c r="C179" s="2" t="s">
        <v>494</v>
      </c>
      <c r="D179" s="2" t="str">
        <f>HYPERLINK("http://eros.fiehnlab.ucdavis.edu:8080/binbase-compound/bin/show/319168?db=rtx5","319168")</f>
        <v>319168</v>
      </c>
      <c r="E179" s="2" t="s">
        <v>65</v>
      </c>
      <c r="F179" s="2" t="s">
        <v>83</v>
      </c>
      <c r="G179" s="2" t="s">
        <v>83</v>
      </c>
      <c r="H179" s="7">
        <v>4277</v>
      </c>
      <c r="I179" s="7">
        <v>2079</v>
      </c>
      <c r="J179" s="7">
        <v>14537</v>
      </c>
      <c r="K179" s="7">
        <v>6054</v>
      </c>
      <c r="L179" s="7">
        <v>10469</v>
      </c>
      <c r="M179" s="7">
        <v>10251</v>
      </c>
      <c r="N179" s="7">
        <v>20272</v>
      </c>
      <c r="O179" s="7">
        <v>4819</v>
      </c>
      <c r="P179" s="7">
        <v>2963</v>
      </c>
      <c r="Q179" s="7">
        <v>6979</v>
      </c>
      <c r="R179" s="7">
        <v>14219</v>
      </c>
      <c r="S179" s="7">
        <v>2968</v>
      </c>
      <c r="T179" s="7">
        <v>3481</v>
      </c>
      <c r="U179" s="7">
        <v>12738</v>
      </c>
      <c r="V179" s="7">
        <v>17145</v>
      </c>
      <c r="W179" s="24">
        <f t="shared" si="12"/>
        <v>8883.4</v>
      </c>
      <c r="X179" s="25">
        <f t="shared" si="13"/>
        <v>5809.64624937329</v>
      </c>
      <c r="Y179" s="25"/>
      <c r="Z179" s="26"/>
      <c r="AA179" s="7">
        <v>3297</v>
      </c>
      <c r="AB179" s="7">
        <v>6791</v>
      </c>
      <c r="AC179" s="7">
        <v>5011</v>
      </c>
      <c r="AD179" s="7">
        <v>24577</v>
      </c>
      <c r="AE179" s="7">
        <v>7687</v>
      </c>
      <c r="AF179" s="7">
        <v>2262</v>
      </c>
      <c r="AG179" s="7">
        <v>2666</v>
      </c>
      <c r="AH179" s="7">
        <v>2345</v>
      </c>
      <c r="AI179" s="7">
        <v>11249</v>
      </c>
      <c r="AJ179" s="7">
        <v>25584</v>
      </c>
      <c r="AK179" s="7">
        <v>3427</v>
      </c>
      <c r="AL179" s="7">
        <v>6132</v>
      </c>
      <c r="AM179" s="30">
        <f t="shared" si="14"/>
        <v>8419</v>
      </c>
      <c r="AN179" s="30">
        <f t="shared" si="15"/>
        <v>8217.565509875227</v>
      </c>
      <c r="AO179" s="30"/>
      <c r="AP179" s="29">
        <f t="shared" si="16"/>
        <v>0.947722718778846</v>
      </c>
      <c r="AQ179" s="31">
        <f t="shared" si="17"/>
        <v>0.8648410204522676</v>
      </c>
      <c r="AR179" s="21" t="s">
        <v>735</v>
      </c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DM179" s="16"/>
      <c r="DN179" s="16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3"/>
      <c r="FW179" s="11"/>
    </row>
    <row r="180" spans="1:179" ht="18.75">
      <c r="A180" s="1" t="s">
        <v>1084</v>
      </c>
      <c r="B180" s="2" t="s">
        <v>449</v>
      </c>
      <c r="C180" s="2" t="s">
        <v>251</v>
      </c>
      <c r="D180" s="2" t="str">
        <f>HYPERLINK("http://eros.fiehnlab.ucdavis.edu:8080/binbase-compound/bin/show/200857?db=rtx5","200857")</f>
        <v>200857</v>
      </c>
      <c r="E180" s="2" t="s">
        <v>86</v>
      </c>
      <c r="F180" s="2" t="str">
        <f>HYPERLINK("http://www.genome.ad.jp/dbget-bin/www_bget?compound+C00031","C00031")</f>
        <v>C00031</v>
      </c>
      <c r="G180" s="2" t="str">
        <f>HYPERLINK("http://pubchem.ncbi.nlm.nih.gov/summary/summary.cgi?cid=107526","107526")</f>
        <v>107526</v>
      </c>
      <c r="H180" s="7">
        <v>863681</v>
      </c>
      <c r="I180" s="7">
        <v>859238</v>
      </c>
      <c r="J180" s="7">
        <v>613950</v>
      </c>
      <c r="K180" s="7">
        <v>774226</v>
      </c>
      <c r="L180" s="7">
        <v>889024</v>
      </c>
      <c r="M180" s="7">
        <v>861106</v>
      </c>
      <c r="N180" s="7">
        <v>770472</v>
      </c>
      <c r="O180" s="7">
        <v>779135</v>
      </c>
      <c r="P180" s="7">
        <v>948511</v>
      </c>
      <c r="Q180" s="7">
        <v>783305</v>
      </c>
      <c r="R180" s="7">
        <v>911516</v>
      </c>
      <c r="S180" s="7">
        <v>764270</v>
      </c>
      <c r="T180" s="7">
        <v>806175</v>
      </c>
      <c r="U180" s="7">
        <v>630508</v>
      </c>
      <c r="V180" s="7">
        <v>1082447</v>
      </c>
      <c r="W180" s="24">
        <f t="shared" si="12"/>
        <v>822504.2666666667</v>
      </c>
      <c r="X180" s="25">
        <f t="shared" si="13"/>
        <v>117352.28293139227</v>
      </c>
      <c r="Y180" s="25"/>
      <c r="Z180" s="26"/>
      <c r="AA180" s="7">
        <v>758900</v>
      </c>
      <c r="AB180" s="7">
        <v>689359</v>
      </c>
      <c r="AC180" s="7">
        <v>733451</v>
      </c>
      <c r="AD180" s="7">
        <v>665414</v>
      </c>
      <c r="AE180" s="7">
        <v>739937</v>
      </c>
      <c r="AF180" s="7">
        <v>953530</v>
      </c>
      <c r="AG180" s="7">
        <v>827546</v>
      </c>
      <c r="AH180" s="7">
        <v>815261</v>
      </c>
      <c r="AI180" s="7">
        <v>787834</v>
      </c>
      <c r="AJ180" s="7">
        <v>837755</v>
      </c>
      <c r="AK180" s="7">
        <v>745252</v>
      </c>
      <c r="AL180" s="7">
        <v>807193</v>
      </c>
      <c r="AM180" s="30">
        <f t="shared" si="14"/>
        <v>780119.3333333334</v>
      </c>
      <c r="AN180" s="30">
        <f t="shared" si="15"/>
        <v>76588.1252560893</v>
      </c>
      <c r="AO180" s="30"/>
      <c r="AP180" s="29">
        <f t="shared" si="16"/>
        <v>0.9484684334768192</v>
      </c>
      <c r="AQ180" s="31">
        <f t="shared" si="17"/>
        <v>0.29102592789239984</v>
      </c>
      <c r="AR180" s="21" t="s">
        <v>1084</v>
      </c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DM180" s="16"/>
      <c r="DN180" s="16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3"/>
      <c r="FW180" s="11"/>
    </row>
    <row r="181" spans="1:179" ht="18.75">
      <c r="A181" s="1" t="s">
        <v>760</v>
      </c>
      <c r="B181" s="2" t="s">
        <v>761</v>
      </c>
      <c r="C181" s="2" t="s">
        <v>558</v>
      </c>
      <c r="D181" s="2" t="str">
        <f>HYPERLINK("http://eros.fiehnlab.ucdavis.edu:8080/binbase-compound/bin/show/218773?db=rtx5","218773")</f>
        <v>218773</v>
      </c>
      <c r="E181" s="2" t="s">
        <v>167</v>
      </c>
      <c r="F181" s="2" t="str">
        <f>HYPERLINK("http://www.genome.ad.jp/dbget-bin/www_bget?compound+n/a","n/a")</f>
        <v>n/a</v>
      </c>
      <c r="G181" s="2" t="str">
        <f>HYPERLINK("http://pubchem.ncbi.nlm.nih.gov/summary/summary.cgi?cid=98009","98009")</f>
        <v>98009</v>
      </c>
      <c r="H181" s="7">
        <v>4047</v>
      </c>
      <c r="I181" s="7">
        <v>3836</v>
      </c>
      <c r="J181" s="7">
        <v>4720</v>
      </c>
      <c r="K181" s="7">
        <v>3753</v>
      </c>
      <c r="L181" s="7">
        <v>4104</v>
      </c>
      <c r="M181" s="7">
        <v>3757</v>
      </c>
      <c r="N181" s="7">
        <v>4134</v>
      </c>
      <c r="O181" s="7">
        <v>3483</v>
      </c>
      <c r="P181" s="7">
        <v>3838</v>
      </c>
      <c r="Q181" s="7">
        <v>4087</v>
      </c>
      <c r="R181" s="7">
        <v>5586</v>
      </c>
      <c r="S181" s="7">
        <v>2627</v>
      </c>
      <c r="T181" s="7">
        <v>4038</v>
      </c>
      <c r="U181" s="7">
        <v>3838</v>
      </c>
      <c r="V181" s="7">
        <v>5861</v>
      </c>
      <c r="W181" s="24">
        <f t="shared" si="12"/>
        <v>4113.933333333333</v>
      </c>
      <c r="X181" s="25">
        <f t="shared" si="13"/>
        <v>788.0472671344629</v>
      </c>
      <c r="Y181" s="25"/>
      <c r="Z181" s="26"/>
      <c r="AA181" s="7">
        <v>4065</v>
      </c>
      <c r="AB181" s="7">
        <v>4149</v>
      </c>
      <c r="AC181" s="7">
        <v>4719</v>
      </c>
      <c r="AD181" s="7">
        <v>4436</v>
      </c>
      <c r="AE181" s="7">
        <v>4528</v>
      </c>
      <c r="AF181" s="7">
        <v>4000</v>
      </c>
      <c r="AG181" s="7">
        <v>3049</v>
      </c>
      <c r="AH181" s="7">
        <v>4384</v>
      </c>
      <c r="AI181" s="7">
        <v>2720</v>
      </c>
      <c r="AJ181" s="7">
        <v>3976</v>
      </c>
      <c r="AK181" s="7">
        <v>4054</v>
      </c>
      <c r="AL181" s="7">
        <v>2791</v>
      </c>
      <c r="AM181" s="30">
        <f t="shared" si="14"/>
        <v>3905.9166666666665</v>
      </c>
      <c r="AN181" s="30">
        <f t="shared" si="15"/>
        <v>678.3319726737892</v>
      </c>
      <c r="AO181" s="30"/>
      <c r="AP181" s="29">
        <f t="shared" si="16"/>
        <v>0.9494360628109352</v>
      </c>
      <c r="AQ181" s="31">
        <f t="shared" si="17"/>
        <v>0.4757444932408753</v>
      </c>
      <c r="AR181" s="21" t="s">
        <v>760</v>
      </c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DM181" s="16"/>
      <c r="DN181" s="16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3"/>
      <c r="FW181" s="11"/>
    </row>
    <row r="182" spans="1:179" ht="18.75">
      <c r="A182" s="1" t="s">
        <v>1033</v>
      </c>
      <c r="B182" s="2" t="s">
        <v>1034</v>
      </c>
      <c r="C182" s="2" t="s">
        <v>355</v>
      </c>
      <c r="D182" s="2" t="str">
        <f>HYPERLINK("http://eros.fiehnlab.ucdavis.edu:8080/binbase-compound/bin/show/199794?db=rtx5","199794")</f>
        <v>199794</v>
      </c>
      <c r="E182" s="2" t="s">
        <v>645</v>
      </c>
      <c r="F182" s="2" t="s">
        <v>83</v>
      </c>
      <c r="G182" s="2" t="s">
        <v>83</v>
      </c>
      <c r="H182" s="7">
        <v>15084</v>
      </c>
      <c r="I182" s="7">
        <v>12863</v>
      </c>
      <c r="J182" s="7">
        <v>5131</v>
      </c>
      <c r="K182" s="7">
        <v>8397</v>
      </c>
      <c r="L182" s="7">
        <v>10672</v>
      </c>
      <c r="M182" s="7">
        <v>12317</v>
      </c>
      <c r="N182" s="7">
        <v>9388</v>
      </c>
      <c r="O182" s="7">
        <v>12906</v>
      </c>
      <c r="P182" s="7">
        <v>14183</v>
      </c>
      <c r="Q182" s="7">
        <v>10914</v>
      </c>
      <c r="R182" s="7">
        <v>11395</v>
      </c>
      <c r="S182" s="7">
        <v>9619</v>
      </c>
      <c r="T182" s="7">
        <v>11735</v>
      </c>
      <c r="U182" s="7">
        <v>6586</v>
      </c>
      <c r="V182" s="7">
        <v>11539</v>
      </c>
      <c r="W182" s="24">
        <f t="shared" si="12"/>
        <v>10848.6</v>
      </c>
      <c r="X182" s="25">
        <f t="shared" si="13"/>
        <v>2694.1263041767616</v>
      </c>
      <c r="Y182" s="25"/>
      <c r="Z182" s="26"/>
      <c r="AA182" s="7">
        <v>10698</v>
      </c>
      <c r="AB182" s="7">
        <v>8230</v>
      </c>
      <c r="AC182" s="7">
        <v>10230</v>
      </c>
      <c r="AD182" s="7">
        <v>6813</v>
      </c>
      <c r="AE182" s="7">
        <v>8929</v>
      </c>
      <c r="AF182" s="7">
        <v>14377</v>
      </c>
      <c r="AG182" s="7">
        <v>12528</v>
      </c>
      <c r="AH182" s="7">
        <v>12228</v>
      </c>
      <c r="AI182" s="7">
        <v>9925</v>
      </c>
      <c r="AJ182" s="7">
        <v>8323</v>
      </c>
      <c r="AK182" s="7">
        <v>11001</v>
      </c>
      <c r="AL182" s="7">
        <v>10730</v>
      </c>
      <c r="AM182" s="30">
        <f t="shared" si="14"/>
        <v>10334.333333333334</v>
      </c>
      <c r="AN182" s="30">
        <f t="shared" si="15"/>
        <v>2099.8142919329957</v>
      </c>
      <c r="AO182" s="30"/>
      <c r="AP182" s="29">
        <f t="shared" si="16"/>
        <v>0.9525960338968469</v>
      </c>
      <c r="AQ182" s="31">
        <f t="shared" si="17"/>
        <v>0.5927041033125684</v>
      </c>
      <c r="AR182" s="21" t="s">
        <v>1033</v>
      </c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DM182" s="16"/>
      <c r="DN182" s="16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3"/>
      <c r="FW182" s="11"/>
    </row>
    <row r="183" spans="1:179" ht="18.75">
      <c r="A183" s="1" t="s">
        <v>762</v>
      </c>
      <c r="B183" s="2" t="s">
        <v>763</v>
      </c>
      <c r="C183" s="2" t="s">
        <v>310</v>
      </c>
      <c r="D183" s="2" t="str">
        <f>HYPERLINK("http://eros.fiehnlab.ucdavis.edu:8080/binbase-compound/bin/show/374016?db=rtx5","374016")</f>
        <v>374016</v>
      </c>
      <c r="E183" s="2" t="s">
        <v>601</v>
      </c>
      <c r="F183" s="2" t="str">
        <f>HYPERLINK("http://www.genome.ad.jp/dbget-bin/www_bget?compound+C02630","C02630")</f>
        <v>C02630</v>
      </c>
      <c r="G183" s="2" t="str">
        <f>HYPERLINK("http://pubchem.ncbi.nlm.nih.gov/summary/summary.cgi?cid=43","43")</f>
        <v>43</v>
      </c>
      <c r="H183" s="7">
        <v>1224</v>
      </c>
      <c r="I183" s="7">
        <v>730</v>
      </c>
      <c r="J183" s="7">
        <v>1820</v>
      </c>
      <c r="K183" s="7">
        <v>828</v>
      </c>
      <c r="L183" s="7">
        <v>839</v>
      </c>
      <c r="M183" s="7">
        <v>688</v>
      </c>
      <c r="N183" s="7">
        <v>561</v>
      </c>
      <c r="O183" s="7">
        <v>792</v>
      </c>
      <c r="P183" s="7">
        <v>559</v>
      </c>
      <c r="Q183" s="7">
        <v>595</v>
      </c>
      <c r="R183" s="7">
        <v>949</v>
      </c>
      <c r="S183" s="7">
        <v>688</v>
      </c>
      <c r="T183" s="7">
        <v>601</v>
      </c>
      <c r="U183" s="7">
        <v>703</v>
      </c>
      <c r="V183" s="7">
        <v>948</v>
      </c>
      <c r="W183" s="24">
        <f t="shared" si="12"/>
        <v>835</v>
      </c>
      <c r="X183" s="25">
        <f t="shared" si="13"/>
        <v>325.6312550811336</v>
      </c>
      <c r="Y183" s="25"/>
      <c r="Z183" s="26"/>
      <c r="AA183" s="7">
        <v>1075</v>
      </c>
      <c r="AB183" s="7">
        <v>753</v>
      </c>
      <c r="AC183" s="7">
        <v>624</v>
      </c>
      <c r="AD183" s="7">
        <v>519</v>
      </c>
      <c r="AE183" s="7">
        <v>837</v>
      </c>
      <c r="AF183" s="7">
        <v>1058</v>
      </c>
      <c r="AG183" s="7">
        <v>928</v>
      </c>
      <c r="AH183" s="7">
        <v>902</v>
      </c>
      <c r="AI183" s="7">
        <v>822</v>
      </c>
      <c r="AJ183" s="7">
        <v>560</v>
      </c>
      <c r="AK183" s="7">
        <v>733</v>
      </c>
      <c r="AL183" s="7">
        <v>740</v>
      </c>
      <c r="AM183" s="30">
        <f t="shared" si="14"/>
        <v>795.9166666666666</v>
      </c>
      <c r="AN183" s="30">
        <f t="shared" si="15"/>
        <v>177.98491168601572</v>
      </c>
      <c r="AO183" s="30"/>
      <c r="AP183" s="29">
        <f t="shared" si="16"/>
        <v>0.953193612774451</v>
      </c>
      <c r="AQ183" s="31">
        <f t="shared" si="17"/>
        <v>0.712525842441786</v>
      </c>
      <c r="AR183" s="21" t="s">
        <v>762</v>
      </c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DM183" s="16"/>
      <c r="DN183" s="16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3"/>
      <c r="FW183" s="11"/>
    </row>
    <row r="184" spans="1:179" ht="18.75">
      <c r="A184" s="1" t="s">
        <v>837</v>
      </c>
      <c r="B184" s="2" t="s">
        <v>838</v>
      </c>
      <c r="C184" s="2" t="s">
        <v>839</v>
      </c>
      <c r="D184" s="2" t="str">
        <f>HYPERLINK("http://eros.fiehnlab.ucdavis.edu:8080/binbase-compound/bin/show/268313?db=rtx5","268313")</f>
        <v>268313</v>
      </c>
      <c r="E184" s="2" t="s">
        <v>659</v>
      </c>
      <c r="F184" s="2" t="s">
        <v>83</v>
      </c>
      <c r="G184" s="2" t="s">
        <v>83</v>
      </c>
      <c r="H184" s="7">
        <v>4910</v>
      </c>
      <c r="I184" s="7">
        <v>6242</v>
      </c>
      <c r="J184" s="7">
        <v>18214</v>
      </c>
      <c r="K184" s="7">
        <v>6258</v>
      </c>
      <c r="L184" s="7">
        <v>5062</v>
      </c>
      <c r="M184" s="7">
        <v>4155</v>
      </c>
      <c r="N184" s="7">
        <v>5456</v>
      </c>
      <c r="O184" s="7">
        <v>4382</v>
      </c>
      <c r="P184" s="7">
        <v>5804</v>
      </c>
      <c r="Q184" s="7">
        <v>5569</v>
      </c>
      <c r="R184" s="7">
        <v>6270</v>
      </c>
      <c r="S184" s="7">
        <v>5175</v>
      </c>
      <c r="T184" s="7">
        <v>5616</v>
      </c>
      <c r="U184" s="7">
        <v>7288</v>
      </c>
      <c r="V184" s="7">
        <v>9306</v>
      </c>
      <c r="W184" s="24">
        <f t="shared" si="12"/>
        <v>6647.133333333333</v>
      </c>
      <c r="X184" s="25">
        <f t="shared" si="13"/>
        <v>3434.330541265163</v>
      </c>
      <c r="Y184" s="25"/>
      <c r="Z184" s="26"/>
      <c r="AA184" s="7">
        <v>7276</v>
      </c>
      <c r="AB184" s="7">
        <v>6622</v>
      </c>
      <c r="AC184" s="7">
        <v>6116</v>
      </c>
      <c r="AD184" s="7">
        <v>5950</v>
      </c>
      <c r="AE184" s="7">
        <v>7002</v>
      </c>
      <c r="AF184" s="7">
        <v>6800</v>
      </c>
      <c r="AG184" s="7">
        <v>5468</v>
      </c>
      <c r="AH184" s="7">
        <v>5483</v>
      </c>
      <c r="AI184" s="7">
        <v>6008</v>
      </c>
      <c r="AJ184" s="7">
        <v>6639</v>
      </c>
      <c r="AK184" s="7">
        <v>7110</v>
      </c>
      <c r="AL184" s="7">
        <v>5614</v>
      </c>
      <c r="AM184" s="30">
        <f t="shared" si="14"/>
        <v>6340.666666666667</v>
      </c>
      <c r="AN184" s="30">
        <f t="shared" si="15"/>
        <v>648.2261576912425</v>
      </c>
      <c r="AO184" s="30"/>
      <c r="AP184" s="29">
        <f t="shared" si="16"/>
        <v>0.9538949120924309</v>
      </c>
      <c r="AQ184" s="31">
        <f t="shared" si="17"/>
        <v>0.7638897849190075</v>
      </c>
      <c r="AR184" s="21" t="s">
        <v>837</v>
      </c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DM184" s="16"/>
      <c r="DN184" s="16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3"/>
      <c r="FW184" s="11"/>
    </row>
    <row r="185" spans="1:179" ht="18.75">
      <c r="A185" s="1" t="s">
        <v>1043</v>
      </c>
      <c r="B185" s="2" t="s">
        <v>1044</v>
      </c>
      <c r="C185" s="2" t="s">
        <v>900</v>
      </c>
      <c r="D185" s="2" t="str">
        <f>HYPERLINK("http://eros.fiehnlab.ucdavis.edu:8080/binbase-compound/bin/show/199239?db=rtx5","199239")</f>
        <v>199239</v>
      </c>
      <c r="E185" s="2" t="s">
        <v>662</v>
      </c>
      <c r="F185" s="2" t="s">
        <v>83</v>
      </c>
      <c r="G185" s="2" t="s">
        <v>83</v>
      </c>
      <c r="H185" s="7">
        <v>9024</v>
      </c>
      <c r="I185" s="7">
        <v>13127</v>
      </c>
      <c r="J185" s="7">
        <v>6696</v>
      </c>
      <c r="K185" s="7">
        <v>6946</v>
      </c>
      <c r="L185" s="7">
        <v>6065</v>
      </c>
      <c r="M185" s="7">
        <v>6580</v>
      </c>
      <c r="N185" s="7">
        <v>4832</v>
      </c>
      <c r="O185" s="7">
        <v>7193</v>
      </c>
      <c r="P185" s="7">
        <v>7162</v>
      </c>
      <c r="Q185" s="7">
        <v>5452</v>
      </c>
      <c r="R185" s="7">
        <v>9094</v>
      </c>
      <c r="S185" s="7">
        <v>11351</v>
      </c>
      <c r="T185" s="7">
        <v>13071</v>
      </c>
      <c r="U185" s="7">
        <v>10612</v>
      </c>
      <c r="V185" s="7">
        <v>9382</v>
      </c>
      <c r="W185" s="24">
        <f t="shared" si="12"/>
        <v>8439.133333333333</v>
      </c>
      <c r="X185" s="25">
        <f t="shared" si="13"/>
        <v>2642.640153511708</v>
      </c>
      <c r="Y185" s="25"/>
      <c r="Z185" s="26"/>
      <c r="AA185" s="7">
        <v>10192</v>
      </c>
      <c r="AB185" s="7">
        <v>5156</v>
      </c>
      <c r="AC185" s="7">
        <v>5281</v>
      </c>
      <c r="AD185" s="7">
        <v>5015</v>
      </c>
      <c r="AE185" s="7">
        <v>8275</v>
      </c>
      <c r="AF185" s="7">
        <v>6476</v>
      </c>
      <c r="AG185" s="7">
        <v>11056</v>
      </c>
      <c r="AH185" s="7">
        <v>11471</v>
      </c>
      <c r="AI185" s="7">
        <v>6427</v>
      </c>
      <c r="AJ185" s="7">
        <v>8888</v>
      </c>
      <c r="AK185" s="7">
        <v>9347</v>
      </c>
      <c r="AL185" s="7">
        <v>9024</v>
      </c>
      <c r="AM185" s="30">
        <f t="shared" si="14"/>
        <v>8050.666666666667</v>
      </c>
      <c r="AN185" s="30">
        <f t="shared" si="15"/>
        <v>2317.4558280906913</v>
      </c>
      <c r="AO185" s="30"/>
      <c r="AP185" s="29">
        <f t="shared" si="16"/>
        <v>0.9539684169780468</v>
      </c>
      <c r="AQ185" s="31">
        <f t="shared" si="17"/>
        <v>0.6922315628544871</v>
      </c>
      <c r="AR185" s="21" t="s">
        <v>1043</v>
      </c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DM185" s="16"/>
      <c r="DN185" s="16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3"/>
      <c r="FW185" s="11"/>
    </row>
    <row r="186" spans="1:179" ht="18.75">
      <c r="A186" s="1" t="s">
        <v>364</v>
      </c>
      <c r="B186" s="2" t="s">
        <v>365</v>
      </c>
      <c r="C186" s="2" t="s">
        <v>366</v>
      </c>
      <c r="D186" s="2" t="str">
        <f>HYPERLINK("http://eros.fiehnlab.ucdavis.edu:8080/binbase-compound/bin/show/199240?db=rtx5","199240")</f>
        <v>199240</v>
      </c>
      <c r="E186" s="2" t="s">
        <v>165</v>
      </c>
      <c r="F186" s="2" t="str">
        <f>HYPERLINK("http://www.genome.ad.jp/dbget-bin/www_bget?compound+C01595","C01595")</f>
        <v>C01595</v>
      </c>
      <c r="G186" s="2" t="str">
        <f>HYPERLINK("http://pubchem.ncbi.nlm.nih.gov/summary/summary.cgi?cid=5280450","5280450")</f>
        <v>5280450</v>
      </c>
      <c r="H186" s="7">
        <v>8751</v>
      </c>
      <c r="I186" s="7">
        <v>4420</v>
      </c>
      <c r="J186" s="7">
        <v>2318</v>
      </c>
      <c r="K186" s="7">
        <v>4030</v>
      </c>
      <c r="L186" s="7">
        <v>7605</v>
      </c>
      <c r="M186" s="7">
        <v>5153</v>
      </c>
      <c r="N186" s="7">
        <v>4808</v>
      </c>
      <c r="O186" s="7">
        <v>3350</v>
      </c>
      <c r="P186" s="7">
        <v>3592</v>
      </c>
      <c r="Q186" s="7">
        <v>2787</v>
      </c>
      <c r="R186" s="7">
        <v>6061</v>
      </c>
      <c r="S186" s="7">
        <v>6605</v>
      </c>
      <c r="T186" s="7">
        <v>3701</v>
      </c>
      <c r="U186" s="7">
        <v>4919</v>
      </c>
      <c r="V186" s="7">
        <v>4063</v>
      </c>
      <c r="W186" s="24">
        <f t="shared" si="12"/>
        <v>4810.866666666667</v>
      </c>
      <c r="X186" s="25">
        <f t="shared" si="13"/>
        <v>1787.3796010068033</v>
      </c>
      <c r="Y186" s="25"/>
      <c r="Z186" s="26"/>
      <c r="AA186" s="7">
        <v>2981</v>
      </c>
      <c r="AB186" s="7">
        <v>4669</v>
      </c>
      <c r="AC186" s="7">
        <v>6578</v>
      </c>
      <c r="AD186" s="7">
        <v>4510</v>
      </c>
      <c r="AE186" s="7">
        <v>3927</v>
      </c>
      <c r="AF186" s="7">
        <v>5468</v>
      </c>
      <c r="AG186" s="7">
        <v>5906</v>
      </c>
      <c r="AH186" s="7">
        <v>7255</v>
      </c>
      <c r="AI186" s="7">
        <v>3546</v>
      </c>
      <c r="AJ186" s="7">
        <v>2088</v>
      </c>
      <c r="AK186" s="7">
        <v>5962</v>
      </c>
      <c r="AL186" s="7">
        <v>2195</v>
      </c>
      <c r="AM186" s="30">
        <f t="shared" si="14"/>
        <v>4590.416666666667</v>
      </c>
      <c r="AN186" s="30">
        <f t="shared" si="15"/>
        <v>1694.0147825014199</v>
      </c>
      <c r="AO186" s="30"/>
      <c r="AP186" s="29">
        <f t="shared" si="16"/>
        <v>0.9541766556268448</v>
      </c>
      <c r="AQ186" s="31">
        <f t="shared" si="17"/>
        <v>0.747263561639739</v>
      </c>
      <c r="AR186" s="21" t="s">
        <v>364</v>
      </c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DM186" s="16"/>
      <c r="DN186" s="16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3"/>
      <c r="FW186" s="11"/>
    </row>
    <row r="187" spans="1:179" ht="18.75">
      <c r="A187" s="1" t="s">
        <v>308</v>
      </c>
      <c r="B187" s="2" t="s">
        <v>309</v>
      </c>
      <c r="C187" s="2" t="s">
        <v>310</v>
      </c>
      <c r="D187" s="2" t="str">
        <f>HYPERLINK("http://eros.fiehnlab.ucdavis.edu:8080/binbase-compound/bin/show/241426?db=rtx5","241426")</f>
        <v>241426</v>
      </c>
      <c r="E187" s="2" t="s">
        <v>1139</v>
      </c>
      <c r="F187" s="2" t="str">
        <f>HYPERLINK("http://www.genome.ad.jp/dbget-bin/www_bget?compound+C08362","C08362")</f>
        <v>C08362</v>
      </c>
      <c r="G187" s="2" t="str">
        <f>HYPERLINK("http://pubchem.ncbi.nlm.nih.gov/summary/summary.cgi?cid=445638","445638")</f>
        <v>445638</v>
      </c>
      <c r="H187" s="7">
        <v>16170</v>
      </c>
      <c r="I187" s="7">
        <v>9947</v>
      </c>
      <c r="J187" s="7">
        <v>4846</v>
      </c>
      <c r="K187" s="7">
        <v>4198</v>
      </c>
      <c r="L187" s="7">
        <v>12119</v>
      </c>
      <c r="M187" s="7">
        <v>11871</v>
      </c>
      <c r="N187" s="7">
        <v>10486</v>
      </c>
      <c r="O187" s="7">
        <v>7913</v>
      </c>
      <c r="P187" s="7">
        <v>8374</v>
      </c>
      <c r="Q187" s="7">
        <v>6454</v>
      </c>
      <c r="R187" s="7">
        <v>10835</v>
      </c>
      <c r="S187" s="7">
        <v>13341</v>
      </c>
      <c r="T187" s="7">
        <v>10253</v>
      </c>
      <c r="U187" s="7">
        <v>10486</v>
      </c>
      <c r="V187" s="7">
        <v>12454</v>
      </c>
      <c r="W187" s="24">
        <f t="shared" si="12"/>
        <v>9983.133333333333</v>
      </c>
      <c r="X187" s="25">
        <f t="shared" si="13"/>
        <v>3210.21525461337</v>
      </c>
      <c r="Y187" s="25"/>
      <c r="Z187" s="26"/>
      <c r="AA187" s="7">
        <v>5541</v>
      </c>
      <c r="AB187" s="7">
        <v>4129</v>
      </c>
      <c r="AC187" s="7">
        <v>15215</v>
      </c>
      <c r="AD187" s="7">
        <v>12291</v>
      </c>
      <c r="AE187" s="7">
        <v>7619</v>
      </c>
      <c r="AF187" s="7">
        <v>15417</v>
      </c>
      <c r="AG187" s="7">
        <v>14058</v>
      </c>
      <c r="AH187" s="7">
        <v>12653</v>
      </c>
      <c r="AI187" s="7">
        <v>7373</v>
      </c>
      <c r="AJ187" s="7">
        <v>6048</v>
      </c>
      <c r="AK187" s="7">
        <v>10277</v>
      </c>
      <c r="AL187" s="7">
        <v>4149</v>
      </c>
      <c r="AM187" s="30">
        <f t="shared" si="14"/>
        <v>9564.166666666666</v>
      </c>
      <c r="AN187" s="30">
        <f t="shared" si="15"/>
        <v>4262.5857033950515</v>
      </c>
      <c r="AO187" s="30"/>
      <c r="AP187" s="29">
        <f t="shared" si="16"/>
        <v>0.9580325482313502</v>
      </c>
      <c r="AQ187" s="31">
        <f t="shared" si="17"/>
        <v>0.7730252845588963</v>
      </c>
      <c r="AR187" s="21" t="s">
        <v>308</v>
      </c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DM187" s="16"/>
      <c r="DN187" s="16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3"/>
      <c r="FW187" s="11"/>
    </row>
    <row r="188" spans="1:179" ht="18.75">
      <c r="A188" s="1" t="s">
        <v>103</v>
      </c>
      <c r="B188" s="2" t="s">
        <v>865</v>
      </c>
      <c r="C188" s="2" t="s">
        <v>245</v>
      </c>
      <c r="D188" s="2" t="str">
        <f>HYPERLINK("http://eros.fiehnlab.ucdavis.edu:8080/binbase-compound/bin/show/238007?db=rtx5","238007")</f>
        <v>238007</v>
      </c>
      <c r="E188" s="2" t="s">
        <v>607</v>
      </c>
      <c r="F188" s="2" t="str">
        <f>HYPERLINK("http://www.genome.ad.jp/dbget-bin/www_bget?compound+n/a","n/a")</f>
        <v>n/a</v>
      </c>
      <c r="G188" s="2" t="str">
        <f>HYPERLINK("http://pubchem.ncbi.nlm.nih.gov/summary/summary.cgi?cid=13120900","13120900")</f>
        <v>13120900</v>
      </c>
      <c r="H188" s="7">
        <v>559</v>
      </c>
      <c r="I188" s="7">
        <v>677</v>
      </c>
      <c r="J188" s="7">
        <v>480</v>
      </c>
      <c r="K188" s="7">
        <v>378</v>
      </c>
      <c r="L188" s="7">
        <v>408</v>
      </c>
      <c r="M188" s="7">
        <v>580</v>
      </c>
      <c r="N188" s="7">
        <v>598</v>
      </c>
      <c r="O188" s="7">
        <v>671</v>
      </c>
      <c r="P188" s="7">
        <v>623</v>
      </c>
      <c r="Q188" s="7">
        <v>446</v>
      </c>
      <c r="R188" s="7">
        <v>357</v>
      </c>
      <c r="S188" s="7">
        <v>504</v>
      </c>
      <c r="T188" s="7">
        <v>584</v>
      </c>
      <c r="U188" s="7">
        <v>509</v>
      </c>
      <c r="V188" s="7">
        <v>1359</v>
      </c>
      <c r="W188" s="24">
        <f t="shared" si="12"/>
        <v>582.2</v>
      </c>
      <c r="X188" s="25">
        <f t="shared" si="13"/>
        <v>236.94158412088476</v>
      </c>
      <c r="Y188" s="25"/>
      <c r="Z188" s="26"/>
      <c r="AA188" s="7">
        <v>434</v>
      </c>
      <c r="AB188" s="7">
        <v>557</v>
      </c>
      <c r="AC188" s="7">
        <v>591</v>
      </c>
      <c r="AD188" s="7">
        <v>611</v>
      </c>
      <c r="AE188" s="7">
        <v>538</v>
      </c>
      <c r="AF188" s="7">
        <v>490</v>
      </c>
      <c r="AG188" s="7">
        <v>403</v>
      </c>
      <c r="AH188" s="7">
        <v>347</v>
      </c>
      <c r="AI188" s="7">
        <v>515</v>
      </c>
      <c r="AJ188" s="7">
        <v>808</v>
      </c>
      <c r="AK188" s="7">
        <v>390</v>
      </c>
      <c r="AL188" s="7">
        <v>1020</v>
      </c>
      <c r="AM188" s="30">
        <f t="shared" si="14"/>
        <v>558.6666666666666</v>
      </c>
      <c r="AN188" s="30">
        <f t="shared" si="15"/>
        <v>190.4197914338133</v>
      </c>
      <c r="AO188" s="30"/>
      <c r="AP188" s="29">
        <f t="shared" si="16"/>
        <v>0.9595786098706056</v>
      </c>
      <c r="AQ188" s="31">
        <f t="shared" si="17"/>
        <v>0.7824546921705727</v>
      </c>
      <c r="AR188" s="21" t="s">
        <v>103</v>
      </c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DM188" s="16"/>
      <c r="DN188" s="16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3"/>
      <c r="FW188" s="11"/>
    </row>
    <row r="189" spans="1:179" ht="18.75">
      <c r="A189" s="1" t="s">
        <v>750</v>
      </c>
      <c r="B189" s="2" t="s">
        <v>751</v>
      </c>
      <c r="C189" s="2" t="s">
        <v>536</v>
      </c>
      <c r="D189" s="2" t="str">
        <f>HYPERLINK("http://eros.fiehnlab.ucdavis.edu:8080/binbase-compound/bin/show/300920?db=rtx5","300920")</f>
        <v>300920</v>
      </c>
      <c r="E189" s="2" t="s">
        <v>115</v>
      </c>
      <c r="F189" s="2" t="s">
        <v>83</v>
      </c>
      <c r="G189" s="2" t="s">
        <v>83</v>
      </c>
      <c r="H189" s="7">
        <v>1629</v>
      </c>
      <c r="I189" s="7">
        <v>2146</v>
      </c>
      <c r="J189" s="7">
        <v>5854</v>
      </c>
      <c r="K189" s="7">
        <v>2097</v>
      </c>
      <c r="L189" s="7">
        <v>1670</v>
      </c>
      <c r="M189" s="7">
        <v>1399</v>
      </c>
      <c r="N189" s="7">
        <v>1937</v>
      </c>
      <c r="O189" s="7">
        <v>1459</v>
      </c>
      <c r="P189" s="7">
        <v>1780</v>
      </c>
      <c r="Q189" s="7">
        <v>1908</v>
      </c>
      <c r="R189" s="7">
        <v>2044</v>
      </c>
      <c r="S189" s="7">
        <v>1748</v>
      </c>
      <c r="T189" s="7">
        <v>1974</v>
      </c>
      <c r="U189" s="7">
        <v>2366</v>
      </c>
      <c r="V189" s="7">
        <v>3609</v>
      </c>
      <c r="W189" s="24">
        <f t="shared" si="12"/>
        <v>2241.3333333333335</v>
      </c>
      <c r="X189" s="25">
        <f t="shared" si="13"/>
        <v>1126.3285277311197</v>
      </c>
      <c r="Y189" s="25"/>
      <c r="Z189" s="26"/>
      <c r="AA189" s="7">
        <v>2301</v>
      </c>
      <c r="AB189" s="7">
        <v>2214</v>
      </c>
      <c r="AC189" s="7">
        <v>2109</v>
      </c>
      <c r="AD189" s="7">
        <v>2295</v>
      </c>
      <c r="AE189" s="7">
        <v>2255</v>
      </c>
      <c r="AF189" s="7">
        <v>2134</v>
      </c>
      <c r="AG189" s="7">
        <v>1729</v>
      </c>
      <c r="AH189" s="7">
        <v>1801</v>
      </c>
      <c r="AI189" s="7">
        <v>2198</v>
      </c>
      <c r="AJ189" s="7">
        <v>2329</v>
      </c>
      <c r="AK189" s="7">
        <v>2514</v>
      </c>
      <c r="AL189" s="7">
        <v>1936</v>
      </c>
      <c r="AM189" s="30">
        <f t="shared" si="14"/>
        <v>2151.25</v>
      </c>
      <c r="AN189" s="30">
        <f t="shared" si="15"/>
        <v>228.14354532339343</v>
      </c>
      <c r="AO189" s="30"/>
      <c r="AP189" s="29">
        <f t="shared" si="16"/>
        <v>0.9598081499107673</v>
      </c>
      <c r="AQ189" s="31">
        <f t="shared" si="17"/>
        <v>0.788150219271343</v>
      </c>
      <c r="AR189" s="21" t="s">
        <v>750</v>
      </c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DM189" s="16"/>
      <c r="DN189" s="16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3"/>
      <c r="FW189" s="11"/>
    </row>
    <row r="190" spans="1:179" ht="18.75">
      <c r="A190" s="1" t="s">
        <v>341</v>
      </c>
      <c r="B190" s="2" t="s">
        <v>342</v>
      </c>
      <c r="C190" s="2" t="s">
        <v>243</v>
      </c>
      <c r="D190" s="2" t="str">
        <f>HYPERLINK("http://eros.fiehnlab.ucdavis.edu:8080/binbase-compound/bin/show/200398?db=rtx5","200398")</f>
        <v>200398</v>
      </c>
      <c r="E190" s="2" t="s">
        <v>1141</v>
      </c>
      <c r="F190" s="2" t="str">
        <f>HYPERLINK("http://www.genome.ad.jp/dbget-bin/www_bget?compound+n/a","n/a")</f>
        <v>n/a</v>
      </c>
      <c r="G190" s="2" t="str">
        <f>HYPERLINK("http://pubchem.ncbi.nlm.nih.gov/summary/summary.cgi?cid=10465","10465")</f>
        <v>10465</v>
      </c>
      <c r="H190" s="7">
        <v>8565</v>
      </c>
      <c r="I190" s="7">
        <v>6710</v>
      </c>
      <c r="J190" s="7">
        <v>9505</v>
      </c>
      <c r="K190" s="7">
        <v>9239</v>
      </c>
      <c r="L190" s="7">
        <v>7801</v>
      </c>
      <c r="M190" s="7">
        <v>10183</v>
      </c>
      <c r="N190" s="7">
        <v>6052</v>
      </c>
      <c r="O190" s="7">
        <v>4766</v>
      </c>
      <c r="P190" s="7">
        <v>4693</v>
      </c>
      <c r="Q190" s="7">
        <v>6087</v>
      </c>
      <c r="R190" s="7">
        <v>8164</v>
      </c>
      <c r="S190" s="7">
        <v>6699</v>
      </c>
      <c r="T190" s="7">
        <v>6436</v>
      </c>
      <c r="U190" s="7">
        <v>7760</v>
      </c>
      <c r="V190" s="7">
        <v>8521</v>
      </c>
      <c r="W190" s="24">
        <f t="shared" si="12"/>
        <v>7412.066666666667</v>
      </c>
      <c r="X190" s="25">
        <f t="shared" si="13"/>
        <v>1663.6339083321116</v>
      </c>
      <c r="Y190" s="25"/>
      <c r="Z190" s="26"/>
      <c r="AA190" s="7">
        <v>7052</v>
      </c>
      <c r="AB190" s="7">
        <v>9073</v>
      </c>
      <c r="AC190" s="7">
        <v>8826</v>
      </c>
      <c r="AD190" s="7">
        <v>5358</v>
      </c>
      <c r="AE190" s="7">
        <v>8152</v>
      </c>
      <c r="AF190" s="7">
        <v>5949</v>
      </c>
      <c r="AG190" s="7">
        <v>6051</v>
      </c>
      <c r="AH190" s="7">
        <v>8278</v>
      </c>
      <c r="AI190" s="7">
        <v>7056</v>
      </c>
      <c r="AJ190" s="7">
        <v>5129</v>
      </c>
      <c r="AK190" s="7">
        <v>7852</v>
      </c>
      <c r="AL190" s="7">
        <v>6655</v>
      </c>
      <c r="AM190" s="30">
        <f t="shared" si="14"/>
        <v>7119.25</v>
      </c>
      <c r="AN190" s="30">
        <f t="shared" si="15"/>
        <v>1330.5543017855377</v>
      </c>
      <c r="AO190" s="30"/>
      <c r="AP190" s="29">
        <f t="shared" si="16"/>
        <v>0.9604945988972936</v>
      </c>
      <c r="AQ190" s="31">
        <f t="shared" si="17"/>
        <v>0.6246269017209026</v>
      </c>
      <c r="AR190" s="21" t="s">
        <v>341</v>
      </c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DM190" s="16"/>
      <c r="DN190" s="16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3"/>
      <c r="FW190" s="11"/>
    </row>
    <row r="191" spans="1:179" ht="18.75">
      <c r="A191" s="1" t="s">
        <v>1023</v>
      </c>
      <c r="B191" s="2" t="s">
        <v>1024</v>
      </c>
      <c r="C191" s="2" t="s">
        <v>899</v>
      </c>
      <c r="D191" s="2" t="str">
        <f>HYPERLINK("http://eros.fiehnlab.ucdavis.edu:8080/binbase-compound/bin/show/200906?db=rtx5","200906")</f>
        <v>200906</v>
      </c>
      <c r="E191" s="2" t="s">
        <v>161</v>
      </c>
      <c r="F191" s="2" t="s">
        <v>83</v>
      </c>
      <c r="G191" s="2" t="s">
        <v>83</v>
      </c>
      <c r="H191" s="7">
        <v>1009</v>
      </c>
      <c r="I191" s="7">
        <v>1378</v>
      </c>
      <c r="J191" s="7">
        <v>1336</v>
      </c>
      <c r="K191" s="7">
        <v>1332</v>
      </c>
      <c r="L191" s="7">
        <v>995</v>
      </c>
      <c r="M191" s="7">
        <v>1294</v>
      </c>
      <c r="N191" s="7">
        <v>1616</v>
      </c>
      <c r="O191" s="7">
        <v>1661</v>
      </c>
      <c r="P191" s="7">
        <v>1616</v>
      </c>
      <c r="Q191" s="7">
        <v>1584</v>
      </c>
      <c r="R191" s="7">
        <v>1069</v>
      </c>
      <c r="S191" s="7">
        <v>770</v>
      </c>
      <c r="T191" s="7">
        <v>753</v>
      </c>
      <c r="U191" s="7">
        <v>1039</v>
      </c>
      <c r="V191" s="7">
        <v>1520</v>
      </c>
      <c r="W191" s="24">
        <f t="shared" si="12"/>
        <v>1264.8</v>
      </c>
      <c r="X191" s="25">
        <f t="shared" si="13"/>
        <v>308.0167435152092</v>
      </c>
      <c r="Y191" s="25"/>
      <c r="Z191" s="26"/>
      <c r="AA191" s="7">
        <v>809</v>
      </c>
      <c r="AB191" s="7">
        <v>1273</v>
      </c>
      <c r="AC191" s="7">
        <v>1394</v>
      </c>
      <c r="AD191" s="7">
        <v>1434</v>
      </c>
      <c r="AE191" s="7">
        <v>1278</v>
      </c>
      <c r="AF191" s="7">
        <v>1359</v>
      </c>
      <c r="AG191" s="7">
        <v>1603</v>
      </c>
      <c r="AH191" s="7">
        <v>785</v>
      </c>
      <c r="AI191" s="7">
        <v>1174</v>
      </c>
      <c r="AJ191" s="7">
        <v>1271</v>
      </c>
      <c r="AK191" s="7">
        <v>925</v>
      </c>
      <c r="AL191" s="7">
        <v>1277</v>
      </c>
      <c r="AM191" s="30">
        <f t="shared" si="14"/>
        <v>1215.1666666666667</v>
      </c>
      <c r="AN191" s="30">
        <f t="shared" si="15"/>
        <v>252.46271851983286</v>
      </c>
      <c r="AO191" s="30"/>
      <c r="AP191" s="29">
        <f t="shared" si="16"/>
        <v>0.9607579590976176</v>
      </c>
      <c r="AQ191" s="31">
        <f t="shared" si="17"/>
        <v>0.6567308240376376</v>
      </c>
      <c r="AR191" s="21" t="s">
        <v>1023</v>
      </c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DM191" s="16"/>
      <c r="DN191" s="16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3"/>
      <c r="FW191" s="11"/>
    </row>
    <row r="192" spans="1:179" ht="18.75">
      <c r="A192" s="1" t="s">
        <v>464</v>
      </c>
      <c r="B192" s="2" t="s">
        <v>465</v>
      </c>
      <c r="C192" s="2" t="s">
        <v>280</v>
      </c>
      <c r="D192" s="2" t="str">
        <f>HYPERLINK("http://eros.fiehnlab.ucdavis.edu:8080/binbase-compound/bin/show/213251?db=rtx5","213251")</f>
        <v>213251</v>
      </c>
      <c r="E192" s="2" t="s">
        <v>576</v>
      </c>
      <c r="F192" s="2" t="str">
        <f>HYPERLINK("http://www.genome.ad.jp/dbget-bin/www_bget?compound+C00189","C00189")</f>
        <v>C00189</v>
      </c>
      <c r="G192" s="2" t="str">
        <f>HYPERLINK("http://pubchem.ncbi.nlm.nih.gov/summary/summary.cgi?cid=700","700")</f>
        <v>700</v>
      </c>
      <c r="H192" s="7">
        <v>12945</v>
      </c>
      <c r="I192" s="7">
        <v>9429</v>
      </c>
      <c r="J192" s="7">
        <v>14552</v>
      </c>
      <c r="K192" s="7">
        <v>9894</v>
      </c>
      <c r="L192" s="7">
        <v>11203</v>
      </c>
      <c r="M192" s="7">
        <v>9624</v>
      </c>
      <c r="N192" s="7">
        <v>11319</v>
      </c>
      <c r="O192" s="7">
        <v>6357</v>
      </c>
      <c r="P192" s="7">
        <v>7377</v>
      </c>
      <c r="Q192" s="7">
        <v>8102</v>
      </c>
      <c r="R192" s="7">
        <v>12377</v>
      </c>
      <c r="S192" s="7">
        <v>8392</v>
      </c>
      <c r="T192" s="7">
        <v>7259</v>
      </c>
      <c r="U192" s="7">
        <v>10168</v>
      </c>
      <c r="V192" s="7">
        <v>15254</v>
      </c>
      <c r="W192" s="24">
        <f t="shared" si="12"/>
        <v>10283.466666666667</v>
      </c>
      <c r="X192" s="25">
        <f t="shared" si="13"/>
        <v>2659.076742745407</v>
      </c>
      <c r="Y192" s="25"/>
      <c r="Z192" s="26"/>
      <c r="AA192" s="7">
        <v>8417</v>
      </c>
      <c r="AB192" s="7">
        <v>9738</v>
      </c>
      <c r="AC192" s="7">
        <v>7032</v>
      </c>
      <c r="AD192" s="7">
        <v>12671</v>
      </c>
      <c r="AE192" s="7">
        <v>8928</v>
      </c>
      <c r="AF192" s="7">
        <v>12089</v>
      </c>
      <c r="AG192" s="7">
        <v>10414</v>
      </c>
      <c r="AH192" s="7">
        <v>8395</v>
      </c>
      <c r="AI192" s="7">
        <v>10693</v>
      </c>
      <c r="AJ192" s="7">
        <v>12386</v>
      </c>
      <c r="AK192" s="7">
        <v>9135</v>
      </c>
      <c r="AL192" s="7">
        <v>8748</v>
      </c>
      <c r="AM192" s="30">
        <f t="shared" si="14"/>
        <v>9887.166666666666</v>
      </c>
      <c r="AN192" s="30">
        <f t="shared" si="15"/>
        <v>1786.6810690283394</v>
      </c>
      <c r="AO192" s="30"/>
      <c r="AP192" s="29">
        <f t="shared" si="16"/>
        <v>0.9614624121567305</v>
      </c>
      <c r="AQ192" s="31">
        <f t="shared" si="17"/>
        <v>0.6624308431589881</v>
      </c>
      <c r="AR192" s="21" t="s">
        <v>464</v>
      </c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DM192" s="16"/>
      <c r="DN192" s="16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3"/>
      <c r="FW192" s="11"/>
    </row>
    <row r="193" spans="1:179" ht="18.75">
      <c r="A193" s="1" t="s">
        <v>320</v>
      </c>
      <c r="B193" s="2" t="s">
        <v>321</v>
      </c>
      <c r="C193" s="2" t="s">
        <v>322</v>
      </c>
      <c r="D193" s="2" t="str">
        <f>HYPERLINK("http://eros.fiehnlab.ucdavis.edu:8080/binbase-compound/bin/show/215488?db=rtx5","215488")</f>
        <v>215488</v>
      </c>
      <c r="E193" s="2" t="s">
        <v>1130</v>
      </c>
      <c r="F193" s="2" t="str">
        <f>HYPERLINK("http://www.genome.ad.jp/dbget-bin/www_bget?compound+C00712","C00712")</f>
        <v>C00712</v>
      </c>
      <c r="G193" s="2" t="str">
        <f>HYPERLINK("http://pubchem.ncbi.nlm.nih.gov/summary/summary.cgi?cid=445639","445639")</f>
        <v>445639</v>
      </c>
      <c r="H193" s="7">
        <v>27887</v>
      </c>
      <c r="I193" s="7">
        <v>14950</v>
      </c>
      <c r="J193" s="7">
        <v>6951</v>
      </c>
      <c r="K193" s="7">
        <v>12579</v>
      </c>
      <c r="L193" s="7">
        <v>23089</v>
      </c>
      <c r="M193" s="7">
        <v>21561</v>
      </c>
      <c r="N193" s="7">
        <v>14723</v>
      </c>
      <c r="O193" s="7">
        <v>12841</v>
      </c>
      <c r="P193" s="7">
        <v>14461</v>
      </c>
      <c r="Q193" s="7">
        <v>10949</v>
      </c>
      <c r="R193" s="7">
        <v>21963</v>
      </c>
      <c r="S193" s="7">
        <v>20679</v>
      </c>
      <c r="T193" s="7">
        <v>14623</v>
      </c>
      <c r="U193" s="7">
        <v>16232</v>
      </c>
      <c r="V193" s="7">
        <v>13984</v>
      </c>
      <c r="W193" s="24">
        <f t="shared" si="12"/>
        <v>16498.133333333335</v>
      </c>
      <c r="X193" s="25">
        <f t="shared" si="13"/>
        <v>5453.722527734959</v>
      </c>
      <c r="Y193" s="25"/>
      <c r="Z193" s="26"/>
      <c r="AA193" s="7">
        <v>10508</v>
      </c>
      <c r="AB193" s="7">
        <v>12931</v>
      </c>
      <c r="AC193" s="7">
        <v>25883</v>
      </c>
      <c r="AD193" s="7">
        <v>13725</v>
      </c>
      <c r="AE193" s="7">
        <v>13450</v>
      </c>
      <c r="AF193" s="7">
        <v>20344</v>
      </c>
      <c r="AG193" s="7">
        <v>20328</v>
      </c>
      <c r="AH193" s="7">
        <v>27347</v>
      </c>
      <c r="AI193" s="7">
        <v>12309</v>
      </c>
      <c r="AJ193" s="7">
        <v>7440</v>
      </c>
      <c r="AK193" s="7">
        <v>19153</v>
      </c>
      <c r="AL193" s="7">
        <v>6958</v>
      </c>
      <c r="AM193" s="30">
        <f t="shared" si="14"/>
        <v>15864.666666666666</v>
      </c>
      <c r="AN193" s="30">
        <f t="shared" si="15"/>
        <v>6699.154903735426</v>
      </c>
      <c r="AO193" s="30"/>
      <c r="AP193" s="29">
        <f t="shared" si="16"/>
        <v>0.9616037369884268</v>
      </c>
      <c r="AQ193" s="31">
        <f t="shared" si="17"/>
        <v>0.7885487940460227</v>
      </c>
      <c r="AR193" s="21" t="s">
        <v>320</v>
      </c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DM193" s="16"/>
      <c r="DN193" s="16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3"/>
      <c r="FW193" s="11"/>
    </row>
    <row r="194" spans="1:179" ht="18.75">
      <c r="A194" s="1" t="s">
        <v>1000</v>
      </c>
      <c r="B194" s="2" t="s">
        <v>1001</v>
      </c>
      <c r="C194" s="2" t="s">
        <v>793</v>
      </c>
      <c r="D194" s="2" t="str">
        <f>HYPERLINK("http://eros.fiehnlab.ucdavis.edu:8080/binbase-compound/bin/show/210904?db=rtx5","210904")</f>
        <v>210904</v>
      </c>
      <c r="E194" s="2" t="s">
        <v>136</v>
      </c>
      <c r="F194" s="2" t="s">
        <v>83</v>
      </c>
      <c r="G194" s="2" t="s">
        <v>83</v>
      </c>
      <c r="H194" s="7">
        <v>1724</v>
      </c>
      <c r="I194" s="7">
        <v>816</v>
      </c>
      <c r="J194" s="7">
        <v>2855</v>
      </c>
      <c r="K194" s="7">
        <v>1574</v>
      </c>
      <c r="L194" s="7">
        <v>1907</v>
      </c>
      <c r="M194" s="7">
        <v>1342</v>
      </c>
      <c r="N194" s="7">
        <v>1345</v>
      </c>
      <c r="O194" s="7">
        <v>815</v>
      </c>
      <c r="P194" s="7">
        <v>637</v>
      </c>
      <c r="Q194" s="7">
        <v>962</v>
      </c>
      <c r="R194" s="7">
        <v>1335</v>
      </c>
      <c r="S194" s="7">
        <v>769</v>
      </c>
      <c r="T194" s="7">
        <v>733</v>
      </c>
      <c r="U194" s="7">
        <v>2153</v>
      </c>
      <c r="V194" s="7">
        <v>3226</v>
      </c>
      <c r="W194" s="24">
        <f t="shared" si="12"/>
        <v>1479.5333333333333</v>
      </c>
      <c r="X194" s="25">
        <f t="shared" si="13"/>
        <v>784.9788774834889</v>
      </c>
      <c r="Y194" s="25"/>
      <c r="Z194" s="26"/>
      <c r="AA194" s="7">
        <v>960</v>
      </c>
      <c r="AB194" s="7">
        <v>1300</v>
      </c>
      <c r="AC194" s="7">
        <v>966</v>
      </c>
      <c r="AD194" s="7">
        <v>2765</v>
      </c>
      <c r="AE194" s="7">
        <v>1194</v>
      </c>
      <c r="AF194" s="7">
        <v>1258</v>
      </c>
      <c r="AG194" s="7">
        <v>645</v>
      </c>
      <c r="AH194" s="7">
        <v>928</v>
      </c>
      <c r="AI194" s="7">
        <v>1989</v>
      </c>
      <c r="AJ194" s="7">
        <v>2693</v>
      </c>
      <c r="AK194" s="7">
        <v>1210</v>
      </c>
      <c r="AL194" s="7">
        <v>1168</v>
      </c>
      <c r="AM194" s="30">
        <f t="shared" si="14"/>
        <v>1423</v>
      </c>
      <c r="AN194" s="30">
        <f t="shared" si="15"/>
        <v>688.4063282155915</v>
      </c>
      <c r="AO194" s="30"/>
      <c r="AP194" s="29">
        <f t="shared" si="16"/>
        <v>0.9617897535258866</v>
      </c>
      <c r="AQ194" s="31">
        <f t="shared" si="17"/>
        <v>0.8460510131624408</v>
      </c>
      <c r="AR194" s="21" t="s">
        <v>1000</v>
      </c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DM194" s="16"/>
      <c r="DN194" s="16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3"/>
      <c r="FW194" s="11"/>
    </row>
    <row r="195" spans="1:179" ht="18.75">
      <c r="A195" s="1" t="s">
        <v>931</v>
      </c>
      <c r="B195" s="2" t="s">
        <v>932</v>
      </c>
      <c r="C195" s="2" t="s">
        <v>703</v>
      </c>
      <c r="D195" s="2" t="str">
        <f>HYPERLINK("http://eros.fiehnlab.ucdavis.edu:8080/binbase-compound/bin/show/226844?db=rtx5","226844")</f>
        <v>226844</v>
      </c>
      <c r="E195" s="2" t="s">
        <v>113</v>
      </c>
      <c r="F195" s="2" t="s">
        <v>83</v>
      </c>
      <c r="G195" s="2" t="s">
        <v>83</v>
      </c>
      <c r="H195" s="7">
        <v>2930</v>
      </c>
      <c r="I195" s="7">
        <v>2739</v>
      </c>
      <c r="J195" s="7">
        <v>2706</v>
      </c>
      <c r="K195" s="7">
        <v>2902</v>
      </c>
      <c r="L195" s="7">
        <v>4408</v>
      </c>
      <c r="M195" s="7">
        <v>3484</v>
      </c>
      <c r="N195" s="7">
        <v>5098</v>
      </c>
      <c r="O195" s="7">
        <v>1650</v>
      </c>
      <c r="P195" s="7">
        <v>1830</v>
      </c>
      <c r="Q195" s="7">
        <v>2194</v>
      </c>
      <c r="R195" s="7">
        <v>4949</v>
      </c>
      <c r="S195" s="7">
        <v>2184</v>
      </c>
      <c r="T195" s="7">
        <v>2378</v>
      </c>
      <c r="U195" s="7">
        <v>867</v>
      </c>
      <c r="V195" s="7">
        <v>4741</v>
      </c>
      <c r="W195" s="24">
        <f t="shared" si="12"/>
        <v>3004</v>
      </c>
      <c r="X195" s="25">
        <f t="shared" si="13"/>
        <v>1283.4187602983347</v>
      </c>
      <c r="Y195" s="25"/>
      <c r="Z195" s="26"/>
      <c r="AA195" s="7">
        <v>1935</v>
      </c>
      <c r="AB195" s="7">
        <v>2055</v>
      </c>
      <c r="AC195" s="7">
        <v>1437</v>
      </c>
      <c r="AD195" s="7">
        <v>4372</v>
      </c>
      <c r="AE195" s="7">
        <v>1777</v>
      </c>
      <c r="AF195" s="7">
        <v>1946</v>
      </c>
      <c r="AG195" s="7">
        <v>2996</v>
      </c>
      <c r="AH195" s="7">
        <v>1710</v>
      </c>
      <c r="AI195" s="7">
        <v>5022</v>
      </c>
      <c r="AJ195" s="7">
        <v>5472</v>
      </c>
      <c r="AK195" s="7">
        <v>2277</v>
      </c>
      <c r="AL195" s="7">
        <v>3684</v>
      </c>
      <c r="AM195" s="30">
        <f t="shared" si="14"/>
        <v>2890.25</v>
      </c>
      <c r="AN195" s="30">
        <f t="shared" si="15"/>
        <v>1403.5240144332797</v>
      </c>
      <c r="AO195" s="30"/>
      <c r="AP195" s="29">
        <f t="shared" si="16"/>
        <v>0.9621338215712384</v>
      </c>
      <c r="AQ195" s="31">
        <f t="shared" si="17"/>
        <v>0.8279857401400819</v>
      </c>
      <c r="AR195" s="21" t="s">
        <v>931</v>
      </c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DM195" s="16"/>
      <c r="DN195" s="16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3"/>
      <c r="FW195" s="11"/>
    </row>
    <row r="196" spans="1:179" ht="18.75">
      <c r="A196" s="1" t="s">
        <v>514</v>
      </c>
      <c r="B196" s="2" t="s">
        <v>515</v>
      </c>
      <c r="C196" s="2" t="s">
        <v>516</v>
      </c>
      <c r="D196" s="2" t="str">
        <f>HYPERLINK("http://eros.fiehnlab.ucdavis.edu:8080/binbase-compound/bin/show/225382?db=rtx5","225382")</f>
        <v>225382</v>
      </c>
      <c r="E196" s="2" t="s">
        <v>611</v>
      </c>
      <c r="F196" s="2" t="str">
        <f>HYPERLINK("http://www.genome.ad.jp/dbget-bin/www_bget?compound+C08261","C08261")</f>
        <v>C08261</v>
      </c>
      <c r="G196" s="2" t="str">
        <f>HYPERLINK("http://pubchem.ncbi.nlm.nih.gov/summary/summary.cgi?cid=2266","2266")</f>
        <v>2266</v>
      </c>
      <c r="H196" s="7">
        <v>204</v>
      </c>
      <c r="I196" s="7">
        <v>253</v>
      </c>
      <c r="J196" s="7">
        <v>963</v>
      </c>
      <c r="K196" s="7">
        <v>216</v>
      </c>
      <c r="L196" s="7">
        <v>228</v>
      </c>
      <c r="M196" s="7">
        <v>355</v>
      </c>
      <c r="N196" s="7">
        <v>237</v>
      </c>
      <c r="O196" s="7">
        <v>202</v>
      </c>
      <c r="P196" s="7">
        <v>232</v>
      </c>
      <c r="Q196" s="7">
        <v>269</v>
      </c>
      <c r="R196" s="7">
        <v>287</v>
      </c>
      <c r="S196" s="7">
        <v>303</v>
      </c>
      <c r="T196" s="7">
        <v>347</v>
      </c>
      <c r="U196" s="7">
        <v>342</v>
      </c>
      <c r="V196" s="7">
        <v>546</v>
      </c>
      <c r="W196" s="24">
        <f t="shared" si="12"/>
        <v>332.26666666666665</v>
      </c>
      <c r="X196" s="25">
        <f t="shared" si="13"/>
        <v>195.38733204537476</v>
      </c>
      <c r="Y196" s="25"/>
      <c r="Z196" s="26"/>
      <c r="AA196" s="7">
        <v>323</v>
      </c>
      <c r="AB196" s="7">
        <v>386</v>
      </c>
      <c r="AC196" s="7">
        <v>343</v>
      </c>
      <c r="AD196" s="7">
        <v>272</v>
      </c>
      <c r="AE196" s="7">
        <v>398</v>
      </c>
      <c r="AF196" s="7">
        <v>276</v>
      </c>
      <c r="AG196" s="7">
        <v>182</v>
      </c>
      <c r="AH196" s="7">
        <v>437</v>
      </c>
      <c r="AI196" s="7">
        <v>369</v>
      </c>
      <c r="AJ196" s="7">
        <v>326</v>
      </c>
      <c r="AK196" s="7">
        <v>230</v>
      </c>
      <c r="AL196" s="7">
        <v>295</v>
      </c>
      <c r="AM196" s="30">
        <f t="shared" si="14"/>
        <v>319.75</v>
      </c>
      <c r="AN196" s="30">
        <f t="shared" si="15"/>
        <v>73.30648613247608</v>
      </c>
      <c r="AO196" s="30"/>
      <c r="AP196" s="29">
        <f t="shared" si="16"/>
        <v>0.9623294542536116</v>
      </c>
      <c r="AQ196" s="31">
        <f t="shared" si="17"/>
        <v>0.8355732766479746</v>
      </c>
      <c r="AR196" s="21" t="s">
        <v>514</v>
      </c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DM196" s="16"/>
      <c r="DN196" s="16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3"/>
      <c r="FW196" s="11"/>
    </row>
    <row r="197" spans="1:179" ht="18.75">
      <c r="A197" s="1" t="s">
        <v>704</v>
      </c>
      <c r="B197" s="2" t="s">
        <v>705</v>
      </c>
      <c r="C197" s="2" t="s">
        <v>670</v>
      </c>
      <c r="D197" s="2" t="str">
        <f>HYPERLINK("http://eros.fiehnlab.ucdavis.edu:8080/binbase-compound/bin/show/367932?db=rtx5","367932")</f>
        <v>367932</v>
      </c>
      <c r="E197" s="2" t="s">
        <v>649</v>
      </c>
      <c r="F197" s="2" t="s">
        <v>83</v>
      </c>
      <c r="G197" s="2" t="s">
        <v>83</v>
      </c>
      <c r="H197" s="7">
        <v>13174</v>
      </c>
      <c r="I197" s="7">
        <v>15292</v>
      </c>
      <c r="J197" s="7">
        <v>44075</v>
      </c>
      <c r="K197" s="7">
        <v>16130</v>
      </c>
      <c r="L197" s="7">
        <v>13574</v>
      </c>
      <c r="M197" s="7">
        <v>11917</v>
      </c>
      <c r="N197" s="7">
        <v>14349</v>
      </c>
      <c r="O197" s="7">
        <v>11211</v>
      </c>
      <c r="P197" s="7">
        <v>14737</v>
      </c>
      <c r="Q197" s="7">
        <v>14374</v>
      </c>
      <c r="R197" s="7">
        <v>16012</v>
      </c>
      <c r="S197" s="7">
        <v>13557</v>
      </c>
      <c r="T197" s="7">
        <v>14484</v>
      </c>
      <c r="U197" s="7">
        <v>18466</v>
      </c>
      <c r="V197" s="7">
        <v>25754</v>
      </c>
      <c r="W197" s="24">
        <f t="shared" si="12"/>
        <v>17140.4</v>
      </c>
      <c r="X197" s="25">
        <f t="shared" si="13"/>
        <v>8190.353365828783</v>
      </c>
      <c r="Y197" s="25"/>
      <c r="Z197" s="26"/>
      <c r="AA197" s="7">
        <v>17554</v>
      </c>
      <c r="AB197" s="7">
        <v>16835</v>
      </c>
      <c r="AC197" s="7">
        <v>15542</v>
      </c>
      <c r="AD197" s="7">
        <v>16796</v>
      </c>
      <c r="AE197" s="7">
        <v>17658</v>
      </c>
      <c r="AF197" s="7">
        <v>16893</v>
      </c>
      <c r="AG197" s="7">
        <v>13785</v>
      </c>
      <c r="AH197" s="7">
        <v>13565</v>
      </c>
      <c r="AI197" s="7">
        <v>16835</v>
      </c>
      <c r="AJ197" s="7">
        <v>18534</v>
      </c>
      <c r="AK197" s="7">
        <v>18502</v>
      </c>
      <c r="AL197" s="7">
        <v>15634</v>
      </c>
      <c r="AM197" s="30">
        <f t="shared" si="14"/>
        <v>16511.083333333332</v>
      </c>
      <c r="AN197" s="30">
        <f t="shared" si="15"/>
        <v>1615.697173377674</v>
      </c>
      <c r="AO197" s="30"/>
      <c r="AP197" s="29">
        <f t="shared" si="16"/>
        <v>0.9632845985702394</v>
      </c>
      <c r="AQ197" s="31">
        <f t="shared" si="17"/>
        <v>0.7961175821783405</v>
      </c>
      <c r="AR197" s="21" t="s">
        <v>704</v>
      </c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DM197" s="16"/>
      <c r="DN197" s="16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3"/>
      <c r="FW197" s="11"/>
    </row>
    <row r="198" spans="1:179" ht="18.75">
      <c r="A198" s="1" t="s">
        <v>104</v>
      </c>
      <c r="B198" s="2" t="s">
        <v>375</v>
      </c>
      <c r="C198" s="2" t="s">
        <v>239</v>
      </c>
      <c r="D198" s="2" t="str">
        <f>HYPERLINK("http://eros.fiehnlab.ucdavis.edu:8080/binbase-compound/bin/show/269290?db=rtx5","269290")</f>
        <v>269290</v>
      </c>
      <c r="E198" s="2" t="s">
        <v>613</v>
      </c>
      <c r="F198" s="2" t="str">
        <f>HYPERLINK("http://www.genome.ad.jp/dbget-bin/www_bget?compound+C01189","C01189")</f>
        <v>C01189</v>
      </c>
      <c r="G198" s="2" t="str">
        <f>HYPERLINK("http://pubchem.ncbi.nlm.nih.gov/summary/summary.cgi?cid=65728","65728")</f>
        <v>65728</v>
      </c>
      <c r="H198" s="7">
        <v>243</v>
      </c>
      <c r="I198" s="7">
        <v>457</v>
      </c>
      <c r="J198" s="7">
        <v>632</v>
      </c>
      <c r="K198" s="7">
        <v>273</v>
      </c>
      <c r="L198" s="7">
        <v>206</v>
      </c>
      <c r="M198" s="7">
        <v>282</v>
      </c>
      <c r="N198" s="7">
        <v>246</v>
      </c>
      <c r="O198" s="7">
        <v>196</v>
      </c>
      <c r="P198" s="7">
        <v>323</v>
      </c>
      <c r="Q198" s="7">
        <v>301</v>
      </c>
      <c r="R198" s="7">
        <v>241</v>
      </c>
      <c r="S198" s="7">
        <v>366</v>
      </c>
      <c r="T198" s="7">
        <v>263</v>
      </c>
      <c r="U198" s="7">
        <v>427</v>
      </c>
      <c r="V198" s="7">
        <v>263</v>
      </c>
      <c r="W198" s="24">
        <f t="shared" si="12"/>
        <v>314.6</v>
      </c>
      <c r="X198" s="25">
        <f t="shared" si="13"/>
        <v>115.19536200981112</v>
      </c>
      <c r="Y198" s="25"/>
      <c r="Z198" s="26"/>
      <c r="AA198" s="7">
        <v>233</v>
      </c>
      <c r="AB198" s="7">
        <v>228</v>
      </c>
      <c r="AC198" s="7">
        <v>218</v>
      </c>
      <c r="AD198" s="7">
        <v>182</v>
      </c>
      <c r="AE198" s="7">
        <v>405</v>
      </c>
      <c r="AF198" s="7">
        <v>348</v>
      </c>
      <c r="AG198" s="7">
        <v>603</v>
      </c>
      <c r="AH198" s="7">
        <v>283</v>
      </c>
      <c r="AI198" s="7">
        <v>296</v>
      </c>
      <c r="AJ198" s="7">
        <v>289</v>
      </c>
      <c r="AK198" s="7">
        <v>337</v>
      </c>
      <c r="AL198" s="7">
        <v>225</v>
      </c>
      <c r="AM198" s="30">
        <f t="shared" si="14"/>
        <v>303.9166666666667</v>
      </c>
      <c r="AN198" s="30">
        <f t="shared" si="15"/>
        <v>113.89585221383244</v>
      </c>
      <c r="AO198" s="30"/>
      <c r="AP198" s="29">
        <f t="shared" si="16"/>
        <v>0.9660415342233524</v>
      </c>
      <c r="AQ198" s="31">
        <f t="shared" si="17"/>
        <v>0.8117913220599753</v>
      </c>
      <c r="AR198" s="21" t="s">
        <v>104</v>
      </c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DM198" s="16"/>
      <c r="DN198" s="16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3"/>
      <c r="FW198" s="11"/>
    </row>
    <row r="199" spans="1:179" ht="18.75">
      <c r="A199" s="1" t="s">
        <v>478</v>
      </c>
      <c r="B199" s="2" t="s">
        <v>479</v>
      </c>
      <c r="C199" s="2" t="s">
        <v>222</v>
      </c>
      <c r="D199" s="2" t="str">
        <f>HYPERLINK("http://eros.fiehnlab.ucdavis.edu:8080/binbase-compound/bin/show/239859?db=rtx5","239859")</f>
        <v>239859</v>
      </c>
      <c r="E199" s="2" t="s">
        <v>582</v>
      </c>
      <c r="F199" s="2" t="str">
        <f>HYPERLINK("http://www.genome.ad.jp/dbget-bin/www_bget?compound+C00491","C00491")</f>
        <v>C00491</v>
      </c>
      <c r="G199" s="2" t="str">
        <f>HYPERLINK("http://pubchem.ncbi.nlm.nih.gov/summary/summary.cgi?cid=67678","67678")</f>
        <v>67678</v>
      </c>
      <c r="H199" s="7">
        <v>115</v>
      </c>
      <c r="I199" s="7">
        <v>633</v>
      </c>
      <c r="J199" s="7">
        <v>506</v>
      </c>
      <c r="K199" s="7">
        <v>270</v>
      </c>
      <c r="L199" s="7">
        <v>332</v>
      </c>
      <c r="M199" s="7">
        <v>244</v>
      </c>
      <c r="N199" s="7">
        <v>276</v>
      </c>
      <c r="O199" s="7">
        <v>189</v>
      </c>
      <c r="P199" s="7">
        <v>222</v>
      </c>
      <c r="Q199" s="7">
        <v>225</v>
      </c>
      <c r="R199" s="7">
        <v>694</v>
      </c>
      <c r="S199" s="7">
        <v>488</v>
      </c>
      <c r="T199" s="7">
        <v>556</v>
      </c>
      <c r="U199" s="7">
        <v>183</v>
      </c>
      <c r="V199" s="7">
        <v>946</v>
      </c>
      <c r="W199" s="24">
        <f aca="true" t="shared" si="18" ref="W199:W262">AVERAGE(H199:V199)</f>
        <v>391.93333333333334</v>
      </c>
      <c r="X199" s="25">
        <f aca="true" t="shared" si="19" ref="X199:X262">STDEV(H199:V199)</f>
        <v>235.6694012099718</v>
      </c>
      <c r="Y199" s="25"/>
      <c r="Z199" s="26"/>
      <c r="AA199" s="7">
        <v>348</v>
      </c>
      <c r="AB199" s="7">
        <v>232</v>
      </c>
      <c r="AC199" s="7">
        <v>335</v>
      </c>
      <c r="AD199" s="7">
        <v>322</v>
      </c>
      <c r="AE199" s="7">
        <v>324</v>
      </c>
      <c r="AF199" s="7">
        <v>279</v>
      </c>
      <c r="AG199" s="7">
        <v>523</v>
      </c>
      <c r="AH199" s="7">
        <v>221</v>
      </c>
      <c r="AI199" s="7">
        <v>429</v>
      </c>
      <c r="AJ199" s="7">
        <v>721</v>
      </c>
      <c r="AK199" s="7">
        <v>297</v>
      </c>
      <c r="AL199" s="7">
        <v>516</v>
      </c>
      <c r="AM199" s="30">
        <f aca="true" t="shared" si="20" ref="AM199:AM262">AVERAGE(AA199:AL199)</f>
        <v>378.9166666666667</v>
      </c>
      <c r="AN199" s="30">
        <f aca="true" t="shared" si="21" ref="AN199:AN262">STDEV(AA199:AL199)</f>
        <v>145.05074869496434</v>
      </c>
      <c r="AO199" s="30"/>
      <c r="AP199" s="29">
        <f aca="true" t="shared" si="22" ref="AP199:AP262">AM199/W199</f>
        <v>0.9667885694846062</v>
      </c>
      <c r="AQ199" s="31">
        <f aca="true" t="shared" si="23" ref="AQ199:AQ262">TTEST(AA199:AL199,H199:V199,2,2)</f>
        <v>0.8684849990541584</v>
      </c>
      <c r="AR199" s="21" t="s">
        <v>478</v>
      </c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DM199" s="16"/>
      <c r="DN199" s="16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3"/>
      <c r="FW199" s="11"/>
    </row>
    <row r="200" spans="1:179" ht="18.75">
      <c r="A200" s="1" t="s">
        <v>62</v>
      </c>
      <c r="B200" s="2" t="s">
        <v>439</v>
      </c>
      <c r="C200" s="2" t="s">
        <v>440</v>
      </c>
      <c r="D200" s="2" t="str">
        <f>HYPERLINK("http://eros.fiehnlab.ucdavis.edu:8080/binbase-compound/bin/show/212010?db=rtx5","212010")</f>
        <v>212010</v>
      </c>
      <c r="E200" s="2" t="s">
        <v>1144</v>
      </c>
      <c r="F200" s="2" t="str">
        <f>HYPERLINK("http://www.genome.ad.jp/dbget-bin/www_bget?compound+C00064","C00064")</f>
        <v>C00064</v>
      </c>
      <c r="G200" s="2" t="str">
        <f>HYPERLINK("http://pubchem.ncbi.nlm.nih.gov/summary/summary.cgi?cid=5961","5961")</f>
        <v>5961</v>
      </c>
      <c r="H200" s="7">
        <v>22615</v>
      </c>
      <c r="I200" s="7">
        <v>10680</v>
      </c>
      <c r="J200" s="7">
        <v>24259</v>
      </c>
      <c r="K200" s="7">
        <v>11660</v>
      </c>
      <c r="L200" s="7">
        <v>23004</v>
      </c>
      <c r="M200" s="7">
        <v>9274</v>
      </c>
      <c r="N200" s="7">
        <v>13642</v>
      </c>
      <c r="O200" s="7">
        <v>7298</v>
      </c>
      <c r="P200" s="7">
        <v>8724</v>
      </c>
      <c r="Q200" s="7">
        <v>8736</v>
      </c>
      <c r="R200" s="7">
        <v>9398</v>
      </c>
      <c r="S200" s="7">
        <v>16440</v>
      </c>
      <c r="T200" s="7">
        <v>13346</v>
      </c>
      <c r="U200" s="7">
        <v>12761</v>
      </c>
      <c r="V200" s="7">
        <v>18369</v>
      </c>
      <c r="W200" s="24">
        <f t="shared" si="18"/>
        <v>14013.733333333334</v>
      </c>
      <c r="X200" s="25">
        <f t="shared" si="19"/>
        <v>5657.746970389572</v>
      </c>
      <c r="Y200" s="25"/>
      <c r="Z200" s="26"/>
      <c r="AA200" s="7">
        <v>11939</v>
      </c>
      <c r="AB200" s="7">
        <v>9609</v>
      </c>
      <c r="AC200" s="7">
        <v>8976</v>
      </c>
      <c r="AD200" s="7">
        <v>8070</v>
      </c>
      <c r="AE200" s="7">
        <v>9511</v>
      </c>
      <c r="AF200" s="7">
        <v>31971</v>
      </c>
      <c r="AG200" s="7">
        <v>19047</v>
      </c>
      <c r="AH200" s="7">
        <v>12861</v>
      </c>
      <c r="AI200" s="7">
        <v>13387</v>
      </c>
      <c r="AJ200" s="7">
        <v>9811</v>
      </c>
      <c r="AK200" s="7">
        <v>16240</v>
      </c>
      <c r="AL200" s="7">
        <v>11349</v>
      </c>
      <c r="AM200" s="30">
        <f t="shared" si="20"/>
        <v>13564.25</v>
      </c>
      <c r="AN200" s="30">
        <f t="shared" si="21"/>
        <v>6616.109295087669</v>
      </c>
      <c r="AO200" s="30"/>
      <c r="AP200" s="29">
        <f t="shared" si="22"/>
        <v>0.9679255111652378</v>
      </c>
      <c r="AQ200" s="31">
        <f t="shared" si="23"/>
        <v>0.850596955759295</v>
      </c>
      <c r="AR200" s="21" t="s">
        <v>438</v>
      </c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DM200" s="16"/>
      <c r="DN200" s="16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3"/>
      <c r="FW200" s="11"/>
    </row>
    <row r="201" spans="1:179" ht="18.75">
      <c r="A201" s="1" t="s">
        <v>1002</v>
      </c>
      <c r="B201" s="2" t="s">
        <v>1003</v>
      </c>
      <c r="C201" s="2" t="s">
        <v>757</v>
      </c>
      <c r="D201" s="2" t="str">
        <f>HYPERLINK("http://eros.fiehnlab.ucdavis.edu:8080/binbase-compound/bin/show/206556?db=rtx5","206556")</f>
        <v>206556</v>
      </c>
      <c r="E201" s="2" t="s">
        <v>38</v>
      </c>
      <c r="F201" s="2" t="s">
        <v>83</v>
      </c>
      <c r="G201" s="2" t="s">
        <v>83</v>
      </c>
      <c r="H201" s="7">
        <v>1013</v>
      </c>
      <c r="I201" s="7">
        <v>1025</v>
      </c>
      <c r="J201" s="7">
        <v>1858</v>
      </c>
      <c r="K201" s="7">
        <v>1101</v>
      </c>
      <c r="L201" s="7">
        <v>936</v>
      </c>
      <c r="M201" s="7">
        <v>909</v>
      </c>
      <c r="N201" s="7">
        <v>1244</v>
      </c>
      <c r="O201" s="7">
        <v>438</v>
      </c>
      <c r="P201" s="7">
        <v>1267</v>
      </c>
      <c r="Q201" s="7">
        <v>977</v>
      </c>
      <c r="R201" s="7">
        <v>1572</v>
      </c>
      <c r="S201" s="7">
        <v>940</v>
      </c>
      <c r="T201" s="7">
        <v>525</v>
      </c>
      <c r="U201" s="7">
        <v>1371</v>
      </c>
      <c r="V201" s="7">
        <v>1983</v>
      </c>
      <c r="W201" s="24">
        <f t="shared" si="18"/>
        <v>1143.9333333333334</v>
      </c>
      <c r="X201" s="25">
        <f t="shared" si="19"/>
        <v>427.3106041054357</v>
      </c>
      <c r="Y201" s="25"/>
      <c r="Z201" s="26"/>
      <c r="AA201" s="7">
        <v>1250</v>
      </c>
      <c r="AB201" s="7">
        <v>1168</v>
      </c>
      <c r="AC201" s="7">
        <v>1031</v>
      </c>
      <c r="AD201" s="7">
        <v>728</v>
      </c>
      <c r="AE201" s="7">
        <v>1232</v>
      </c>
      <c r="AF201" s="7">
        <v>1241</v>
      </c>
      <c r="AG201" s="7">
        <v>1159</v>
      </c>
      <c r="AH201" s="7">
        <v>886</v>
      </c>
      <c r="AI201" s="7">
        <v>1156</v>
      </c>
      <c r="AJ201" s="7">
        <v>1441</v>
      </c>
      <c r="AK201" s="7">
        <v>1082</v>
      </c>
      <c r="AL201" s="7">
        <v>922</v>
      </c>
      <c r="AM201" s="30">
        <f t="shared" si="20"/>
        <v>1108</v>
      </c>
      <c r="AN201" s="30">
        <f t="shared" si="21"/>
        <v>192.47384710183826</v>
      </c>
      <c r="AO201" s="30"/>
      <c r="AP201" s="29">
        <f t="shared" si="22"/>
        <v>0.9685879130485459</v>
      </c>
      <c r="AQ201" s="31">
        <f t="shared" si="23"/>
        <v>0.7897868484283354</v>
      </c>
      <c r="AR201" s="21" t="s">
        <v>1002</v>
      </c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DM201" s="16"/>
      <c r="DN201" s="16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3"/>
      <c r="FW201" s="11"/>
    </row>
    <row r="202" spans="1:179" ht="18.75">
      <c r="A202" s="1" t="s">
        <v>706</v>
      </c>
      <c r="B202" s="2" t="s">
        <v>707</v>
      </c>
      <c r="C202" s="2" t="s">
        <v>260</v>
      </c>
      <c r="D202" s="2" t="str">
        <f>HYPERLINK("http://eros.fiehnlab.ucdavis.edu:8080/binbase-compound/bin/show/359447?db=rtx5","359447")</f>
        <v>359447</v>
      </c>
      <c r="E202" s="2" t="s">
        <v>16</v>
      </c>
      <c r="F202" s="2" t="s">
        <v>83</v>
      </c>
      <c r="G202" s="2" t="s">
        <v>83</v>
      </c>
      <c r="H202" s="7">
        <v>656</v>
      </c>
      <c r="I202" s="7">
        <v>744</v>
      </c>
      <c r="J202" s="7">
        <v>1016</v>
      </c>
      <c r="K202" s="7">
        <v>547</v>
      </c>
      <c r="L202" s="7">
        <v>571</v>
      </c>
      <c r="M202" s="7">
        <v>772</v>
      </c>
      <c r="N202" s="7">
        <v>701</v>
      </c>
      <c r="O202" s="7">
        <v>594</v>
      </c>
      <c r="P202" s="7">
        <v>571</v>
      </c>
      <c r="Q202" s="7">
        <v>324</v>
      </c>
      <c r="R202" s="7">
        <v>729</v>
      </c>
      <c r="S202" s="7">
        <v>407</v>
      </c>
      <c r="T202" s="7">
        <v>482</v>
      </c>
      <c r="U202" s="7">
        <v>647</v>
      </c>
      <c r="V202" s="7">
        <v>887</v>
      </c>
      <c r="W202" s="24">
        <f t="shared" si="18"/>
        <v>643.2</v>
      </c>
      <c r="X202" s="25">
        <f t="shared" si="19"/>
        <v>177.6461973377743</v>
      </c>
      <c r="Y202" s="25"/>
      <c r="Z202" s="26"/>
      <c r="AA202" s="7">
        <v>968</v>
      </c>
      <c r="AB202" s="7">
        <v>458</v>
      </c>
      <c r="AC202" s="7">
        <v>588</v>
      </c>
      <c r="AD202" s="7">
        <v>273</v>
      </c>
      <c r="AE202" s="7">
        <v>664</v>
      </c>
      <c r="AF202" s="7">
        <v>629</v>
      </c>
      <c r="AG202" s="7">
        <v>584</v>
      </c>
      <c r="AH202" s="7">
        <v>487</v>
      </c>
      <c r="AI202" s="7">
        <v>834</v>
      </c>
      <c r="AJ202" s="7">
        <v>543</v>
      </c>
      <c r="AK202" s="7">
        <v>532</v>
      </c>
      <c r="AL202" s="7">
        <v>918</v>
      </c>
      <c r="AM202" s="30">
        <f t="shared" si="20"/>
        <v>623.1666666666666</v>
      </c>
      <c r="AN202" s="30">
        <f t="shared" si="21"/>
        <v>199.53028174523627</v>
      </c>
      <c r="AO202" s="30"/>
      <c r="AP202" s="29">
        <f t="shared" si="22"/>
        <v>0.9688536484245438</v>
      </c>
      <c r="AQ202" s="31">
        <f t="shared" si="23"/>
        <v>0.7850151110937219</v>
      </c>
      <c r="AR202" s="21" t="s">
        <v>706</v>
      </c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DM202" s="16"/>
      <c r="DN202" s="16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3"/>
      <c r="FW202" s="11"/>
    </row>
    <row r="203" spans="1:179" ht="18.75">
      <c r="A203" s="1" t="s">
        <v>682</v>
      </c>
      <c r="B203" s="2" t="s">
        <v>683</v>
      </c>
      <c r="C203" s="2" t="s">
        <v>684</v>
      </c>
      <c r="D203" s="2" t="str">
        <f>HYPERLINK("http://eros.fiehnlab.ucdavis.edu:8080/binbase-compound/bin/show/408701?db=rtx5","408701")</f>
        <v>408701</v>
      </c>
      <c r="E203" s="2" t="s">
        <v>159</v>
      </c>
      <c r="F203" s="2" t="s">
        <v>83</v>
      </c>
      <c r="G203" s="2" t="s">
        <v>83</v>
      </c>
      <c r="H203" s="7">
        <v>978</v>
      </c>
      <c r="I203" s="7">
        <v>1240</v>
      </c>
      <c r="J203" s="7">
        <v>3708</v>
      </c>
      <c r="K203" s="7">
        <v>1398</v>
      </c>
      <c r="L203" s="7">
        <v>818</v>
      </c>
      <c r="M203" s="7">
        <v>862</v>
      </c>
      <c r="N203" s="7">
        <v>1086</v>
      </c>
      <c r="O203" s="7">
        <v>857</v>
      </c>
      <c r="P203" s="7">
        <v>1243</v>
      </c>
      <c r="Q203" s="7">
        <v>1201</v>
      </c>
      <c r="R203" s="7">
        <v>1154</v>
      </c>
      <c r="S203" s="7">
        <v>986</v>
      </c>
      <c r="T203" s="7">
        <v>1184</v>
      </c>
      <c r="U203" s="7">
        <v>1567</v>
      </c>
      <c r="V203" s="7">
        <v>1737</v>
      </c>
      <c r="W203" s="24">
        <f t="shared" si="18"/>
        <v>1334.6</v>
      </c>
      <c r="X203" s="25">
        <f t="shared" si="19"/>
        <v>705.7055031263801</v>
      </c>
      <c r="Y203" s="25"/>
      <c r="Z203" s="26"/>
      <c r="AA203" s="7">
        <v>1546</v>
      </c>
      <c r="AB203" s="7">
        <v>1310</v>
      </c>
      <c r="AC203" s="7">
        <v>1252</v>
      </c>
      <c r="AD203" s="7">
        <v>1031</v>
      </c>
      <c r="AE203" s="7">
        <v>1259</v>
      </c>
      <c r="AF203" s="7">
        <v>1512</v>
      </c>
      <c r="AG203" s="7">
        <v>1041</v>
      </c>
      <c r="AH203" s="7">
        <v>1239</v>
      </c>
      <c r="AI203" s="7">
        <v>1319</v>
      </c>
      <c r="AJ203" s="7">
        <v>1199</v>
      </c>
      <c r="AK203" s="7">
        <v>1537</v>
      </c>
      <c r="AL203" s="7">
        <v>1280</v>
      </c>
      <c r="AM203" s="30">
        <f t="shared" si="20"/>
        <v>1293.75</v>
      </c>
      <c r="AN203" s="30">
        <f t="shared" si="21"/>
        <v>170.3926614937072</v>
      </c>
      <c r="AO203" s="30"/>
      <c r="AP203" s="29">
        <f t="shared" si="22"/>
        <v>0.9693915780008993</v>
      </c>
      <c r="AQ203" s="31">
        <f t="shared" si="23"/>
        <v>0.8467362989868075</v>
      </c>
      <c r="AR203" s="21" t="s">
        <v>682</v>
      </c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DM203" s="16"/>
      <c r="DN203" s="16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3"/>
      <c r="FW203" s="11"/>
    </row>
    <row r="204" spans="1:179" ht="18.75">
      <c r="A204" s="1" t="s">
        <v>811</v>
      </c>
      <c r="B204" s="2" t="s">
        <v>812</v>
      </c>
      <c r="C204" s="2" t="s">
        <v>535</v>
      </c>
      <c r="D204" s="2" t="str">
        <f>HYPERLINK("http://eros.fiehnlab.ucdavis.edu:8080/binbase-compound/bin/show/281148?db=rtx5","281148")</f>
        <v>281148</v>
      </c>
      <c r="E204" s="2" t="s">
        <v>53</v>
      </c>
      <c r="F204" s="2" t="s">
        <v>83</v>
      </c>
      <c r="G204" s="2" t="s">
        <v>83</v>
      </c>
      <c r="H204" s="7">
        <v>884</v>
      </c>
      <c r="I204" s="7">
        <v>232</v>
      </c>
      <c r="J204" s="7">
        <v>659</v>
      </c>
      <c r="K204" s="7">
        <v>477</v>
      </c>
      <c r="L204" s="7">
        <v>209</v>
      </c>
      <c r="M204" s="7">
        <v>430</v>
      </c>
      <c r="N204" s="7">
        <v>314</v>
      </c>
      <c r="O204" s="7">
        <v>131</v>
      </c>
      <c r="P204" s="7">
        <v>268</v>
      </c>
      <c r="Q204" s="7">
        <v>220</v>
      </c>
      <c r="R204" s="7">
        <v>313</v>
      </c>
      <c r="S204" s="7">
        <v>345</v>
      </c>
      <c r="T204" s="7">
        <v>341</v>
      </c>
      <c r="U204" s="7">
        <v>218</v>
      </c>
      <c r="V204" s="7">
        <v>1070</v>
      </c>
      <c r="W204" s="24">
        <f t="shared" si="18"/>
        <v>407.4</v>
      </c>
      <c r="X204" s="25">
        <f t="shared" si="19"/>
        <v>266.9576745478579</v>
      </c>
      <c r="Y204" s="25"/>
      <c r="Z204" s="26"/>
      <c r="AA204" s="7">
        <v>367</v>
      </c>
      <c r="AB204" s="7">
        <v>366</v>
      </c>
      <c r="AC204" s="7">
        <v>341</v>
      </c>
      <c r="AD204" s="7">
        <v>393</v>
      </c>
      <c r="AE204" s="7">
        <v>251</v>
      </c>
      <c r="AF204" s="7">
        <v>658</v>
      </c>
      <c r="AG204" s="7">
        <v>232</v>
      </c>
      <c r="AH204" s="7">
        <v>351</v>
      </c>
      <c r="AI204" s="7">
        <v>392</v>
      </c>
      <c r="AJ204" s="7">
        <v>552</v>
      </c>
      <c r="AK204" s="7">
        <v>354</v>
      </c>
      <c r="AL204" s="7">
        <v>496</v>
      </c>
      <c r="AM204" s="30">
        <f t="shared" si="20"/>
        <v>396.0833333333333</v>
      </c>
      <c r="AN204" s="30">
        <f t="shared" si="21"/>
        <v>120.40874200619804</v>
      </c>
      <c r="AO204" s="30"/>
      <c r="AP204" s="29">
        <f t="shared" si="22"/>
        <v>0.9722222222222222</v>
      </c>
      <c r="AQ204" s="31">
        <f t="shared" si="23"/>
        <v>0.8930579301942951</v>
      </c>
      <c r="AR204" s="21" t="s">
        <v>811</v>
      </c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DM204" s="16"/>
      <c r="DN204" s="16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3"/>
      <c r="FW204" s="11"/>
    </row>
    <row r="205" spans="1:179" ht="18.75">
      <c r="A205" s="1" t="s">
        <v>333</v>
      </c>
      <c r="B205" s="2" t="s">
        <v>334</v>
      </c>
      <c r="C205" s="2" t="s">
        <v>335</v>
      </c>
      <c r="D205" s="2" t="str">
        <f>HYPERLINK("http://eros.fiehnlab.ucdavis.edu:8080/binbase-compound/bin/show/199929?db=rtx5","199929")</f>
        <v>199929</v>
      </c>
      <c r="E205" s="2" t="s">
        <v>1147</v>
      </c>
      <c r="F205" s="2" t="str">
        <f>HYPERLINK("http://www.genome.ad.jp/dbget-bin/www_bget?compound+C06424","C06424")</f>
        <v>C06424</v>
      </c>
      <c r="G205" s="2" t="str">
        <f>HYPERLINK("http://pubchem.ncbi.nlm.nih.gov/summary/summary.cgi?cid=11005","11005")</f>
        <v>11005</v>
      </c>
      <c r="H205" s="7">
        <v>5726</v>
      </c>
      <c r="I205" s="7">
        <v>4588</v>
      </c>
      <c r="J205" s="7">
        <v>6220</v>
      </c>
      <c r="K205" s="7">
        <v>5167</v>
      </c>
      <c r="L205" s="7">
        <v>4535</v>
      </c>
      <c r="M205" s="7">
        <v>4825</v>
      </c>
      <c r="N205" s="7">
        <v>4061</v>
      </c>
      <c r="O205" s="7">
        <v>3346</v>
      </c>
      <c r="P205" s="7">
        <v>3383</v>
      </c>
      <c r="Q205" s="7">
        <v>3819</v>
      </c>
      <c r="R205" s="7">
        <v>5390</v>
      </c>
      <c r="S205" s="7">
        <v>5019</v>
      </c>
      <c r="T205" s="7">
        <v>4590</v>
      </c>
      <c r="U205" s="7">
        <v>5651</v>
      </c>
      <c r="V205" s="7">
        <v>5452</v>
      </c>
      <c r="W205" s="24">
        <f t="shared" si="18"/>
        <v>4784.8</v>
      </c>
      <c r="X205" s="25">
        <f t="shared" si="19"/>
        <v>859.4369585457005</v>
      </c>
      <c r="Y205" s="25"/>
      <c r="Z205" s="26"/>
      <c r="AA205" s="7">
        <v>4519</v>
      </c>
      <c r="AB205" s="7">
        <v>5125</v>
      </c>
      <c r="AC205" s="7">
        <v>5471</v>
      </c>
      <c r="AD205" s="7">
        <v>4390</v>
      </c>
      <c r="AE205" s="7">
        <v>4487</v>
      </c>
      <c r="AF205" s="7">
        <v>4551</v>
      </c>
      <c r="AG205" s="7">
        <v>4460</v>
      </c>
      <c r="AH205" s="7">
        <v>6269</v>
      </c>
      <c r="AI205" s="7">
        <v>3749</v>
      </c>
      <c r="AJ205" s="7">
        <v>3249</v>
      </c>
      <c r="AK205" s="7">
        <v>6064</v>
      </c>
      <c r="AL205" s="7">
        <v>3489</v>
      </c>
      <c r="AM205" s="30">
        <f t="shared" si="20"/>
        <v>4651.916666666667</v>
      </c>
      <c r="AN205" s="30">
        <f t="shared" si="21"/>
        <v>943.8765769020023</v>
      </c>
      <c r="AO205" s="30"/>
      <c r="AP205" s="29">
        <f t="shared" si="22"/>
        <v>0.972228027643092</v>
      </c>
      <c r="AQ205" s="31">
        <f t="shared" si="23"/>
        <v>0.7055002502464223</v>
      </c>
      <c r="AR205" s="21" t="s">
        <v>333</v>
      </c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DM205" s="16"/>
      <c r="DN205" s="16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3"/>
      <c r="FW205" s="11"/>
    </row>
    <row r="206" spans="1:179" ht="18.75">
      <c r="A206" s="1" t="s">
        <v>387</v>
      </c>
      <c r="B206" s="2" t="s">
        <v>388</v>
      </c>
      <c r="C206" s="2" t="s">
        <v>389</v>
      </c>
      <c r="D206" s="2" t="str">
        <f>HYPERLINK("http://eros.fiehnlab.ucdavis.edu:8080/binbase-compound/bin/show/199172?db=rtx5","199172")</f>
        <v>199172</v>
      </c>
      <c r="E206" s="2" t="s">
        <v>603</v>
      </c>
      <c r="F206" s="2" t="str">
        <f>HYPERLINK("http://www.genome.ad.jp/dbget-bin/www_bget?compound+C00311","C00311")</f>
        <v>C00311</v>
      </c>
      <c r="G206" s="2" t="str">
        <f>HYPERLINK("http://pubchem.ncbi.nlm.nih.gov/summary/summary.cgi?cid=5318532","5318532")</f>
        <v>5318532</v>
      </c>
      <c r="H206" s="7">
        <v>2223</v>
      </c>
      <c r="I206" s="7">
        <v>1947</v>
      </c>
      <c r="J206" s="7">
        <v>1146</v>
      </c>
      <c r="K206" s="7">
        <v>1214</v>
      </c>
      <c r="L206" s="7">
        <v>1431</v>
      </c>
      <c r="M206" s="7">
        <v>1391</v>
      </c>
      <c r="N206" s="7">
        <v>1335</v>
      </c>
      <c r="O206" s="7">
        <v>1337</v>
      </c>
      <c r="P206" s="7">
        <v>1190</v>
      </c>
      <c r="Q206" s="7">
        <v>1009</v>
      </c>
      <c r="R206" s="7">
        <v>1615</v>
      </c>
      <c r="S206" s="7">
        <v>1474</v>
      </c>
      <c r="T206" s="7">
        <v>1420</v>
      </c>
      <c r="U206" s="7">
        <v>980</v>
      </c>
      <c r="V206" s="7">
        <v>1639</v>
      </c>
      <c r="W206" s="24">
        <f t="shared" si="18"/>
        <v>1423.4</v>
      </c>
      <c r="X206" s="25">
        <f t="shared" si="19"/>
        <v>333.7316715138506</v>
      </c>
      <c r="Y206" s="25"/>
      <c r="Z206" s="26"/>
      <c r="AA206" s="7">
        <v>1398</v>
      </c>
      <c r="AB206" s="7">
        <v>1096</v>
      </c>
      <c r="AC206" s="7">
        <v>1285</v>
      </c>
      <c r="AD206" s="7">
        <v>972</v>
      </c>
      <c r="AE206" s="7">
        <v>1126</v>
      </c>
      <c r="AF206" s="7">
        <v>1730</v>
      </c>
      <c r="AG206" s="7">
        <v>1841</v>
      </c>
      <c r="AH206" s="7">
        <v>1582</v>
      </c>
      <c r="AI206" s="7">
        <v>1677</v>
      </c>
      <c r="AJ206" s="7">
        <v>933</v>
      </c>
      <c r="AK206" s="7">
        <v>1501</v>
      </c>
      <c r="AL206" s="7">
        <v>1468</v>
      </c>
      <c r="AM206" s="30">
        <f t="shared" si="20"/>
        <v>1384.0833333333333</v>
      </c>
      <c r="AN206" s="30">
        <f t="shared" si="21"/>
        <v>302.5667344370146</v>
      </c>
      <c r="AO206" s="30"/>
      <c r="AP206" s="29">
        <f t="shared" si="22"/>
        <v>0.972378342934757</v>
      </c>
      <c r="AQ206" s="31">
        <f t="shared" si="23"/>
        <v>0.7539911704601392</v>
      </c>
      <c r="AR206" s="21" t="s">
        <v>387</v>
      </c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DM206" s="16"/>
      <c r="DN206" s="16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3"/>
      <c r="FW206" s="11"/>
    </row>
    <row r="207" spans="1:179" ht="18.75">
      <c r="A207" s="1" t="s">
        <v>432</v>
      </c>
      <c r="B207" s="2" t="s">
        <v>433</v>
      </c>
      <c r="C207" s="2" t="s">
        <v>233</v>
      </c>
      <c r="D207" s="2" t="str">
        <f>HYPERLINK("http://eros.fiehnlab.ucdavis.edu:8080/binbase-compound/bin/show/219178?db=rtx5","219178")</f>
        <v>219178</v>
      </c>
      <c r="E207" s="2" t="s">
        <v>19</v>
      </c>
      <c r="F207" s="2" t="str">
        <f>HYPERLINK("http://www.genome.ad.jp/dbget-bin/www_bget?compound+C00489","C00489")</f>
        <v>C00489</v>
      </c>
      <c r="G207" s="2" t="str">
        <f>HYPERLINK("http://pubchem.ncbi.nlm.nih.gov/summary/summary.cgi?cid=743","743")</f>
        <v>743</v>
      </c>
      <c r="H207" s="7">
        <v>209</v>
      </c>
      <c r="I207" s="7">
        <v>277</v>
      </c>
      <c r="J207" s="7">
        <v>643</v>
      </c>
      <c r="K207" s="7">
        <v>335</v>
      </c>
      <c r="L207" s="7">
        <v>269</v>
      </c>
      <c r="M207" s="7">
        <v>272</v>
      </c>
      <c r="N207" s="7">
        <v>319</v>
      </c>
      <c r="O207" s="7">
        <v>223</v>
      </c>
      <c r="P207" s="7">
        <v>248</v>
      </c>
      <c r="Q207" s="7">
        <v>262</v>
      </c>
      <c r="R207" s="7">
        <v>365</v>
      </c>
      <c r="S207" s="7">
        <v>239</v>
      </c>
      <c r="T207" s="7">
        <v>291</v>
      </c>
      <c r="U207" s="7">
        <v>294</v>
      </c>
      <c r="V207" s="7">
        <v>450</v>
      </c>
      <c r="W207" s="24">
        <f t="shared" si="18"/>
        <v>313.06666666666666</v>
      </c>
      <c r="X207" s="25">
        <f t="shared" si="19"/>
        <v>109.50177211003526</v>
      </c>
      <c r="Y207" s="25"/>
      <c r="Z207" s="26"/>
      <c r="AA207" s="7">
        <v>273</v>
      </c>
      <c r="AB207" s="7">
        <v>391</v>
      </c>
      <c r="AC207" s="7">
        <v>275</v>
      </c>
      <c r="AD207" s="7">
        <v>419</v>
      </c>
      <c r="AE207" s="7">
        <v>325</v>
      </c>
      <c r="AF207" s="7">
        <v>248</v>
      </c>
      <c r="AG207" s="7">
        <v>177</v>
      </c>
      <c r="AH207" s="7">
        <v>343</v>
      </c>
      <c r="AI207" s="7">
        <v>335</v>
      </c>
      <c r="AJ207" s="7">
        <v>400</v>
      </c>
      <c r="AK207" s="7">
        <v>217</v>
      </c>
      <c r="AL207" s="7">
        <v>253</v>
      </c>
      <c r="AM207" s="30">
        <f t="shared" si="20"/>
        <v>304.6666666666667</v>
      </c>
      <c r="AN207" s="30">
        <f t="shared" si="21"/>
        <v>76.37507129392104</v>
      </c>
      <c r="AO207" s="30"/>
      <c r="AP207" s="29">
        <f t="shared" si="22"/>
        <v>0.973168654173765</v>
      </c>
      <c r="AQ207" s="31">
        <f t="shared" si="23"/>
        <v>0.8237103056024936</v>
      </c>
      <c r="AR207" s="21" t="s">
        <v>432</v>
      </c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DM207" s="16"/>
      <c r="DN207" s="16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3"/>
      <c r="FW207" s="11"/>
    </row>
    <row r="208" spans="1:179" ht="18.75">
      <c r="A208" s="1" t="s">
        <v>89</v>
      </c>
      <c r="B208" s="2" t="s">
        <v>766</v>
      </c>
      <c r="C208" s="2" t="s">
        <v>243</v>
      </c>
      <c r="D208" s="2" t="str">
        <f>HYPERLINK("http://eros.fiehnlab.ucdavis.edu:8080/binbase-compound/bin/show/208880?db=rtx5","208880")</f>
        <v>208880</v>
      </c>
      <c r="E208" s="2" t="s">
        <v>170</v>
      </c>
      <c r="F208" s="2" t="str">
        <f>HYPERLINK("http://www.genome.ad.jp/dbget-bin/www_bget?compound+n/a","n/a")</f>
        <v>n/a</v>
      </c>
      <c r="G208" s="2" t="str">
        <f>HYPERLINK("http://pubchem.ncbi.nlm.nih.gov/summary/summary.cgi?cid=150929","150929")</f>
        <v>150929</v>
      </c>
      <c r="H208" s="7">
        <v>6454</v>
      </c>
      <c r="I208" s="7">
        <v>3867</v>
      </c>
      <c r="J208" s="7">
        <v>3011</v>
      </c>
      <c r="K208" s="7">
        <v>3871</v>
      </c>
      <c r="L208" s="7">
        <v>6882</v>
      </c>
      <c r="M208" s="7">
        <v>5013</v>
      </c>
      <c r="N208" s="7">
        <v>3734</v>
      </c>
      <c r="O208" s="7">
        <v>3881</v>
      </c>
      <c r="P208" s="7">
        <v>4520</v>
      </c>
      <c r="Q208" s="7">
        <v>3983</v>
      </c>
      <c r="R208" s="7">
        <v>6366</v>
      </c>
      <c r="S208" s="7">
        <v>2871</v>
      </c>
      <c r="T208" s="7">
        <v>3021</v>
      </c>
      <c r="U208" s="7">
        <v>3587</v>
      </c>
      <c r="V208" s="7">
        <v>6530</v>
      </c>
      <c r="W208" s="24">
        <f t="shared" si="18"/>
        <v>4506.066666666667</v>
      </c>
      <c r="X208" s="25">
        <f t="shared" si="19"/>
        <v>1395.994804875038</v>
      </c>
      <c r="Y208" s="25"/>
      <c r="Z208" s="26"/>
      <c r="AA208" s="7">
        <v>3403</v>
      </c>
      <c r="AB208" s="7">
        <v>4034</v>
      </c>
      <c r="AC208" s="7">
        <v>5447</v>
      </c>
      <c r="AD208" s="7">
        <v>3249</v>
      </c>
      <c r="AE208" s="7">
        <v>4573</v>
      </c>
      <c r="AF208" s="7">
        <v>3101</v>
      </c>
      <c r="AG208" s="7">
        <v>4787</v>
      </c>
      <c r="AH208" s="7">
        <v>4996</v>
      </c>
      <c r="AI208" s="7">
        <v>5494</v>
      </c>
      <c r="AJ208" s="7">
        <v>6412</v>
      </c>
      <c r="AK208" s="7">
        <v>3371</v>
      </c>
      <c r="AL208" s="7">
        <v>3766</v>
      </c>
      <c r="AM208" s="30">
        <f t="shared" si="20"/>
        <v>4386.083333333333</v>
      </c>
      <c r="AN208" s="30">
        <f t="shared" si="21"/>
        <v>1064.9260715555738</v>
      </c>
      <c r="AO208" s="30"/>
      <c r="AP208" s="29">
        <f t="shared" si="22"/>
        <v>0.9733729342663964</v>
      </c>
      <c r="AQ208" s="31">
        <f t="shared" si="23"/>
        <v>0.8079515422705511</v>
      </c>
      <c r="AR208" s="21" t="s">
        <v>89</v>
      </c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DM208" s="16"/>
      <c r="DN208" s="16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3"/>
      <c r="FW208" s="11"/>
    </row>
    <row r="209" spans="1:179" ht="18.75">
      <c r="A209" s="1" t="s">
        <v>1078</v>
      </c>
      <c r="B209" s="2" t="s">
        <v>221</v>
      </c>
      <c r="C209" s="2" t="s">
        <v>222</v>
      </c>
      <c r="D209" s="2" t="str">
        <f>HYPERLINK("http://eros.fiehnlab.ucdavis.edu:8080/binbase-compound/bin/show/381469?db=rtx5","381469")</f>
        <v>381469</v>
      </c>
      <c r="E209" s="2" t="s">
        <v>223</v>
      </c>
      <c r="F209" s="2" t="str">
        <f>HYPERLINK("http://www.genome.ad.jp/dbget-bin/www_bget?compound+C00082","C00082")</f>
        <v>C00082</v>
      </c>
      <c r="G209" s="2" t="str">
        <f>HYPERLINK("http://pubchem.ncbi.nlm.nih.gov/summary/summary.cgi?cid=6057","6057")</f>
        <v>6057</v>
      </c>
      <c r="H209" s="7">
        <v>125842</v>
      </c>
      <c r="I209" s="7">
        <v>120034</v>
      </c>
      <c r="J209" s="7">
        <v>84493</v>
      </c>
      <c r="K209" s="7">
        <v>119793</v>
      </c>
      <c r="L209" s="7">
        <v>118141</v>
      </c>
      <c r="M209" s="7">
        <v>193531</v>
      </c>
      <c r="N209" s="7">
        <v>183199</v>
      </c>
      <c r="O209" s="7">
        <v>178003</v>
      </c>
      <c r="P209" s="7">
        <v>145010</v>
      </c>
      <c r="Q209" s="7">
        <v>183371</v>
      </c>
      <c r="R209" s="7">
        <v>142945</v>
      </c>
      <c r="S209" s="7">
        <v>112778</v>
      </c>
      <c r="T209" s="7">
        <v>160770</v>
      </c>
      <c r="U209" s="7">
        <v>123265</v>
      </c>
      <c r="V209" s="7">
        <v>128496</v>
      </c>
      <c r="W209" s="24">
        <f t="shared" si="18"/>
        <v>141311.4</v>
      </c>
      <c r="X209" s="25">
        <f t="shared" si="19"/>
        <v>31865.855115736987</v>
      </c>
      <c r="Y209" s="25"/>
      <c r="Z209" s="26"/>
      <c r="AA209" s="7">
        <v>127349</v>
      </c>
      <c r="AB209" s="7">
        <v>133001</v>
      </c>
      <c r="AC209" s="7">
        <v>140695</v>
      </c>
      <c r="AD209" s="7">
        <v>209432</v>
      </c>
      <c r="AE209" s="7">
        <v>136645</v>
      </c>
      <c r="AF209" s="7">
        <v>102768</v>
      </c>
      <c r="AG209" s="7">
        <v>129528</v>
      </c>
      <c r="AH209" s="7">
        <v>137174</v>
      </c>
      <c r="AI209" s="7">
        <v>129049</v>
      </c>
      <c r="AJ209" s="7">
        <v>174397</v>
      </c>
      <c r="AK209" s="7">
        <v>115620</v>
      </c>
      <c r="AL209" s="7">
        <v>115275</v>
      </c>
      <c r="AM209" s="30">
        <f t="shared" si="20"/>
        <v>137577.75</v>
      </c>
      <c r="AN209" s="30">
        <f t="shared" si="21"/>
        <v>28578.165305081176</v>
      </c>
      <c r="AO209" s="30"/>
      <c r="AP209" s="29">
        <f t="shared" si="22"/>
        <v>0.9735785647867051</v>
      </c>
      <c r="AQ209" s="31">
        <f t="shared" si="23"/>
        <v>0.7542827370537974</v>
      </c>
      <c r="AR209" s="21" t="s">
        <v>1078</v>
      </c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DM209" s="16"/>
      <c r="DN209" s="16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3"/>
      <c r="FW209" s="11"/>
    </row>
    <row r="210" spans="1:179" ht="18.75">
      <c r="A210" s="1" t="s">
        <v>102</v>
      </c>
      <c r="B210" s="2" t="s">
        <v>286</v>
      </c>
      <c r="C210" s="2" t="s">
        <v>287</v>
      </c>
      <c r="D210" s="2" t="str">
        <f>HYPERLINK("http://eros.fiehnlab.ucdavis.edu:8080/binbase-compound/bin/show/272666?db=rtx5","272666")</f>
        <v>272666</v>
      </c>
      <c r="E210" s="2" t="s">
        <v>600</v>
      </c>
      <c r="F210" s="2" t="str">
        <f>HYPERLINK("http://www.genome.ad.jp/dbget-bin/www_bget?compound+C02457","C02457")</f>
        <v>C02457</v>
      </c>
      <c r="G210" s="2" t="str">
        <f>HYPERLINK("http://pubchem.ncbi.nlm.nih.gov/summary/summary.cgi?cid=10442","10442")</f>
        <v>10442</v>
      </c>
      <c r="H210" s="7">
        <v>1277</v>
      </c>
      <c r="I210" s="7">
        <v>1065</v>
      </c>
      <c r="J210" s="7">
        <v>2143</v>
      </c>
      <c r="K210" s="7">
        <v>1302</v>
      </c>
      <c r="L210" s="7">
        <v>1007</v>
      </c>
      <c r="M210" s="7">
        <v>578</v>
      </c>
      <c r="N210" s="7">
        <v>1219</v>
      </c>
      <c r="O210" s="7">
        <v>704</v>
      </c>
      <c r="P210" s="7">
        <v>1048</v>
      </c>
      <c r="Q210" s="7">
        <v>1269</v>
      </c>
      <c r="R210" s="7">
        <v>282</v>
      </c>
      <c r="S210" s="7">
        <v>1063</v>
      </c>
      <c r="T210" s="7">
        <v>1481</v>
      </c>
      <c r="U210" s="7">
        <v>1402</v>
      </c>
      <c r="V210" s="7">
        <v>980</v>
      </c>
      <c r="W210" s="24">
        <f t="shared" si="18"/>
        <v>1121.3333333333333</v>
      </c>
      <c r="X210" s="25">
        <f t="shared" si="19"/>
        <v>427.5355735686407</v>
      </c>
      <c r="Y210" s="25"/>
      <c r="Z210" s="26"/>
      <c r="AA210" s="7">
        <v>1848</v>
      </c>
      <c r="AB210" s="7">
        <v>1258</v>
      </c>
      <c r="AC210" s="7">
        <v>1070</v>
      </c>
      <c r="AD210" s="7">
        <v>676</v>
      </c>
      <c r="AE210" s="7">
        <v>1151</v>
      </c>
      <c r="AF210" s="7">
        <v>1309</v>
      </c>
      <c r="AG210" s="7">
        <v>942</v>
      </c>
      <c r="AH210" s="7">
        <v>1255</v>
      </c>
      <c r="AI210" s="7">
        <v>814</v>
      </c>
      <c r="AJ210" s="7">
        <v>689</v>
      </c>
      <c r="AK210" s="7">
        <v>1276</v>
      </c>
      <c r="AL210" s="7">
        <v>826</v>
      </c>
      <c r="AM210" s="30">
        <f t="shared" si="20"/>
        <v>1092.8333333333333</v>
      </c>
      <c r="AN210" s="30">
        <f t="shared" si="21"/>
        <v>332.56136367001585</v>
      </c>
      <c r="AO210" s="30"/>
      <c r="AP210" s="29">
        <f t="shared" si="22"/>
        <v>0.9745838287752675</v>
      </c>
      <c r="AQ210" s="31">
        <f t="shared" si="23"/>
        <v>0.851343346244016</v>
      </c>
      <c r="AR210" s="21" t="s">
        <v>102</v>
      </c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DM210" s="16"/>
      <c r="DN210" s="16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3"/>
      <c r="FW210" s="11"/>
    </row>
    <row r="211" spans="1:179" ht="18.75">
      <c r="A211" s="1" t="s">
        <v>881</v>
      </c>
      <c r="B211" s="2" t="s">
        <v>882</v>
      </c>
      <c r="C211" s="2" t="s">
        <v>213</v>
      </c>
      <c r="D211" s="2" t="str">
        <f>HYPERLINK("http://eros.fiehnlab.ucdavis.edu:8080/binbase-compound/bin/show/235373?db=rtx5","235373")</f>
        <v>235373</v>
      </c>
      <c r="E211" s="2" t="s">
        <v>110</v>
      </c>
      <c r="F211" s="2" t="s">
        <v>83</v>
      </c>
      <c r="G211" s="2" t="s">
        <v>83</v>
      </c>
      <c r="H211" s="7">
        <v>1989</v>
      </c>
      <c r="I211" s="7">
        <v>2199</v>
      </c>
      <c r="J211" s="7">
        <v>3308</v>
      </c>
      <c r="K211" s="7">
        <v>2396</v>
      </c>
      <c r="L211" s="7">
        <v>4229</v>
      </c>
      <c r="M211" s="7">
        <v>2833</v>
      </c>
      <c r="N211" s="7">
        <v>3564</v>
      </c>
      <c r="O211" s="7">
        <v>1567</v>
      </c>
      <c r="P211" s="7">
        <v>1196</v>
      </c>
      <c r="Q211" s="7">
        <v>1252</v>
      </c>
      <c r="R211" s="7">
        <v>3546</v>
      </c>
      <c r="S211" s="7">
        <v>1757</v>
      </c>
      <c r="T211" s="7">
        <v>1505</v>
      </c>
      <c r="U211" s="7">
        <v>3527</v>
      </c>
      <c r="V211" s="7">
        <v>4704</v>
      </c>
      <c r="W211" s="24">
        <f t="shared" si="18"/>
        <v>2638.133333333333</v>
      </c>
      <c r="X211" s="25">
        <f t="shared" si="19"/>
        <v>1122.45139039939</v>
      </c>
      <c r="Y211" s="25"/>
      <c r="Z211" s="26"/>
      <c r="AA211" s="7">
        <v>1199</v>
      </c>
      <c r="AB211" s="7">
        <v>1675</v>
      </c>
      <c r="AC211" s="7">
        <v>1164</v>
      </c>
      <c r="AD211" s="7">
        <v>5012</v>
      </c>
      <c r="AE211" s="7">
        <v>2759</v>
      </c>
      <c r="AF211" s="7">
        <v>1181</v>
      </c>
      <c r="AG211" s="7">
        <v>2738</v>
      </c>
      <c r="AH211" s="7">
        <v>1119</v>
      </c>
      <c r="AI211" s="7">
        <v>3656</v>
      </c>
      <c r="AJ211" s="7">
        <v>6773</v>
      </c>
      <c r="AK211" s="7">
        <v>1287</v>
      </c>
      <c r="AL211" s="7">
        <v>2384</v>
      </c>
      <c r="AM211" s="30">
        <f t="shared" si="20"/>
        <v>2578.9166666666665</v>
      </c>
      <c r="AN211" s="30">
        <f t="shared" si="21"/>
        <v>1789.9687380882756</v>
      </c>
      <c r="AO211" s="30"/>
      <c r="AP211" s="29">
        <f t="shared" si="22"/>
        <v>0.9775535732335995</v>
      </c>
      <c r="AQ211" s="31">
        <f t="shared" si="23"/>
        <v>0.9171142796222536</v>
      </c>
      <c r="AR211" s="21" t="s">
        <v>881</v>
      </c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DM211" s="16"/>
      <c r="DN211" s="16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3"/>
      <c r="FW211" s="11"/>
    </row>
    <row r="212" spans="1:179" ht="18.75">
      <c r="A212" s="1" t="s">
        <v>505</v>
      </c>
      <c r="B212" s="2" t="s">
        <v>506</v>
      </c>
      <c r="C212" s="2" t="s">
        <v>243</v>
      </c>
      <c r="D212" s="2" t="str">
        <f>HYPERLINK("http://eros.fiehnlab.ucdavis.edu:8080/binbase-compound/bin/show/213517?db=rtx5","213517")</f>
        <v>213517</v>
      </c>
      <c r="E212" s="2" t="s">
        <v>1132</v>
      </c>
      <c r="F212" s="2" t="str">
        <f>HYPERLINK("http://www.genome.ad.jp/dbget-bin/www_bget?compound+C01571","C01571")</f>
        <v>C01571</v>
      </c>
      <c r="G212" s="2" t="str">
        <f>HYPERLINK("http://pubchem.ncbi.nlm.nih.gov/summary/summary.cgi?cid=2969","2969")</f>
        <v>2969</v>
      </c>
      <c r="H212" s="7">
        <v>9933</v>
      </c>
      <c r="I212" s="7">
        <v>10898</v>
      </c>
      <c r="J212" s="7">
        <v>9630</v>
      </c>
      <c r="K212" s="7">
        <v>11251</v>
      </c>
      <c r="L212" s="7">
        <v>10233</v>
      </c>
      <c r="M212" s="7">
        <v>8189</v>
      </c>
      <c r="N212" s="7">
        <v>5948</v>
      </c>
      <c r="O212" s="7">
        <v>11179</v>
      </c>
      <c r="P212" s="7">
        <v>6725</v>
      </c>
      <c r="Q212" s="7">
        <v>6363</v>
      </c>
      <c r="R212" s="7">
        <v>9018</v>
      </c>
      <c r="S212" s="7">
        <v>9243</v>
      </c>
      <c r="T212" s="7">
        <v>7831</v>
      </c>
      <c r="U212" s="7">
        <v>12395</v>
      </c>
      <c r="V212" s="7">
        <v>9193</v>
      </c>
      <c r="W212" s="24">
        <f t="shared" si="18"/>
        <v>9201.933333333332</v>
      </c>
      <c r="X212" s="25">
        <f t="shared" si="19"/>
        <v>1902.714131620058</v>
      </c>
      <c r="Y212" s="25"/>
      <c r="Z212" s="26"/>
      <c r="AA212" s="7">
        <v>7079</v>
      </c>
      <c r="AB212" s="7">
        <v>7540</v>
      </c>
      <c r="AC212" s="7">
        <v>8221</v>
      </c>
      <c r="AD212" s="7">
        <v>10720</v>
      </c>
      <c r="AE212" s="7">
        <v>12907</v>
      </c>
      <c r="AF212" s="7">
        <v>8918</v>
      </c>
      <c r="AG212" s="7">
        <v>9627</v>
      </c>
      <c r="AH212" s="7">
        <v>10641</v>
      </c>
      <c r="AI212" s="7">
        <v>6009</v>
      </c>
      <c r="AJ212" s="7">
        <v>10557</v>
      </c>
      <c r="AK212" s="7">
        <v>8768</v>
      </c>
      <c r="AL212" s="7">
        <v>7018</v>
      </c>
      <c r="AM212" s="30">
        <f t="shared" si="20"/>
        <v>9000.416666666666</v>
      </c>
      <c r="AN212" s="30">
        <f t="shared" si="21"/>
        <v>1979.3695258078938</v>
      </c>
      <c r="AO212" s="30"/>
      <c r="AP212" s="29">
        <f t="shared" si="22"/>
        <v>0.9781006165371046</v>
      </c>
      <c r="AQ212" s="31">
        <f t="shared" si="23"/>
        <v>0.7904082547549466</v>
      </c>
      <c r="AR212" s="21" t="s">
        <v>505</v>
      </c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DM212" s="16"/>
      <c r="DN212" s="16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3"/>
      <c r="FW212" s="11"/>
    </row>
    <row r="213" spans="1:179" ht="18.75">
      <c r="A213" s="1" t="s">
        <v>872</v>
      </c>
      <c r="B213" s="2" t="s">
        <v>873</v>
      </c>
      <c r="C213" s="2" t="s">
        <v>206</v>
      </c>
      <c r="D213" s="2" t="str">
        <f>HYPERLINK("http://eros.fiehnlab.ucdavis.edu:8080/binbase-compound/bin/show/236890?db=rtx5","236890")</f>
        <v>236890</v>
      </c>
      <c r="E213" s="2" t="s">
        <v>131</v>
      </c>
      <c r="F213" s="2" t="s">
        <v>83</v>
      </c>
      <c r="G213" s="2" t="s">
        <v>83</v>
      </c>
      <c r="H213" s="7">
        <v>1343</v>
      </c>
      <c r="I213" s="7">
        <v>3006</v>
      </c>
      <c r="J213" s="7">
        <v>2394</v>
      </c>
      <c r="K213" s="7">
        <v>977</v>
      </c>
      <c r="L213" s="7">
        <v>1610</v>
      </c>
      <c r="M213" s="7">
        <v>3683</v>
      </c>
      <c r="N213" s="7">
        <v>1810</v>
      </c>
      <c r="O213" s="7">
        <v>2569</v>
      </c>
      <c r="P213" s="7">
        <v>4547</v>
      </c>
      <c r="Q213" s="7">
        <v>2463</v>
      </c>
      <c r="R213" s="7">
        <v>2631</v>
      </c>
      <c r="S213" s="7">
        <v>2227</v>
      </c>
      <c r="T213" s="7">
        <v>2794</v>
      </c>
      <c r="U213" s="7">
        <v>4703</v>
      </c>
      <c r="V213" s="7">
        <v>5228</v>
      </c>
      <c r="W213" s="24">
        <f t="shared" si="18"/>
        <v>2799</v>
      </c>
      <c r="X213" s="25">
        <f t="shared" si="19"/>
        <v>1251.3359147041897</v>
      </c>
      <c r="Y213" s="25"/>
      <c r="Z213" s="26"/>
      <c r="AA213" s="7">
        <v>2045</v>
      </c>
      <c r="AB213" s="7">
        <v>4119</v>
      </c>
      <c r="AC213" s="7">
        <v>2840</v>
      </c>
      <c r="AD213" s="7">
        <v>961</v>
      </c>
      <c r="AE213" s="7">
        <v>4093</v>
      </c>
      <c r="AF213" s="7">
        <v>2864</v>
      </c>
      <c r="AG213" s="7">
        <v>1239</v>
      </c>
      <c r="AH213" s="7">
        <v>3332</v>
      </c>
      <c r="AI213" s="7">
        <v>2686</v>
      </c>
      <c r="AJ213" s="7">
        <v>830</v>
      </c>
      <c r="AK213" s="7">
        <v>5864</v>
      </c>
      <c r="AL213" s="7">
        <v>2047</v>
      </c>
      <c r="AM213" s="30">
        <f t="shared" si="20"/>
        <v>2743.3333333333335</v>
      </c>
      <c r="AN213" s="30">
        <f t="shared" si="21"/>
        <v>1474.0008840094386</v>
      </c>
      <c r="AO213" s="30"/>
      <c r="AP213" s="29">
        <f t="shared" si="22"/>
        <v>0.9801119447421699</v>
      </c>
      <c r="AQ213" s="31">
        <f t="shared" si="23"/>
        <v>0.916297830189335</v>
      </c>
      <c r="AR213" s="21" t="s">
        <v>872</v>
      </c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DM213" s="16"/>
      <c r="DN213" s="16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3"/>
      <c r="FW213" s="11"/>
    </row>
    <row r="214" spans="1:179" ht="18.75">
      <c r="A214" s="1" t="s">
        <v>975</v>
      </c>
      <c r="B214" s="2" t="s">
        <v>976</v>
      </c>
      <c r="C214" s="2" t="s">
        <v>710</v>
      </c>
      <c r="D214" s="2" t="str">
        <f>HYPERLINK("http://eros.fiehnlab.ucdavis.edu:8080/binbase-compound/bin/show/217882?db=rtx5","217882")</f>
        <v>217882</v>
      </c>
      <c r="E214" s="2" t="s">
        <v>151</v>
      </c>
      <c r="F214" s="2" t="s">
        <v>83</v>
      </c>
      <c r="G214" s="2" t="s">
        <v>83</v>
      </c>
      <c r="H214" s="7">
        <v>1189</v>
      </c>
      <c r="I214" s="7">
        <v>1532</v>
      </c>
      <c r="J214" s="7">
        <v>4096</v>
      </c>
      <c r="K214" s="7">
        <v>1551</v>
      </c>
      <c r="L214" s="7">
        <v>1325</v>
      </c>
      <c r="M214" s="7">
        <v>1123</v>
      </c>
      <c r="N214" s="7">
        <v>1389</v>
      </c>
      <c r="O214" s="7">
        <v>1217</v>
      </c>
      <c r="P214" s="7">
        <v>1362</v>
      </c>
      <c r="Q214" s="7">
        <v>1306</v>
      </c>
      <c r="R214" s="7">
        <v>1301</v>
      </c>
      <c r="S214" s="7">
        <v>1283</v>
      </c>
      <c r="T214" s="7">
        <v>1234</v>
      </c>
      <c r="U214" s="7">
        <v>1794</v>
      </c>
      <c r="V214" s="7">
        <v>2672</v>
      </c>
      <c r="W214" s="24">
        <f t="shared" si="18"/>
        <v>1624.9333333333334</v>
      </c>
      <c r="X214" s="25">
        <f t="shared" si="19"/>
        <v>781.2420026257333</v>
      </c>
      <c r="Y214" s="25"/>
      <c r="Z214" s="26"/>
      <c r="AA214" s="7">
        <v>1879</v>
      </c>
      <c r="AB214" s="7">
        <v>1440</v>
      </c>
      <c r="AC214" s="7">
        <v>1577</v>
      </c>
      <c r="AD214" s="7">
        <v>1580</v>
      </c>
      <c r="AE214" s="7">
        <v>1816</v>
      </c>
      <c r="AF214" s="7">
        <v>1642</v>
      </c>
      <c r="AG214" s="7">
        <v>1168</v>
      </c>
      <c r="AH214" s="7">
        <v>1377</v>
      </c>
      <c r="AI214" s="7">
        <v>1812</v>
      </c>
      <c r="AJ214" s="7">
        <v>1784</v>
      </c>
      <c r="AK214" s="7">
        <v>1572</v>
      </c>
      <c r="AL214" s="7">
        <v>1471</v>
      </c>
      <c r="AM214" s="30">
        <f t="shared" si="20"/>
        <v>1593.1666666666667</v>
      </c>
      <c r="AN214" s="30">
        <f t="shared" si="21"/>
        <v>209.93671485098636</v>
      </c>
      <c r="AO214" s="30"/>
      <c r="AP214" s="29">
        <f t="shared" si="22"/>
        <v>0.9804504800196931</v>
      </c>
      <c r="AQ214" s="31">
        <f t="shared" si="23"/>
        <v>0.892536468475974</v>
      </c>
      <c r="AR214" s="21" t="s">
        <v>975</v>
      </c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DM214" s="16"/>
      <c r="DN214" s="16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3"/>
      <c r="FW214" s="11"/>
    </row>
    <row r="215" spans="1:179" ht="18.75">
      <c r="A215" s="1" t="s">
        <v>219</v>
      </c>
      <c r="B215" s="2" t="s">
        <v>220</v>
      </c>
      <c r="C215" s="2" t="s">
        <v>206</v>
      </c>
      <c r="D215" s="2" t="str">
        <f>HYPERLINK("http://eros.fiehnlab.ucdavis.edu:8080/binbase-compound/bin/show/328006?db=rtx5","328006")</f>
        <v>328006</v>
      </c>
      <c r="E215" s="2" t="s">
        <v>1142</v>
      </c>
      <c r="F215" s="2" t="str">
        <f>HYPERLINK("http://www.genome.ad.jp/dbget-bin/www_bget?compound+C00167","C00167")</f>
        <v>C00167</v>
      </c>
      <c r="G215" s="2" t="str">
        <f>HYPERLINK("http://pubchem.ncbi.nlm.nih.gov/summary/summary.cgi?cid=17473","17473")</f>
        <v>17473</v>
      </c>
      <c r="H215" s="7">
        <v>225</v>
      </c>
      <c r="I215" s="7">
        <v>311</v>
      </c>
      <c r="J215" s="7">
        <v>807</v>
      </c>
      <c r="K215" s="7">
        <v>392</v>
      </c>
      <c r="L215" s="7">
        <v>205</v>
      </c>
      <c r="M215" s="7">
        <v>346</v>
      </c>
      <c r="N215" s="7">
        <v>271</v>
      </c>
      <c r="O215" s="7">
        <v>408</v>
      </c>
      <c r="P215" s="7">
        <v>332</v>
      </c>
      <c r="Q215" s="7">
        <v>194</v>
      </c>
      <c r="R215" s="7">
        <v>316</v>
      </c>
      <c r="S215" s="7">
        <v>218</v>
      </c>
      <c r="T215" s="7">
        <v>256</v>
      </c>
      <c r="U215" s="7">
        <v>307</v>
      </c>
      <c r="V215" s="7">
        <v>291</v>
      </c>
      <c r="W215" s="24">
        <f t="shared" si="18"/>
        <v>325.26666666666665</v>
      </c>
      <c r="X215" s="25">
        <f t="shared" si="19"/>
        <v>147.99491625760405</v>
      </c>
      <c r="Y215" s="25"/>
      <c r="Z215" s="26"/>
      <c r="AA215" s="7">
        <v>284</v>
      </c>
      <c r="AB215" s="7">
        <v>281</v>
      </c>
      <c r="AC215" s="7">
        <v>220</v>
      </c>
      <c r="AD215" s="7">
        <v>243</v>
      </c>
      <c r="AE215" s="7">
        <v>304</v>
      </c>
      <c r="AF215" s="7">
        <v>435</v>
      </c>
      <c r="AG215" s="7">
        <v>580</v>
      </c>
      <c r="AH215" s="7">
        <v>231</v>
      </c>
      <c r="AI215" s="7">
        <v>216</v>
      </c>
      <c r="AJ215" s="7">
        <v>313</v>
      </c>
      <c r="AK215" s="7">
        <v>394</v>
      </c>
      <c r="AL215" s="7">
        <v>329</v>
      </c>
      <c r="AM215" s="30">
        <f t="shared" si="20"/>
        <v>319.1666666666667</v>
      </c>
      <c r="AN215" s="30">
        <f t="shared" si="21"/>
        <v>106.24229027286756</v>
      </c>
      <c r="AO215" s="30"/>
      <c r="AP215" s="29">
        <f t="shared" si="22"/>
        <v>0.9812461569993852</v>
      </c>
      <c r="AQ215" s="31">
        <f t="shared" si="23"/>
        <v>0.9054560086530656</v>
      </c>
      <c r="AR215" s="21" t="s">
        <v>219</v>
      </c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DM215" s="16"/>
      <c r="DN215" s="16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3"/>
      <c r="FW215" s="11"/>
    </row>
    <row r="216" spans="1:179" ht="18.75">
      <c r="A216" s="1" t="s">
        <v>831</v>
      </c>
      <c r="B216" s="2" t="s">
        <v>832</v>
      </c>
      <c r="C216" s="2" t="s">
        <v>206</v>
      </c>
      <c r="D216" s="2" t="str">
        <f>HYPERLINK("http://eros.fiehnlab.ucdavis.edu:8080/binbase-compound/bin/show/270003?db=rtx5","270003")</f>
        <v>270003</v>
      </c>
      <c r="E216" s="2" t="s">
        <v>130</v>
      </c>
      <c r="F216" s="2" t="s">
        <v>83</v>
      </c>
      <c r="G216" s="2" t="s">
        <v>83</v>
      </c>
      <c r="H216" s="7">
        <v>1157</v>
      </c>
      <c r="I216" s="7">
        <v>1446</v>
      </c>
      <c r="J216" s="7">
        <v>1176</v>
      </c>
      <c r="K216" s="7">
        <v>1197</v>
      </c>
      <c r="L216" s="7">
        <v>993</v>
      </c>
      <c r="M216" s="7">
        <v>1786</v>
      </c>
      <c r="N216" s="7">
        <v>1118</v>
      </c>
      <c r="O216" s="7">
        <v>1678</v>
      </c>
      <c r="P216" s="7">
        <v>1933</v>
      </c>
      <c r="Q216" s="7">
        <v>1652</v>
      </c>
      <c r="R216" s="7">
        <v>1318</v>
      </c>
      <c r="S216" s="7">
        <v>1478</v>
      </c>
      <c r="T216" s="7">
        <v>1698</v>
      </c>
      <c r="U216" s="7">
        <v>1581</v>
      </c>
      <c r="V216" s="7">
        <v>2187</v>
      </c>
      <c r="W216" s="24">
        <f t="shared" si="18"/>
        <v>1493.2</v>
      </c>
      <c r="X216" s="25">
        <f t="shared" si="19"/>
        <v>337.5377650828759</v>
      </c>
      <c r="Y216" s="25"/>
      <c r="Z216" s="26"/>
      <c r="AA216" s="7">
        <v>1218</v>
      </c>
      <c r="AB216" s="7">
        <v>1200</v>
      </c>
      <c r="AC216" s="7">
        <v>2056</v>
      </c>
      <c r="AD216" s="7">
        <v>883</v>
      </c>
      <c r="AE216" s="7">
        <v>1309</v>
      </c>
      <c r="AF216" s="7">
        <v>2018</v>
      </c>
      <c r="AG216" s="7">
        <v>1291</v>
      </c>
      <c r="AH216" s="7">
        <v>1745</v>
      </c>
      <c r="AI216" s="7">
        <v>1488</v>
      </c>
      <c r="AJ216" s="7">
        <v>1119</v>
      </c>
      <c r="AK216" s="7">
        <v>1814</v>
      </c>
      <c r="AL216" s="7">
        <v>1474</v>
      </c>
      <c r="AM216" s="30">
        <f t="shared" si="20"/>
        <v>1467.9166666666667</v>
      </c>
      <c r="AN216" s="30">
        <f t="shared" si="21"/>
        <v>369.28492530917936</v>
      </c>
      <c r="AO216" s="30"/>
      <c r="AP216" s="29">
        <f t="shared" si="22"/>
        <v>0.9830676846146977</v>
      </c>
      <c r="AQ216" s="31">
        <f t="shared" si="23"/>
        <v>0.8543087083621439</v>
      </c>
      <c r="AR216" s="21" t="s">
        <v>831</v>
      </c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DM216" s="16"/>
      <c r="DN216" s="16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3"/>
      <c r="FW216" s="11"/>
    </row>
    <row r="217" spans="1:179" ht="18.75">
      <c r="A217" s="1" t="s">
        <v>711</v>
      </c>
      <c r="B217" s="2" t="s">
        <v>712</v>
      </c>
      <c r="C217" s="2" t="s">
        <v>257</v>
      </c>
      <c r="D217" s="2" t="str">
        <f>HYPERLINK("http://eros.fiehnlab.ucdavis.edu:8080/binbase-compound/bin/show/356938?db=rtx5","356938")</f>
        <v>356938</v>
      </c>
      <c r="E217" s="2" t="s">
        <v>4</v>
      </c>
      <c r="F217" s="2" t="s">
        <v>83</v>
      </c>
      <c r="G217" s="2" t="s">
        <v>83</v>
      </c>
      <c r="H217" s="7">
        <v>88</v>
      </c>
      <c r="I217" s="7">
        <v>114</v>
      </c>
      <c r="J217" s="7">
        <v>2489</v>
      </c>
      <c r="K217" s="7">
        <v>1015</v>
      </c>
      <c r="L217" s="7">
        <v>720</v>
      </c>
      <c r="M217" s="7">
        <v>755</v>
      </c>
      <c r="N217" s="7">
        <v>98</v>
      </c>
      <c r="O217" s="7">
        <v>509</v>
      </c>
      <c r="P217" s="7">
        <v>158</v>
      </c>
      <c r="Q217" s="7">
        <v>862</v>
      </c>
      <c r="R217" s="7">
        <v>138</v>
      </c>
      <c r="S217" s="7">
        <v>932</v>
      </c>
      <c r="T217" s="7">
        <v>1127</v>
      </c>
      <c r="U217" s="7">
        <v>1337</v>
      </c>
      <c r="V217" s="7">
        <v>598</v>
      </c>
      <c r="W217" s="24">
        <f t="shared" si="18"/>
        <v>729.3333333333334</v>
      </c>
      <c r="X217" s="25">
        <f t="shared" si="19"/>
        <v>637.8125191024471</v>
      </c>
      <c r="Y217" s="25"/>
      <c r="Z217" s="26"/>
      <c r="AA217" s="7">
        <v>1170</v>
      </c>
      <c r="AB217" s="7">
        <v>1116</v>
      </c>
      <c r="AC217" s="7">
        <v>910</v>
      </c>
      <c r="AD217" s="7">
        <v>284</v>
      </c>
      <c r="AE217" s="7">
        <v>935</v>
      </c>
      <c r="AF217" s="7">
        <v>129</v>
      </c>
      <c r="AG217" s="7">
        <v>125</v>
      </c>
      <c r="AH217" s="7">
        <v>801</v>
      </c>
      <c r="AI217" s="7">
        <v>908</v>
      </c>
      <c r="AJ217" s="7">
        <v>454</v>
      </c>
      <c r="AK217" s="7">
        <v>1108</v>
      </c>
      <c r="AL217" s="7">
        <v>682</v>
      </c>
      <c r="AM217" s="30">
        <f t="shared" si="20"/>
        <v>718.5</v>
      </c>
      <c r="AN217" s="30">
        <f t="shared" si="21"/>
        <v>381.34510736220403</v>
      </c>
      <c r="AO217" s="30"/>
      <c r="AP217" s="29">
        <f t="shared" si="22"/>
        <v>0.9851462522851919</v>
      </c>
      <c r="AQ217" s="31">
        <f t="shared" si="23"/>
        <v>0.9591142170562761</v>
      </c>
      <c r="AR217" s="21" t="s">
        <v>711</v>
      </c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DM217" s="16"/>
      <c r="DN217" s="16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3"/>
      <c r="FW217" s="11"/>
    </row>
    <row r="218" spans="1:179" ht="18.75">
      <c r="A218" s="1" t="s">
        <v>93</v>
      </c>
      <c r="B218" s="2" t="s">
        <v>767</v>
      </c>
      <c r="C218" s="2" t="s">
        <v>85</v>
      </c>
      <c r="D218" s="2" t="str">
        <f>HYPERLINK("http://eros.fiehnlab.ucdavis.edu:8080/binbase-compound/bin/show/211437?db=rtx5","211437")</f>
        <v>211437</v>
      </c>
      <c r="E218" s="2" t="s">
        <v>574</v>
      </c>
      <c r="F218" s="2" t="str">
        <f>HYPERLINK("http://www.genome.ad.jp/dbget-bin/www_bget?compound+n/a","n/a")</f>
        <v>n/a</v>
      </c>
      <c r="G218" s="2" t="str">
        <f>HYPERLINK("http://pubchem.ncbi.nlm.nih.gov/summary/summary.cgi?cid=18302","18302")</f>
        <v>18302</v>
      </c>
      <c r="H218" s="7">
        <v>2619</v>
      </c>
      <c r="I218" s="7">
        <v>2124</v>
      </c>
      <c r="J218" s="7">
        <v>2276</v>
      </c>
      <c r="K218" s="7">
        <v>1570</v>
      </c>
      <c r="L218" s="7">
        <v>3112</v>
      </c>
      <c r="M218" s="7">
        <v>2096</v>
      </c>
      <c r="N218" s="7">
        <v>1814</v>
      </c>
      <c r="O218" s="7">
        <v>2168</v>
      </c>
      <c r="P218" s="7">
        <v>1578</v>
      </c>
      <c r="Q218" s="7">
        <v>1488</v>
      </c>
      <c r="R218" s="7">
        <v>2173</v>
      </c>
      <c r="S218" s="7">
        <v>1661</v>
      </c>
      <c r="T218" s="7">
        <v>1242</v>
      </c>
      <c r="U218" s="7">
        <v>1418</v>
      </c>
      <c r="V218" s="7">
        <v>3315</v>
      </c>
      <c r="W218" s="24">
        <f t="shared" si="18"/>
        <v>2043.6</v>
      </c>
      <c r="X218" s="25">
        <f t="shared" si="19"/>
        <v>607.5283414905726</v>
      </c>
      <c r="Y218" s="25"/>
      <c r="Z218" s="26"/>
      <c r="AA218" s="7">
        <v>1761</v>
      </c>
      <c r="AB218" s="7">
        <v>1906</v>
      </c>
      <c r="AC218" s="7">
        <v>1814</v>
      </c>
      <c r="AD218" s="7">
        <v>2114</v>
      </c>
      <c r="AE218" s="7">
        <v>2238</v>
      </c>
      <c r="AF218" s="7">
        <v>1895</v>
      </c>
      <c r="AG218" s="7">
        <v>1901</v>
      </c>
      <c r="AH218" s="7">
        <v>1643</v>
      </c>
      <c r="AI218" s="7">
        <v>2089</v>
      </c>
      <c r="AJ218" s="7">
        <v>2359</v>
      </c>
      <c r="AK218" s="7">
        <v>2136</v>
      </c>
      <c r="AL218" s="7">
        <v>2359</v>
      </c>
      <c r="AM218" s="30">
        <f t="shared" si="20"/>
        <v>2017.9166666666667</v>
      </c>
      <c r="AN218" s="30">
        <f t="shared" si="21"/>
        <v>233.3150263381064</v>
      </c>
      <c r="AO218" s="30"/>
      <c r="AP218" s="29">
        <f t="shared" si="22"/>
        <v>0.9874323089971946</v>
      </c>
      <c r="AQ218" s="31">
        <f t="shared" si="23"/>
        <v>0.8912820576111088</v>
      </c>
      <c r="AR218" s="21" t="s">
        <v>93</v>
      </c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DM218" s="16"/>
      <c r="DN218" s="16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3"/>
      <c r="FW218" s="11"/>
    </row>
    <row r="219" spans="1:179" ht="18.75">
      <c r="A219" s="1" t="s">
        <v>824</v>
      </c>
      <c r="B219" s="2" t="s">
        <v>825</v>
      </c>
      <c r="C219" s="2" t="s">
        <v>826</v>
      </c>
      <c r="D219" s="2" t="str">
        <f>HYPERLINK("http://eros.fiehnlab.ucdavis.edu:8080/binbase-compound/bin/show/271416?db=rtx5","271416")</f>
        <v>271416</v>
      </c>
      <c r="E219" s="2" t="s">
        <v>187</v>
      </c>
      <c r="F219" s="2" t="s">
        <v>83</v>
      </c>
      <c r="G219" s="2" t="s">
        <v>83</v>
      </c>
      <c r="H219" s="7">
        <v>1396</v>
      </c>
      <c r="I219" s="7">
        <v>742</v>
      </c>
      <c r="J219" s="7">
        <v>1340</v>
      </c>
      <c r="K219" s="7">
        <v>427</v>
      </c>
      <c r="L219" s="7">
        <v>987</v>
      </c>
      <c r="M219" s="7">
        <v>444</v>
      </c>
      <c r="N219" s="7">
        <v>1046</v>
      </c>
      <c r="O219" s="7">
        <v>779</v>
      </c>
      <c r="P219" s="7">
        <v>662</v>
      </c>
      <c r="Q219" s="7">
        <v>819</v>
      </c>
      <c r="R219" s="7">
        <v>1288</v>
      </c>
      <c r="S219" s="7">
        <v>365</v>
      </c>
      <c r="T219" s="7">
        <v>872</v>
      </c>
      <c r="U219" s="7">
        <v>400</v>
      </c>
      <c r="V219" s="7">
        <v>904</v>
      </c>
      <c r="W219" s="24">
        <f t="shared" si="18"/>
        <v>831.4</v>
      </c>
      <c r="X219" s="25">
        <f t="shared" si="19"/>
        <v>340.1633641145299</v>
      </c>
      <c r="Y219" s="25"/>
      <c r="Z219" s="26"/>
      <c r="AA219" s="7">
        <v>782</v>
      </c>
      <c r="AB219" s="7">
        <v>707</v>
      </c>
      <c r="AC219" s="7">
        <v>635</v>
      </c>
      <c r="AD219" s="7">
        <v>547</v>
      </c>
      <c r="AE219" s="7">
        <v>1079</v>
      </c>
      <c r="AF219" s="7">
        <v>1660</v>
      </c>
      <c r="AG219" s="7">
        <v>795</v>
      </c>
      <c r="AH219" s="7">
        <v>764</v>
      </c>
      <c r="AI219" s="7">
        <v>411</v>
      </c>
      <c r="AJ219" s="7">
        <v>1091</v>
      </c>
      <c r="AK219" s="7">
        <v>627</v>
      </c>
      <c r="AL219" s="7">
        <v>762</v>
      </c>
      <c r="AM219" s="30">
        <f t="shared" si="20"/>
        <v>821.6666666666666</v>
      </c>
      <c r="AN219" s="30">
        <f t="shared" si="21"/>
        <v>327.62376796156497</v>
      </c>
      <c r="AO219" s="30"/>
      <c r="AP219" s="29">
        <f t="shared" si="22"/>
        <v>0.9882928393873787</v>
      </c>
      <c r="AQ219" s="31">
        <f t="shared" si="23"/>
        <v>0.9407444058853389</v>
      </c>
      <c r="AR219" s="21" t="s">
        <v>824</v>
      </c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DM219" s="16"/>
      <c r="DN219" s="16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3"/>
      <c r="FW219" s="11"/>
    </row>
    <row r="220" spans="1:179" ht="18.75">
      <c r="A220" s="1" t="s">
        <v>385</v>
      </c>
      <c r="B220" s="2" t="s">
        <v>386</v>
      </c>
      <c r="C220" s="2" t="s">
        <v>233</v>
      </c>
      <c r="D220" s="2" t="str">
        <f>HYPERLINK("http://eros.fiehnlab.ucdavis.edu:8080/binbase-compound/bin/show/205110?db=rtx5","205110")</f>
        <v>205110</v>
      </c>
      <c r="E220" s="2" t="s">
        <v>1111</v>
      </c>
      <c r="F220" s="2" t="str">
        <f>HYPERLINK("http://www.genome.ad.jp/dbget-bin/www_bget?compound+C00407","C00407")</f>
        <v>C00407</v>
      </c>
      <c r="G220" s="2" t="str">
        <f>HYPERLINK("http://pubchem.ncbi.nlm.nih.gov/summary/summary.cgi?cid=6306","6306")</f>
        <v>6306</v>
      </c>
      <c r="H220" s="7">
        <v>115570</v>
      </c>
      <c r="I220" s="7">
        <v>84977</v>
      </c>
      <c r="J220" s="7">
        <v>67935</v>
      </c>
      <c r="K220" s="7">
        <v>78664</v>
      </c>
      <c r="L220" s="7">
        <v>84842</v>
      </c>
      <c r="M220" s="7">
        <v>113598</v>
      </c>
      <c r="N220" s="7">
        <v>112794</v>
      </c>
      <c r="O220" s="7">
        <v>117640</v>
      </c>
      <c r="P220" s="7">
        <v>104413</v>
      </c>
      <c r="Q220" s="7">
        <v>103478</v>
      </c>
      <c r="R220" s="7">
        <v>93634</v>
      </c>
      <c r="S220" s="7">
        <v>78316</v>
      </c>
      <c r="T220" s="7">
        <v>79063</v>
      </c>
      <c r="U220" s="7">
        <v>82867</v>
      </c>
      <c r="V220" s="7">
        <v>128126</v>
      </c>
      <c r="W220" s="24">
        <f t="shared" si="18"/>
        <v>96394.46666666666</v>
      </c>
      <c r="X220" s="25">
        <f t="shared" si="19"/>
        <v>18344.51162324139</v>
      </c>
      <c r="Y220" s="25"/>
      <c r="Z220" s="26"/>
      <c r="AA220" s="7">
        <v>86457</v>
      </c>
      <c r="AB220" s="7">
        <v>93899</v>
      </c>
      <c r="AC220" s="7">
        <v>94698</v>
      </c>
      <c r="AD220" s="7">
        <v>127330</v>
      </c>
      <c r="AE220" s="7">
        <v>90463</v>
      </c>
      <c r="AF220" s="7">
        <v>104677</v>
      </c>
      <c r="AG220" s="7">
        <v>90942</v>
      </c>
      <c r="AH220" s="7">
        <v>75105</v>
      </c>
      <c r="AI220" s="7">
        <v>90599</v>
      </c>
      <c r="AJ220" s="7">
        <v>124888</v>
      </c>
      <c r="AK220" s="7">
        <v>83201</v>
      </c>
      <c r="AL220" s="7">
        <v>82887</v>
      </c>
      <c r="AM220" s="30">
        <f t="shared" si="20"/>
        <v>95428.83333333333</v>
      </c>
      <c r="AN220" s="30">
        <f t="shared" si="21"/>
        <v>16074.87587868572</v>
      </c>
      <c r="AO220" s="30"/>
      <c r="AP220" s="29">
        <f t="shared" si="22"/>
        <v>0.9899824817053815</v>
      </c>
      <c r="AQ220" s="31">
        <f t="shared" si="23"/>
        <v>0.8870962182662925</v>
      </c>
      <c r="AR220" s="21" t="s">
        <v>385</v>
      </c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DM220" s="16"/>
      <c r="DN220" s="16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3"/>
      <c r="FW220" s="11"/>
    </row>
    <row r="221" spans="1:179" ht="18.75">
      <c r="A221" s="1" t="s">
        <v>1037</v>
      </c>
      <c r="B221" s="2" t="s">
        <v>1038</v>
      </c>
      <c r="C221" s="2" t="s">
        <v>717</v>
      </c>
      <c r="D221" s="2" t="str">
        <f>HYPERLINK("http://eros.fiehnlab.ucdavis.edu:8080/binbase-compound/bin/show/199773?db=rtx5","199773")</f>
        <v>199773</v>
      </c>
      <c r="E221" s="2" t="s">
        <v>30</v>
      </c>
      <c r="F221" s="2" t="s">
        <v>83</v>
      </c>
      <c r="G221" s="2" t="s">
        <v>83</v>
      </c>
      <c r="H221" s="7">
        <v>82372</v>
      </c>
      <c r="I221" s="7">
        <v>57694</v>
      </c>
      <c r="J221" s="7">
        <v>34102</v>
      </c>
      <c r="K221" s="7">
        <v>14085</v>
      </c>
      <c r="L221" s="7">
        <v>20602</v>
      </c>
      <c r="M221" s="7">
        <v>37686</v>
      </c>
      <c r="N221" s="7">
        <v>40781</v>
      </c>
      <c r="O221" s="7">
        <v>42382</v>
      </c>
      <c r="P221" s="7">
        <v>65886</v>
      </c>
      <c r="Q221" s="7">
        <v>66437</v>
      </c>
      <c r="R221" s="7">
        <v>48684</v>
      </c>
      <c r="S221" s="7">
        <v>42654</v>
      </c>
      <c r="T221" s="7">
        <v>64438</v>
      </c>
      <c r="U221" s="7">
        <v>29576</v>
      </c>
      <c r="V221" s="7">
        <v>58131</v>
      </c>
      <c r="W221" s="24">
        <f t="shared" si="18"/>
        <v>47034</v>
      </c>
      <c r="X221" s="25">
        <f t="shared" si="19"/>
        <v>18797.160712648674</v>
      </c>
      <c r="Y221" s="25"/>
      <c r="Z221" s="26"/>
      <c r="AA221" s="7">
        <v>16912</v>
      </c>
      <c r="AB221" s="7">
        <v>26229</v>
      </c>
      <c r="AC221" s="7">
        <v>38861</v>
      </c>
      <c r="AD221" s="7">
        <v>32353</v>
      </c>
      <c r="AE221" s="7">
        <v>31249</v>
      </c>
      <c r="AF221" s="7">
        <v>85176</v>
      </c>
      <c r="AG221" s="7">
        <v>65352</v>
      </c>
      <c r="AH221" s="7">
        <v>54706</v>
      </c>
      <c r="AI221" s="7">
        <v>60523</v>
      </c>
      <c r="AJ221" s="7">
        <v>50723</v>
      </c>
      <c r="AK221" s="7">
        <v>43506</v>
      </c>
      <c r="AL221" s="7">
        <v>53651</v>
      </c>
      <c r="AM221" s="30">
        <f t="shared" si="20"/>
        <v>46603.416666666664</v>
      </c>
      <c r="AN221" s="30">
        <f t="shared" si="21"/>
        <v>18998.727677296203</v>
      </c>
      <c r="AO221" s="30"/>
      <c r="AP221" s="29">
        <f t="shared" si="22"/>
        <v>0.9908452750492551</v>
      </c>
      <c r="AQ221" s="31">
        <f t="shared" si="23"/>
        <v>0.9535263867866827</v>
      </c>
      <c r="AR221" s="21" t="s">
        <v>1037</v>
      </c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DM221" s="16"/>
      <c r="DN221" s="16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3"/>
      <c r="FW221" s="11"/>
    </row>
    <row r="222" spans="1:179" ht="18.75">
      <c r="A222" s="1" t="s">
        <v>319</v>
      </c>
      <c r="B222" s="2" t="s">
        <v>318</v>
      </c>
      <c r="C222" s="2" t="s">
        <v>280</v>
      </c>
      <c r="D222" s="2" t="str">
        <f>HYPERLINK("http://eros.fiehnlab.ucdavis.edu:8080/binbase-compound/bin/show/202826?db=rtx5","202826")</f>
        <v>202826</v>
      </c>
      <c r="E222" s="2" t="s">
        <v>621</v>
      </c>
      <c r="F222" s="2" t="str">
        <f>HYPERLINK("http://www.genome.ad.jp/dbget-bin/www_bget?compound+C00077","C00077")</f>
        <v>C00077</v>
      </c>
      <c r="G222" s="2" t="str">
        <f>HYPERLINK("http://pubchem.ncbi.nlm.nih.gov/summary/summary.cgi?cid=6262","6262")</f>
        <v>6262</v>
      </c>
      <c r="H222" s="7">
        <v>2892</v>
      </c>
      <c r="I222" s="7">
        <v>3231</v>
      </c>
      <c r="J222" s="7">
        <v>1663</v>
      </c>
      <c r="K222" s="7">
        <v>1082</v>
      </c>
      <c r="L222" s="7">
        <v>3509</v>
      </c>
      <c r="M222" s="7">
        <v>2541</v>
      </c>
      <c r="N222" s="7">
        <v>3957</v>
      </c>
      <c r="O222" s="7">
        <v>1515</v>
      </c>
      <c r="P222" s="7">
        <v>3018</v>
      </c>
      <c r="Q222" s="7">
        <v>759</v>
      </c>
      <c r="R222" s="7">
        <v>2515</v>
      </c>
      <c r="S222" s="7">
        <v>3089</v>
      </c>
      <c r="T222" s="7">
        <v>2931</v>
      </c>
      <c r="U222" s="7">
        <v>1962</v>
      </c>
      <c r="V222" s="7">
        <v>3180</v>
      </c>
      <c r="W222" s="24">
        <f t="shared" si="18"/>
        <v>2522.9333333333334</v>
      </c>
      <c r="X222" s="25">
        <f t="shared" si="19"/>
        <v>929.2247511206524</v>
      </c>
      <c r="Y222" s="25"/>
      <c r="Z222" s="26"/>
      <c r="AA222" s="7">
        <v>1102</v>
      </c>
      <c r="AB222" s="7">
        <v>1111</v>
      </c>
      <c r="AC222" s="7">
        <v>1719</v>
      </c>
      <c r="AD222" s="7">
        <v>1069</v>
      </c>
      <c r="AE222" s="7">
        <v>1282</v>
      </c>
      <c r="AF222" s="7">
        <v>5477</v>
      </c>
      <c r="AG222" s="7">
        <v>5566</v>
      </c>
      <c r="AH222" s="7">
        <v>3273</v>
      </c>
      <c r="AI222" s="7">
        <v>3161</v>
      </c>
      <c r="AJ222" s="7">
        <v>2042</v>
      </c>
      <c r="AK222" s="7">
        <v>1920</v>
      </c>
      <c r="AL222" s="7">
        <v>2309</v>
      </c>
      <c r="AM222" s="30">
        <f t="shared" si="20"/>
        <v>2502.5833333333335</v>
      </c>
      <c r="AN222" s="30">
        <f t="shared" si="21"/>
        <v>1592.7355232334392</v>
      </c>
      <c r="AO222" s="30"/>
      <c r="AP222" s="29">
        <f t="shared" si="22"/>
        <v>0.9919339921784167</v>
      </c>
      <c r="AQ222" s="31">
        <f t="shared" si="23"/>
        <v>0.9671932213273184</v>
      </c>
      <c r="AR222" s="21" t="s">
        <v>319</v>
      </c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DM222" s="16"/>
      <c r="DN222" s="16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3"/>
      <c r="FW222" s="11"/>
    </row>
    <row r="223" spans="1:179" ht="18.75">
      <c r="A223" s="1" t="s">
        <v>545</v>
      </c>
      <c r="B223" s="2" t="s">
        <v>546</v>
      </c>
      <c r="C223" s="2" t="s">
        <v>547</v>
      </c>
      <c r="D223" s="2" t="str">
        <f>HYPERLINK("http://eros.fiehnlab.ucdavis.edu:8080/binbase-compound/bin/show/308113?db=rtx5","308113")</f>
        <v>308113</v>
      </c>
      <c r="E223" s="2" t="s">
        <v>591</v>
      </c>
      <c r="F223" s="2" t="str">
        <f>HYPERLINK("http://www.genome.ad.jp/dbget-bin/www_bget?compound+C00417","C00417")</f>
        <v>C00417</v>
      </c>
      <c r="G223" s="2" t="str">
        <f>HYPERLINK("http://pubchem.ncbi.nlm.nih.gov/summary/summary.cgi?cid=309","309")</f>
        <v>309</v>
      </c>
      <c r="H223" s="7">
        <v>183</v>
      </c>
      <c r="I223" s="7">
        <v>701</v>
      </c>
      <c r="J223" s="7">
        <v>491</v>
      </c>
      <c r="K223" s="7">
        <v>228</v>
      </c>
      <c r="L223" s="7">
        <v>214</v>
      </c>
      <c r="M223" s="7">
        <v>175</v>
      </c>
      <c r="N223" s="7">
        <v>188</v>
      </c>
      <c r="O223" s="7">
        <v>214</v>
      </c>
      <c r="P223" s="7">
        <v>289</v>
      </c>
      <c r="Q223" s="7">
        <v>180</v>
      </c>
      <c r="R223" s="7">
        <v>336</v>
      </c>
      <c r="S223" s="7">
        <v>191</v>
      </c>
      <c r="T223" s="7">
        <v>565</v>
      </c>
      <c r="U223" s="7">
        <v>197</v>
      </c>
      <c r="V223" s="7">
        <v>328</v>
      </c>
      <c r="W223" s="24">
        <f t="shared" si="18"/>
        <v>298.6666666666667</v>
      </c>
      <c r="X223" s="25">
        <f t="shared" si="19"/>
        <v>162.21796037019655</v>
      </c>
      <c r="Y223" s="25"/>
      <c r="Z223" s="26"/>
      <c r="AA223" s="7">
        <v>238</v>
      </c>
      <c r="AB223" s="7">
        <v>181</v>
      </c>
      <c r="AC223" s="7">
        <v>205</v>
      </c>
      <c r="AD223" s="7">
        <v>219</v>
      </c>
      <c r="AE223" s="7">
        <v>244</v>
      </c>
      <c r="AF223" s="7">
        <v>384</v>
      </c>
      <c r="AG223" s="7">
        <v>677</v>
      </c>
      <c r="AH223" s="7">
        <v>231</v>
      </c>
      <c r="AI223" s="7">
        <v>255</v>
      </c>
      <c r="AJ223" s="7">
        <v>323</v>
      </c>
      <c r="AK223" s="7">
        <v>419</v>
      </c>
      <c r="AL223" s="7">
        <v>190</v>
      </c>
      <c r="AM223" s="30">
        <f t="shared" si="20"/>
        <v>297.1666666666667</v>
      </c>
      <c r="AN223" s="30">
        <f t="shared" si="21"/>
        <v>141.22569514680032</v>
      </c>
      <c r="AO223" s="30"/>
      <c r="AP223" s="29">
        <f t="shared" si="22"/>
        <v>0.9949776785714286</v>
      </c>
      <c r="AQ223" s="31">
        <f t="shared" si="23"/>
        <v>0.980049572739957</v>
      </c>
      <c r="AR223" s="21" t="s">
        <v>545</v>
      </c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DM223" s="16"/>
      <c r="DN223" s="16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3"/>
      <c r="FW223" s="11"/>
    </row>
    <row r="224" spans="1:179" ht="18.75">
      <c r="A224" s="1" t="s">
        <v>556</v>
      </c>
      <c r="B224" s="2" t="s">
        <v>557</v>
      </c>
      <c r="C224" s="2" t="s">
        <v>558</v>
      </c>
      <c r="D224" s="2" t="str">
        <f>HYPERLINK("http://eros.fiehnlab.ucdavis.edu:8080/binbase-compound/bin/show/425498?db=rtx5","425498")</f>
        <v>425498</v>
      </c>
      <c r="E224" s="2" t="s">
        <v>32</v>
      </c>
      <c r="F224" s="2" t="s">
        <v>83</v>
      </c>
      <c r="G224" s="2" t="s">
        <v>83</v>
      </c>
      <c r="H224" s="7">
        <v>93951</v>
      </c>
      <c r="I224" s="7">
        <v>61785</v>
      </c>
      <c r="J224" s="7">
        <v>157498</v>
      </c>
      <c r="K224" s="7">
        <v>48412</v>
      </c>
      <c r="L224" s="7">
        <v>94471</v>
      </c>
      <c r="M224" s="7">
        <v>80291</v>
      </c>
      <c r="N224" s="7">
        <v>45695</v>
      </c>
      <c r="O224" s="7">
        <v>43608</v>
      </c>
      <c r="P224" s="7">
        <v>60675</v>
      </c>
      <c r="Q224" s="7">
        <v>65955</v>
      </c>
      <c r="R224" s="7">
        <v>67968</v>
      </c>
      <c r="S224" s="7">
        <v>42805</v>
      </c>
      <c r="T224" s="7">
        <v>38923</v>
      </c>
      <c r="U224" s="7">
        <v>49589</v>
      </c>
      <c r="V224" s="7">
        <v>73313</v>
      </c>
      <c r="W224" s="24">
        <f t="shared" si="18"/>
        <v>68329.26666666666</v>
      </c>
      <c r="X224" s="25">
        <f t="shared" si="19"/>
        <v>30418.03137113311</v>
      </c>
      <c r="Y224" s="25"/>
      <c r="Z224" s="26"/>
      <c r="AA224" s="7">
        <v>63316</v>
      </c>
      <c r="AB224" s="7">
        <v>55810</v>
      </c>
      <c r="AC224" s="7">
        <v>103639</v>
      </c>
      <c r="AD224" s="7">
        <v>54889</v>
      </c>
      <c r="AE224" s="7">
        <v>49696</v>
      </c>
      <c r="AF224" s="7">
        <v>51338</v>
      </c>
      <c r="AG224" s="7">
        <v>74034</v>
      </c>
      <c r="AH224" s="7">
        <v>104088</v>
      </c>
      <c r="AI224" s="7">
        <v>72975</v>
      </c>
      <c r="AJ224" s="7">
        <v>81001</v>
      </c>
      <c r="AK224" s="7">
        <v>57797</v>
      </c>
      <c r="AL224" s="7">
        <v>49908</v>
      </c>
      <c r="AM224" s="30">
        <f t="shared" si="20"/>
        <v>68207.58333333333</v>
      </c>
      <c r="AN224" s="30">
        <f t="shared" si="21"/>
        <v>19513.783862408327</v>
      </c>
      <c r="AO224" s="30"/>
      <c r="AP224" s="29">
        <f t="shared" si="22"/>
        <v>0.9982191623111228</v>
      </c>
      <c r="AQ224" s="31">
        <f t="shared" si="23"/>
        <v>0.9905221704912779</v>
      </c>
      <c r="AR224" s="21" t="s">
        <v>556</v>
      </c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DM224" s="16"/>
      <c r="DN224" s="16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3"/>
      <c r="FW224" s="11"/>
    </row>
    <row r="225" spans="1:179" ht="18.75">
      <c r="A225" s="1" t="s">
        <v>390</v>
      </c>
      <c r="B225" s="2" t="s">
        <v>391</v>
      </c>
      <c r="C225" s="2" t="s">
        <v>392</v>
      </c>
      <c r="D225" s="2" t="str">
        <f>HYPERLINK("http://eros.fiehnlab.ucdavis.edu:8080/binbase-compound/bin/show/199164?db=rtx5","199164")</f>
        <v>199164</v>
      </c>
      <c r="E225" s="2" t="s">
        <v>1117</v>
      </c>
      <c r="F225" s="2" t="str">
        <f>HYPERLINK("http://www.genome.ad.jp/dbget-bin/www_bget?compound+C00137","C00137")</f>
        <v>C00137</v>
      </c>
      <c r="G225" s="2" t="str">
        <f>HYPERLINK("http://pubchem.ncbi.nlm.nih.gov/summary/summary.cgi?cid=892","892")</f>
        <v>892</v>
      </c>
      <c r="H225" s="7">
        <v>31882</v>
      </c>
      <c r="I225" s="7">
        <v>29748</v>
      </c>
      <c r="J225" s="7">
        <v>16444</v>
      </c>
      <c r="K225" s="7">
        <v>25354</v>
      </c>
      <c r="L225" s="7">
        <v>34943</v>
      </c>
      <c r="M225" s="7">
        <v>33210</v>
      </c>
      <c r="N225" s="7">
        <v>25465</v>
      </c>
      <c r="O225" s="7">
        <v>31823</v>
      </c>
      <c r="P225" s="7">
        <v>26781</v>
      </c>
      <c r="Q225" s="7">
        <v>17152</v>
      </c>
      <c r="R225" s="7">
        <v>42085</v>
      </c>
      <c r="S225" s="7">
        <v>33687</v>
      </c>
      <c r="T225" s="7">
        <v>27028</v>
      </c>
      <c r="U225" s="7">
        <v>24427</v>
      </c>
      <c r="V225" s="7">
        <v>41681</v>
      </c>
      <c r="W225" s="24">
        <f t="shared" si="18"/>
        <v>29447.333333333332</v>
      </c>
      <c r="X225" s="25">
        <f t="shared" si="19"/>
        <v>7437.416550952421</v>
      </c>
      <c r="Y225" s="25"/>
      <c r="Z225" s="26"/>
      <c r="AA225" s="7">
        <v>25381</v>
      </c>
      <c r="AB225" s="7">
        <v>28157</v>
      </c>
      <c r="AC225" s="7">
        <v>25316</v>
      </c>
      <c r="AD225" s="7">
        <v>22824</v>
      </c>
      <c r="AE225" s="7">
        <v>28374</v>
      </c>
      <c r="AF225" s="7">
        <v>34300</v>
      </c>
      <c r="AG225" s="7">
        <v>30010</v>
      </c>
      <c r="AH225" s="7">
        <v>35652</v>
      </c>
      <c r="AI225" s="7">
        <v>34942</v>
      </c>
      <c r="AJ225" s="7">
        <v>25330</v>
      </c>
      <c r="AK225" s="7">
        <v>30608</v>
      </c>
      <c r="AL225" s="7">
        <v>31860</v>
      </c>
      <c r="AM225" s="30">
        <f t="shared" si="20"/>
        <v>29396.166666666668</v>
      </c>
      <c r="AN225" s="30">
        <f t="shared" si="21"/>
        <v>4231.181585096597</v>
      </c>
      <c r="AO225" s="30"/>
      <c r="AP225" s="29">
        <f t="shared" si="22"/>
        <v>0.9982624346290554</v>
      </c>
      <c r="AQ225" s="31">
        <f t="shared" si="23"/>
        <v>0.9832586920049625</v>
      </c>
      <c r="AR225" s="21" t="s">
        <v>390</v>
      </c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DM225" s="16"/>
      <c r="DN225" s="16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3"/>
      <c r="FW225" s="11"/>
    </row>
    <row r="226" spans="1:179" ht="18.75">
      <c r="A226" s="1" t="s">
        <v>733</v>
      </c>
      <c r="B226" s="2" t="s">
        <v>734</v>
      </c>
      <c r="C226" s="2" t="s">
        <v>475</v>
      </c>
      <c r="D226" s="2" t="str">
        <f>HYPERLINK("http://eros.fiehnlab.ucdavis.edu:8080/binbase-compound/bin/show/322652?db=rtx5","322652")</f>
        <v>322652</v>
      </c>
      <c r="E226" s="2" t="s">
        <v>142</v>
      </c>
      <c r="F226" s="2" t="s">
        <v>83</v>
      </c>
      <c r="G226" s="2" t="s">
        <v>83</v>
      </c>
      <c r="H226" s="7">
        <v>1300</v>
      </c>
      <c r="I226" s="7">
        <v>1056</v>
      </c>
      <c r="J226" s="7">
        <v>4709</v>
      </c>
      <c r="K226" s="7">
        <v>5046</v>
      </c>
      <c r="L226" s="7">
        <v>1475</v>
      </c>
      <c r="M226" s="7">
        <v>3908</v>
      </c>
      <c r="N226" s="7">
        <v>1986</v>
      </c>
      <c r="O226" s="7">
        <v>1090</v>
      </c>
      <c r="P226" s="7">
        <v>2295</v>
      </c>
      <c r="Q226" s="7">
        <v>2419</v>
      </c>
      <c r="R226" s="7">
        <v>1670</v>
      </c>
      <c r="S226" s="7">
        <v>1487</v>
      </c>
      <c r="T226" s="7">
        <v>2318</v>
      </c>
      <c r="U226" s="7">
        <v>2108</v>
      </c>
      <c r="V226" s="7">
        <v>2078</v>
      </c>
      <c r="W226" s="24">
        <f t="shared" si="18"/>
        <v>2329.6666666666665</v>
      </c>
      <c r="X226" s="25">
        <f t="shared" si="19"/>
        <v>1249.7326380737068</v>
      </c>
      <c r="Y226" s="25"/>
      <c r="Z226" s="26"/>
      <c r="AA226" s="7">
        <v>2448</v>
      </c>
      <c r="AB226" s="7">
        <v>2272</v>
      </c>
      <c r="AC226" s="7">
        <v>2129</v>
      </c>
      <c r="AD226" s="7">
        <v>2404</v>
      </c>
      <c r="AE226" s="7">
        <v>2567</v>
      </c>
      <c r="AF226" s="7">
        <v>2798</v>
      </c>
      <c r="AG226" s="7">
        <v>1551</v>
      </c>
      <c r="AH226" s="7">
        <v>1213</v>
      </c>
      <c r="AI226" s="7">
        <v>2683</v>
      </c>
      <c r="AJ226" s="7">
        <v>3163</v>
      </c>
      <c r="AK226" s="7">
        <v>2515</v>
      </c>
      <c r="AL226" s="7">
        <v>2189</v>
      </c>
      <c r="AM226" s="30">
        <f t="shared" si="20"/>
        <v>2327.6666666666665</v>
      </c>
      <c r="AN226" s="30">
        <f t="shared" si="21"/>
        <v>527.8969137200476</v>
      </c>
      <c r="AO226" s="30"/>
      <c r="AP226" s="29">
        <f t="shared" si="22"/>
        <v>0.9991415080841322</v>
      </c>
      <c r="AQ226" s="31">
        <f t="shared" si="23"/>
        <v>0.9959151118349296</v>
      </c>
      <c r="AR226" s="21" t="s">
        <v>733</v>
      </c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DM226" s="16"/>
      <c r="DN226" s="16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3"/>
      <c r="FW226" s="11"/>
    </row>
    <row r="227" spans="1:179" ht="18.75">
      <c r="A227" s="1" t="s">
        <v>919</v>
      </c>
      <c r="B227" s="2" t="s">
        <v>920</v>
      </c>
      <c r="C227" s="2" t="s">
        <v>900</v>
      </c>
      <c r="D227" s="2" t="str">
        <f>HYPERLINK("http://eros.fiehnlab.ucdavis.edu:8080/binbase-compound/bin/show/226864?db=rtx5","226864")</f>
        <v>226864</v>
      </c>
      <c r="E227" s="2" t="s">
        <v>153</v>
      </c>
      <c r="F227" s="2" t="s">
        <v>83</v>
      </c>
      <c r="G227" s="2" t="s">
        <v>83</v>
      </c>
      <c r="H227" s="7">
        <v>1145</v>
      </c>
      <c r="I227" s="7">
        <v>716</v>
      </c>
      <c r="J227" s="7">
        <v>1328</v>
      </c>
      <c r="K227" s="7">
        <v>717</v>
      </c>
      <c r="L227" s="7">
        <v>1464</v>
      </c>
      <c r="M227" s="7">
        <v>1008</v>
      </c>
      <c r="N227" s="7">
        <v>1121</v>
      </c>
      <c r="O227" s="7">
        <v>609</v>
      </c>
      <c r="P227" s="7">
        <v>475</v>
      </c>
      <c r="Q227" s="7">
        <v>578</v>
      </c>
      <c r="R227" s="7">
        <v>963</v>
      </c>
      <c r="S227" s="7">
        <v>867</v>
      </c>
      <c r="T227" s="7">
        <v>636</v>
      </c>
      <c r="U227" s="7">
        <v>982</v>
      </c>
      <c r="V227" s="7">
        <v>2628</v>
      </c>
      <c r="W227" s="24">
        <f t="shared" si="18"/>
        <v>1015.8</v>
      </c>
      <c r="X227" s="25">
        <f t="shared" si="19"/>
        <v>529.4513602373148</v>
      </c>
      <c r="Y227" s="25"/>
      <c r="Z227" s="26"/>
      <c r="AA227" s="7">
        <v>471</v>
      </c>
      <c r="AB227" s="7">
        <v>769</v>
      </c>
      <c r="AC227" s="7">
        <v>512</v>
      </c>
      <c r="AD227" s="7">
        <v>2167</v>
      </c>
      <c r="AE227" s="7">
        <v>896</v>
      </c>
      <c r="AF227" s="7">
        <v>635</v>
      </c>
      <c r="AG227" s="7">
        <v>853</v>
      </c>
      <c r="AH227" s="7">
        <v>479</v>
      </c>
      <c r="AI227" s="7">
        <v>1024</v>
      </c>
      <c r="AJ227" s="7">
        <v>3070</v>
      </c>
      <c r="AK227" s="7">
        <v>467</v>
      </c>
      <c r="AL227" s="7">
        <v>837</v>
      </c>
      <c r="AM227" s="30">
        <f t="shared" si="20"/>
        <v>1015</v>
      </c>
      <c r="AN227" s="30">
        <f t="shared" si="21"/>
        <v>795.6563899756546</v>
      </c>
      <c r="AO227" s="30"/>
      <c r="AP227" s="29">
        <f t="shared" si="22"/>
        <v>0.999212443394369</v>
      </c>
      <c r="AQ227" s="31">
        <f t="shared" si="23"/>
        <v>0.9975275164809652</v>
      </c>
      <c r="AR227" s="21" t="s">
        <v>919</v>
      </c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DM227" s="16"/>
      <c r="DN227" s="16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3"/>
      <c r="FW227" s="11"/>
    </row>
    <row r="228" spans="1:179" ht="18.75">
      <c r="A228" s="1" t="s">
        <v>529</v>
      </c>
      <c r="B228" s="2" t="s">
        <v>530</v>
      </c>
      <c r="C228" s="2" t="s">
        <v>222</v>
      </c>
      <c r="D228" s="2" t="str">
        <f>HYPERLINK("http://eros.fiehnlab.ucdavis.edu:8080/binbase-compound/bin/show/240264?db=rtx5","240264")</f>
        <v>240264</v>
      </c>
      <c r="E228" s="2" t="s">
        <v>1135</v>
      </c>
      <c r="F228" s="2" t="str">
        <f>HYPERLINK("http://www.genome.ad.jp/dbget-bin/www_bget?compound+C00872","C00872")</f>
        <v>C00872</v>
      </c>
      <c r="G228" s="2" t="str">
        <f>HYPERLINK("http://pubchem.ncbi.nlm.nih.gov/summary/summary.cgi?cid=100714","100714")</f>
        <v>100714</v>
      </c>
      <c r="H228" s="7">
        <v>11911</v>
      </c>
      <c r="I228" s="7">
        <v>4902</v>
      </c>
      <c r="J228" s="7">
        <v>3803</v>
      </c>
      <c r="K228" s="7">
        <v>5396</v>
      </c>
      <c r="L228" s="7">
        <v>8642</v>
      </c>
      <c r="M228" s="7">
        <v>6586</v>
      </c>
      <c r="N228" s="7">
        <v>9241</v>
      </c>
      <c r="O228" s="7">
        <v>4131</v>
      </c>
      <c r="P228" s="7">
        <v>4518</v>
      </c>
      <c r="Q228" s="7">
        <v>3609</v>
      </c>
      <c r="R228" s="7">
        <v>8277</v>
      </c>
      <c r="S228" s="7">
        <v>8427</v>
      </c>
      <c r="T228" s="7">
        <v>4551</v>
      </c>
      <c r="U228" s="7">
        <v>10902</v>
      </c>
      <c r="V228" s="7">
        <v>8335</v>
      </c>
      <c r="W228" s="24">
        <f t="shared" si="18"/>
        <v>6882.066666666667</v>
      </c>
      <c r="X228" s="25">
        <f t="shared" si="19"/>
        <v>2693.3386203389873</v>
      </c>
      <c r="Y228" s="25"/>
      <c r="Z228" s="26"/>
      <c r="AA228" s="7">
        <v>4830</v>
      </c>
      <c r="AB228" s="7">
        <v>6018</v>
      </c>
      <c r="AC228" s="7">
        <v>3449</v>
      </c>
      <c r="AD228" s="7">
        <v>10702</v>
      </c>
      <c r="AE228" s="7">
        <v>6867</v>
      </c>
      <c r="AF228" s="7">
        <v>6282</v>
      </c>
      <c r="AG228" s="7">
        <v>5108</v>
      </c>
      <c r="AH228" s="7">
        <v>3055</v>
      </c>
      <c r="AI228" s="7">
        <v>11995</v>
      </c>
      <c r="AJ228" s="7">
        <v>12265</v>
      </c>
      <c r="AK228" s="7">
        <v>5906</v>
      </c>
      <c r="AL228" s="7">
        <v>6190</v>
      </c>
      <c r="AM228" s="30">
        <f t="shared" si="20"/>
        <v>6888.916666666667</v>
      </c>
      <c r="AN228" s="30">
        <f t="shared" si="21"/>
        <v>3104.8150715924894</v>
      </c>
      <c r="AO228" s="30"/>
      <c r="AP228" s="29">
        <f t="shared" si="22"/>
        <v>1.0009953405469287</v>
      </c>
      <c r="AQ228" s="31">
        <f t="shared" si="23"/>
        <v>0.9951515687241174</v>
      </c>
      <c r="AR228" s="21" t="s">
        <v>529</v>
      </c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DM228" s="16"/>
      <c r="DN228" s="16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3"/>
      <c r="FW228" s="11"/>
    </row>
    <row r="229" spans="1:179" ht="18.75">
      <c r="A229" s="1" t="s">
        <v>299</v>
      </c>
      <c r="B229" s="2" t="s">
        <v>300</v>
      </c>
      <c r="C229" s="2" t="s">
        <v>222</v>
      </c>
      <c r="D229" s="2" t="str">
        <f>HYPERLINK("http://eros.fiehnlab.ucdavis.edu:8080/binbase-compound/bin/show/217642?db=rtx5","217642")</f>
        <v>217642</v>
      </c>
      <c r="E229" s="2" t="s">
        <v>1121</v>
      </c>
      <c r="F229" s="2" t="str">
        <f>HYPERLINK("http://www.genome.ad.jp/dbget-bin/www_bget?compound+C00079","C00079")</f>
        <v>C00079</v>
      </c>
      <c r="G229" s="2" t="str">
        <f>HYPERLINK("http://pubchem.ncbi.nlm.nih.gov/summary/summary.cgi?cid=6140","6140")</f>
        <v>6140</v>
      </c>
      <c r="H229" s="7">
        <v>46736</v>
      </c>
      <c r="I229" s="7">
        <v>38453</v>
      </c>
      <c r="J229" s="7">
        <v>24959</v>
      </c>
      <c r="K229" s="7">
        <v>35562</v>
      </c>
      <c r="L229" s="7">
        <v>41327</v>
      </c>
      <c r="M229" s="7">
        <v>47240</v>
      </c>
      <c r="N229" s="7">
        <v>49535</v>
      </c>
      <c r="O229" s="7">
        <v>56667</v>
      </c>
      <c r="P229" s="7">
        <v>51527</v>
      </c>
      <c r="Q229" s="7">
        <v>43955</v>
      </c>
      <c r="R229" s="7">
        <v>46761</v>
      </c>
      <c r="S229" s="7">
        <v>32837</v>
      </c>
      <c r="T229" s="7">
        <v>43706</v>
      </c>
      <c r="U229" s="7">
        <v>28385</v>
      </c>
      <c r="V229" s="7">
        <v>42894</v>
      </c>
      <c r="W229" s="24">
        <f t="shared" si="18"/>
        <v>42036.26666666667</v>
      </c>
      <c r="X229" s="25">
        <f t="shared" si="19"/>
        <v>8688.801022553336</v>
      </c>
      <c r="Y229" s="25"/>
      <c r="Z229" s="26"/>
      <c r="AA229" s="7">
        <v>40308</v>
      </c>
      <c r="AB229" s="7">
        <v>34406</v>
      </c>
      <c r="AC229" s="7">
        <v>40746</v>
      </c>
      <c r="AD229" s="7">
        <v>44801</v>
      </c>
      <c r="AE229" s="7">
        <v>45750</v>
      </c>
      <c r="AF229" s="7">
        <v>41207</v>
      </c>
      <c r="AG229" s="7">
        <v>41286</v>
      </c>
      <c r="AH229" s="7">
        <v>49136</v>
      </c>
      <c r="AI229" s="7">
        <v>40194</v>
      </c>
      <c r="AJ229" s="7">
        <v>44629</v>
      </c>
      <c r="AK229" s="7">
        <v>47313</v>
      </c>
      <c r="AL229" s="7">
        <v>37263</v>
      </c>
      <c r="AM229" s="30">
        <f t="shared" si="20"/>
        <v>42253.25</v>
      </c>
      <c r="AN229" s="30">
        <f t="shared" si="21"/>
        <v>4222.71181986604</v>
      </c>
      <c r="AO229" s="30"/>
      <c r="AP229" s="29">
        <f t="shared" si="22"/>
        <v>1.0051618126570072</v>
      </c>
      <c r="AQ229" s="31">
        <f t="shared" si="23"/>
        <v>0.9375562720384026</v>
      </c>
      <c r="AR229" s="21" t="s">
        <v>299</v>
      </c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DM229" s="16"/>
      <c r="DN229" s="16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3"/>
      <c r="FW229" s="11"/>
    </row>
    <row r="230" spans="1:179" ht="18.75">
      <c r="A230" s="1" t="s">
        <v>822</v>
      </c>
      <c r="B230" s="2" t="s">
        <v>823</v>
      </c>
      <c r="C230" s="2" t="s">
        <v>732</v>
      </c>
      <c r="D230" s="2" t="str">
        <f>HYPERLINK("http://eros.fiehnlab.ucdavis.edu:8080/binbase-compound/bin/show/272694?db=rtx5","272694")</f>
        <v>272694</v>
      </c>
      <c r="E230" s="2" t="s">
        <v>71</v>
      </c>
      <c r="F230" s="2" t="s">
        <v>83</v>
      </c>
      <c r="G230" s="2" t="s">
        <v>83</v>
      </c>
      <c r="H230" s="7">
        <v>4496</v>
      </c>
      <c r="I230" s="7">
        <v>5092</v>
      </c>
      <c r="J230" s="7">
        <v>2463</v>
      </c>
      <c r="K230" s="7">
        <v>3656</v>
      </c>
      <c r="L230" s="7">
        <v>5291</v>
      </c>
      <c r="M230" s="7">
        <v>2694</v>
      </c>
      <c r="N230" s="7">
        <v>3306</v>
      </c>
      <c r="O230" s="7">
        <v>6381</v>
      </c>
      <c r="P230" s="7">
        <v>3424</v>
      </c>
      <c r="Q230" s="7">
        <v>2760</v>
      </c>
      <c r="R230" s="7">
        <v>4160</v>
      </c>
      <c r="S230" s="7">
        <v>4404</v>
      </c>
      <c r="T230" s="7">
        <v>4866</v>
      </c>
      <c r="U230" s="7">
        <v>5140</v>
      </c>
      <c r="V230" s="7">
        <v>5795</v>
      </c>
      <c r="W230" s="24">
        <f t="shared" si="18"/>
        <v>4261.866666666667</v>
      </c>
      <c r="X230" s="25">
        <f t="shared" si="19"/>
        <v>1187.538262040228</v>
      </c>
      <c r="Y230" s="25"/>
      <c r="Z230" s="26"/>
      <c r="AA230" s="7">
        <v>3388</v>
      </c>
      <c r="AB230" s="7">
        <v>3050</v>
      </c>
      <c r="AC230" s="7">
        <v>2746</v>
      </c>
      <c r="AD230" s="7">
        <v>4872</v>
      </c>
      <c r="AE230" s="7">
        <v>5900</v>
      </c>
      <c r="AF230" s="7">
        <v>3702</v>
      </c>
      <c r="AG230" s="7">
        <v>4015</v>
      </c>
      <c r="AH230" s="7">
        <v>3555</v>
      </c>
      <c r="AI230" s="7">
        <v>4009</v>
      </c>
      <c r="AJ230" s="7">
        <v>6257</v>
      </c>
      <c r="AK230" s="7">
        <v>5286</v>
      </c>
      <c r="AL230" s="7">
        <v>4652</v>
      </c>
      <c r="AM230" s="30">
        <f t="shared" si="20"/>
        <v>4286</v>
      </c>
      <c r="AN230" s="30">
        <f t="shared" si="21"/>
        <v>1115.9372742228838</v>
      </c>
      <c r="AO230" s="30"/>
      <c r="AP230" s="29">
        <f t="shared" si="22"/>
        <v>1.005662620448004</v>
      </c>
      <c r="AQ230" s="31">
        <f t="shared" si="23"/>
        <v>0.957462123799175</v>
      </c>
      <c r="AR230" s="21" t="s">
        <v>822</v>
      </c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DM230" s="16"/>
      <c r="DN230" s="16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3"/>
      <c r="FW230" s="11"/>
    </row>
    <row r="231" spans="1:179" ht="18.75">
      <c r="A231" s="1" t="s">
        <v>225</v>
      </c>
      <c r="B231" s="2" t="s">
        <v>226</v>
      </c>
      <c r="C231" s="2" t="s">
        <v>227</v>
      </c>
      <c r="D231" s="2" t="str">
        <f>HYPERLINK("http://eros.fiehnlab.ucdavis.edu:8080/binbase-compound/bin/show/199775?db=rtx5","199775")</f>
        <v>199775</v>
      </c>
      <c r="E231" s="2" t="s">
        <v>1105</v>
      </c>
      <c r="F231" s="2" t="str">
        <f>HYPERLINK("http://www.genome.ad.jp/dbget-bin/www_bget?compound+C00078","C00078")</f>
        <v>C00078</v>
      </c>
      <c r="G231" s="2" t="str">
        <f>HYPERLINK("http://pubchem.ncbi.nlm.nih.gov/summary/summary.cgi?cid=6305","6305")</f>
        <v>6305</v>
      </c>
      <c r="H231" s="7">
        <v>28487</v>
      </c>
      <c r="I231" s="7">
        <v>109627</v>
      </c>
      <c r="J231" s="7">
        <v>56405</v>
      </c>
      <c r="K231" s="7">
        <v>100109</v>
      </c>
      <c r="L231" s="7">
        <v>88859</v>
      </c>
      <c r="M231" s="7">
        <v>139769</v>
      </c>
      <c r="N231" s="7">
        <v>103155</v>
      </c>
      <c r="O231" s="7">
        <v>139947</v>
      </c>
      <c r="P231" s="7">
        <v>158962</v>
      </c>
      <c r="Q231" s="7">
        <v>117859</v>
      </c>
      <c r="R231" s="7">
        <v>118458</v>
      </c>
      <c r="S231" s="7">
        <v>151343</v>
      </c>
      <c r="T231" s="7">
        <v>179540</v>
      </c>
      <c r="U231" s="7">
        <v>96112</v>
      </c>
      <c r="V231" s="7">
        <v>111247</v>
      </c>
      <c r="W231" s="24">
        <f t="shared" si="18"/>
        <v>113325.26666666666</v>
      </c>
      <c r="X231" s="25">
        <f t="shared" si="19"/>
        <v>38725.94294243784</v>
      </c>
      <c r="Y231" s="25"/>
      <c r="Z231" s="26"/>
      <c r="AA231" s="7">
        <v>120704</v>
      </c>
      <c r="AB231" s="7">
        <v>99509</v>
      </c>
      <c r="AC231" s="7">
        <v>116898</v>
      </c>
      <c r="AD231" s="7">
        <v>73388</v>
      </c>
      <c r="AE231" s="7">
        <v>107641</v>
      </c>
      <c r="AF231" s="7">
        <v>65790</v>
      </c>
      <c r="AG231" s="7">
        <v>99601</v>
      </c>
      <c r="AH231" s="7">
        <v>152250</v>
      </c>
      <c r="AI231" s="7">
        <v>117320</v>
      </c>
      <c r="AJ231" s="7">
        <v>111373</v>
      </c>
      <c r="AK231" s="7">
        <v>164095</v>
      </c>
      <c r="AL231" s="7">
        <v>142314</v>
      </c>
      <c r="AM231" s="30">
        <f t="shared" si="20"/>
        <v>114240.25</v>
      </c>
      <c r="AN231" s="30">
        <f t="shared" si="21"/>
        <v>29039.35078827599</v>
      </c>
      <c r="AO231" s="30"/>
      <c r="AP231" s="29">
        <f t="shared" si="22"/>
        <v>1.0080739570287063</v>
      </c>
      <c r="AQ231" s="31">
        <f t="shared" si="23"/>
        <v>0.9464118068627567</v>
      </c>
      <c r="AR231" s="21" t="s">
        <v>225</v>
      </c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DM231" s="16"/>
      <c r="DN231" s="16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3"/>
      <c r="FW231" s="11"/>
    </row>
    <row r="232" spans="1:179" ht="18.75">
      <c r="A232" s="1" t="s">
        <v>954</v>
      </c>
      <c r="B232" s="2" t="s">
        <v>955</v>
      </c>
      <c r="C232" s="2" t="s">
        <v>956</v>
      </c>
      <c r="D232" s="2" t="str">
        <f>HYPERLINK("http://eros.fiehnlab.ucdavis.edu:8080/binbase-compound/bin/show/223675?db=rtx5","223675")</f>
        <v>223675</v>
      </c>
      <c r="E232" s="2" t="s">
        <v>653</v>
      </c>
      <c r="F232" s="2" t="s">
        <v>83</v>
      </c>
      <c r="G232" s="2" t="s">
        <v>83</v>
      </c>
      <c r="H232" s="7">
        <v>15201</v>
      </c>
      <c r="I232" s="7">
        <v>11927</v>
      </c>
      <c r="J232" s="7">
        <v>6049</v>
      </c>
      <c r="K232" s="7">
        <v>14755</v>
      </c>
      <c r="L232" s="7">
        <v>20151</v>
      </c>
      <c r="M232" s="7">
        <v>15368</v>
      </c>
      <c r="N232" s="7">
        <v>9867</v>
      </c>
      <c r="O232" s="7">
        <v>9338</v>
      </c>
      <c r="P232" s="7">
        <v>12364</v>
      </c>
      <c r="Q232" s="7">
        <v>11580</v>
      </c>
      <c r="R232" s="7">
        <v>17728</v>
      </c>
      <c r="S232" s="7">
        <v>8186</v>
      </c>
      <c r="T232" s="7">
        <v>14164</v>
      </c>
      <c r="U232" s="7">
        <v>11918</v>
      </c>
      <c r="V232" s="7">
        <v>20652</v>
      </c>
      <c r="W232" s="24">
        <f t="shared" si="18"/>
        <v>13283.2</v>
      </c>
      <c r="X232" s="25">
        <f t="shared" si="19"/>
        <v>4184.900411854846</v>
      </c>
      <c r="Y232" s="25"/>
      <c r="Z232" s="26"/>
      <c r="AA232" s="7">
        <v>10439</v>
      </c>
      <c r="AB232" s="7">
        <v>19676</v>
      </c>
      <c r="AC232" s="7">
        <v>14053</v>
      </c>
      <c r="AD232" s="7">
        <v>18228</v>
      </c>
      <c r="AE232" s="7">
        <v>7407</v>
      </c>
      <c r="AF232" s="7">
        <v>10488</v>
      </c>
      <c r="AG232" s="7">
        <v>16986</v>
      </c>
      <c r="AH232" s="7">
        <v>16616</v>
      </c>
      <c r="AI232" s="7">
        <v>8744</v>
      </c>
      <c r="AJ232" s="7">
        <v>16232</v>
      </c>
      <c r="AK232" s="7">
        <v>11349</v>
      </c>
      <c r="AL232" s="7">
        <v>10533</v>
      </c>
      <c r="AM232" s="30">
        <f t="shared" si="20"/>
        <v>13395.916666666666</v>
      </c>
      <c r="AN232" s="30">
        <f t="shared" si="21"/>
        <v>4063.296746112654</v>
      </c>
      <c r="AO232" s="30"/>
      <c r="AP232" s="29">
        <f t="shared" si="22"/>
        <v>1.0084856560668112</v>
      </c>
      <c r="AQ232" s="31">
        <f t="shared" si="23"/>
        <v>0.9444064504094882</v>
      </c>
      <c r="AR232" s="21" t="s">
        <v>954</v>
      </c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DM232" s="16"/>
      <c r="DN232" s="16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3"/>
      <c r="FW232" s="11"/>
    </row>
    <row r="233" spans="1:179" ht="18.75">
      <c r="A233" s="1" t="s">
        <v>373</v>
      </c>
      <c r="B233" s="2" t="s">
        <v>374</v>
      </c>
      <c r="C233" s="2" t="s">
        <v>243</v>
      </c>
      <c r="D233" s="2" t="str">
        <f>HYPERLINK("http://eros.fiehnlab.ucdavis.edu:8080/binbase-compound/bin/show/374008?db=rtx5","374008")</f>
        <v>374008</v>
      </c>
      <c r="E233" s="2" t="s">
        <v>1134</v>
      </c>
      <c r="F233" s="2" t="str">
        <f>HYPERLINK("http://www.genome.ad.jp/dbget-bin/www_bget?compound+C02679 ","C02679 ")</f>
        <v>C02679 </v>
      </c>
      <c r="G233" s="2" t="str">
        <f>HYPERLINK("http://pubchem.ncbi.nlm.nih.gov/summary/summary.cgi?cid=3893","3893")</f>
        <v>3893</v>
      </c>
      <c r="H233" s="7">
        <v>28284</v>
      </c>
      <c r="I233" s="7">
        <v>41324</v>
      </c>
      <c r="J233" s="7">
        <v>39938</v>
      </c>
      <c r="K233" s="7">
        <v>35730</v>
      </c>
      <c r="L233" s="7">
        <v>36566</v>
      </c>
      <c r="M233" s="7">
        <v>25835</v>
      </c>
      <c r="N233" s="7">
        <v>27425</v>
      </c>
      <c r="O233" s="7">
        <v>26970</v>
      </c>
      <c r="P233" s="7">
        <v>27946</v>
      </c>
      <c r="Q233" s="7">
        <v>27368</v>
      </c>
      <c r="R233" s="7">
        <v>36389</v>
      </c>
      <c r="S233" s="7">
        <v>37960</v>
      </c>
      <c r="T233" s="7">
        <v>32541</v>
      </c>
      <c r="U233" s="7">
        <v>42665</v>
      </c>
      <c r="V233" s="7">
        <v>33873</v>
      </c>
      <c r="W233" s="24">
        <f t="shared" si="18"/>
        <v>33387.6</v>
      </c>
      <c r="X233" s="25">
        <f t="shared" si="19"/>
        <v>5757.568134948249</v>
      </c>
      <c r="Y233" s="25"/>
      <c r="Z233" s="26"/>
      <c r="AA233" s="7">
        <v>27317</v>
      </c>
      <c r="AB233" s="7">
        <v>34645</v>
      </c>
      <c r="AC233" s="7">
        <v>31961</v>
      </c>
      <c r="AD233" s="7">
        <v>25787</v>
      </c>
      <c r="AE233" s="7">
        <v>32264</v>
      </c>
      <c r="AF233" s="7">
        <v>45675</v>
      </c>
      <c r="AG233" s="7">
        <v>31058</v>
      </c>
      <c r="AH233" s="7">
        <v>36518</v>
      </c>
      <c r="AI233" s="7">
        <v>25853</v>
      </c>
      <c r="AJ233" s="7">
        <v>30114</v>
      </c>
      <c r="AK233" s="7">
        <v>40666</v>
      </c>
      <c r="AL233" s="7">
        <v>42327</v>
      </c>
      <c r="AM233" s="30">
        <f t="shared" si="20"/>
        <v>33682.083333333336</v>
      </c>
      <c r="AN233" s="30">
        <f t="shared" si="21"/>
        <v>6502.032206211071</v>
      </c>
      <c r="AO233" s="30"/>
      <c r="AP233" s="29">
        <f t="shared" si="22"/>
        <v>1.0088201408107602</v>
      </c>
      <c r="AQ233" s="31">
        <f t="shared" si="23"/>
        <v>0.9017405217923018</v>
      </c>
      <c r="AR233" s="21" t="s">
        <v>373</v>
      </c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DM233" s="16"/>
      <c r="DN233" s="16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3"/>
      <c r="FW233" s="11"/>
    </row>
    <row r="234" spans="1:179" ht="18.75">
      <c r="A234" s="1" t="s">
        <v>857</v>
      </c>
      <c r="B234" s="2" t="s">
        <v>858</v>
      </c>
      <c r="C234" s="2" t="s">
        <v>859</v>
      </c>
      <c r="D234" s="2" t="str">
        <f>HYPERLINK("http://eros.fiehnlab.ucdavis.edu:8080/binbase-compound/bin/show/241087?db=rtx5","241087")</f>
        <v>241087</v>
      </c>
      <c r="E234" s="2" t="s">
        <v>14</v>
      </c>
      <c r="F234" s="2" t="s">
        <v>83</v>
      </c>
      <c r="G234" s="2" t="s">
        <v>83</v>
      </c>
      <c r="H234" s="7">
        <v>803</v>
      </c>
      <c r="I234" s="7">
        <v>1379</v>
      </c>
      <c r="J234" s="7">
        <v>537</v>
      </c>
      <c r="K234" s="7">
        <v>324</v>
      </c>
      <c r="L234" s="7">
        <v>174</v>
      </c>
      <c r="M234" s="7">
        <v>406</v>
      </c>
      <c r="N234" s="7">
        <v>173</v>
      </c>
      <c r="O234" s="7">
        <v>921</v>
      </c>
      <c r="P234" s="7">
        <v>1271</v>
      </c>
      <c r="Q234" s="7">
        <v>808</v>
      </c>
      <c r="R234" s="7">
        <v>240</v>
      </c>
      <c r="S234" s="7">
        <v>1276</v>
      </c>
      <c r="T234" s="7">
        <v>1096</v>
      </c>
      <c r="U234" s="7">
        <v>252</v>
      </c>
      <c r="V234" s="7">
        <v>433</v>
      </c>
      <c r="W234" s="24">
        <f t="shared" si="18"/>
        <v>672.8666666666667</v>
      </c>
      <c r="X234" s="25">
        <f t="shared" si="19"/>
        <v>433.2702664729301</v>
      </c>
      <c r="Y234" s="25"/>
      <c r="Z234" s="26"/>
      <c r="AA234" s="7">
        <v>1074</v>
      </c>
      <c r="AB234" s="7">
        <v>385</v>
      </c>
      <c r="AC234" s="7">
        <v>875</v>
      </c>
      <c r="AD234" s="7">
        <v>162</v>
      </c>
      <c r="AE234" s="7">
        <v>383</v>
      </c>
      <c r="AF234" s="7">
        <v>1351</v>
      </c>
      <c r="AG234" s="7">
        <v>1056</v>
      </c>
      <c r="AH234" s="7">
        <v>835</v>
      </c>
      <c r="AI234" s="7">
        <v>412</v>
      </c>
      <c r="AJ234" s="7">
        <v>280</v>
      </c>
      <c r="AK234" s="7">
        <v>451</v>
      </c>
      <c r="AL234" s="7">
        <v>885</v>
      </c>
      <c r="AM234" s="30">
        <f t="shared" si="20"/>
        <v>679.0833333333334</v>
      </c>
      <c r="AN234" s="30">
        <f t="shared" si="21"/>
        <v>378.84284540578506</v>
      </c>
      <c r="AO234" s="30"/>
      <c r="AP234" s="29">
        <f t="shared" si="22"/>
        <v>1.0092390765877342</v>
      </c>
      <c r="AQ234" s="31">
        <f t="shared" si="23"/>
        <v>0.9690980621127808</v>
      </c>
      <c r="AR234" s="21" t="s">
        <v>857</v>
      </c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DM234" s="16"/>
      <c r="DN234" s="16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3"/>
      <c r="FW234" s="11"/>
    </row>
    <row r="235" spans="1:179" ht="18.75">
      <c r="A235" s="1" t="s">
        <v>421</v>
      </c>
      <c r="B235" s="2" t="s">
        <v>422</v>
      </c>
      <c r="C235" s="2" t="s">
        <v>423</v>
      </c>
      <c r="D235" s="2" t="str">
        <f>HYPERLINK("http://eros.fiehnlab.ucdavis.edu:8080/binbase-compound/bin/show/199419?db=rtx5","199419")</f>
        <v>199419</v>
      </c>
      <c r="E235" s="2" t="s">
        <v>606</v>
      </c>
      <c r="F235" s="2" t="str">
        <f>HYPERLINK("http://www.genome.ad.jp/dbget-bin/www_bget?compound+C00093","C00093")</f>
        <v>C00093</v>
      </c>
      <c r="G235" s="2" t="str">
        <f>HYPERLINK("http://pubchem.ncbi.nlm.nih.gov/summary/summary.cgi?cid=754","754")</f>
        <v>754</v>
      </c>
      <c r="H235" s="7">
        <v>1009</v>
      </c>
      <c r="I235" s="7">
        <v>912</v>
      </c>
      <c r="J235" s="7">
        <v>856</v>
      </c>
      <c r="K235" s="7">
        <v>600</v>
      </c>
      <c r="L235" s="7">
        <v>853</v>
      </c>
      <c r="M235" s="7">
        <v>908</v>
      </c>
      <c r="N235" s="7">
        <v>709</v>
      </c>
      <c r="O235" s="7">
        <v>721</v>
      </c>
      <c r="P235" s="7">
        <v>748</v>
      </c>
      <c r="Q235" s="7">
        <v>748</v>
      </c>
      <c r="R235" s="7">
        <v>873</v>
      </c>
      <c r="S235" s="7">
        <v>768</v>
      </c>
      <c r="T235" s="7">
        <v>1072</v>
      </c>
      <c r="U235" s="7">
        <v>670</v>
      </c>
      <c r="V235" s="7">
        <v>1304</v>
      </c>
      <c r="W235" s="24">
        <f t="shared" si="18"/>
        <v>850.0666666666667</v>
      </c>
      <c r="X235" s="25">
        <f t="shared" si="19"/>
        <v>178.76899166508827</v>
      </c>
      <c r="Y235" s="25"/>
      <c r="Z235" s="26"/>
      <c r="AA235" s="7">
        <v>768</v>
      </c>
      <c r="AB235" s="7">
        <v>851</v>
      </c>
      <c r="AC235" s="7">
        <v>683</v>
      </c>
      <c r="AD235" s="7">
        <v>606</v>
      </c>
      <c r="AE235" s="7">
        <v>918</v>
      </c>
      <c r="AF235" s="7">
        <v>959</v>
      </c>
      <c r="AG235" s="7">
        <v>705</v>
      </c>
      <c r="AH235" s="7">
        <v>1038</v>
      </c>
      <c r="AI235" s="7">
        <v>907</v>
      </c>
      <c r="AJ235" s="7">
        <v>832</v>
      </c>
      <c r="AK235" s="7">
        <v>790</v>
      </c>
      <c r="AL235" s="7">
        <v>1253</v>
      </c>
      <c r="AM235" s="30">
        <f t="shared" si="20"/>
        <v>859.1666666666666</v>
      </c>
      <c r="AN235" s="30">
        <f t="shared" si="21"/>
        <v>174.667910011767</v>
      </c>
      <c r="AO235" s="30"/>
      <c r="AP235" s="29">
        <f t="shared" si="22"/>
        <v>1.0107050427417457</v>
      </c>
      <c r="AQ235" s="31">
        <f t="shared" si="23"/>
        <v>0.895442752729225</v>
      </c>
      <c r="AR235" s="21" t="s">
        <v>421</v>
      </c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DM235" s="16"/>
      <c r="DN235" s="16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3"/>
      <c r="FW235" s="11"/>
    </row>
    <row r="236" spans="1:179" ht="18.75">
      <c r="A236" s="1" t="s">
        <v>890</v>
      </c>
      <c r="B236" s="2" t="s">
        <v>891</v>
      </c>
      <c r="C236" s="2" t="s">
        <v>892</v>
      </c>
      <c r="D236" s="2" t="str">
        <f>HYPERLINK("http://eros.fiehnlab.ucdavis.edu:8080/binbase-compound/bin/show/231850?db=rtx5","231850")</f>
        <v>231850</v>
      </c>
      <c r="E236" s="2" t="s">
        <v>198</v>
      </c>
      <c r="F236" s="2" t="s">
        <v>83</v>
      </c>
      <c r="G236" s="2" t="s">
        <v>83</v>
      </c>
      <c r="H236" s="7">
        <v>339</v>
      </c>
      <c r="I236" s="7">
        <v>211</v>
      </c>
      <c r="J236" s="7">
        <v>1309</v>
      </c>
      <c r="K236" s="7">
        <v>1070</v>
      </c>
      <c r="L236" s="7">
        <v>1192</v>
      </c>
      <c r="M236" s="7">
        <v>242</v>
      </c>
      <c r="N236" s="7">
        <v>322</v>
      </c>
      <c r="O236" s="7">
        <v>142</v>
      </c>
      <c r="P236" s="7">
        <v>929</v>
      </c>
      <c r="Q236" s="7">
        <v>545</v>
      </c>
      <c r="R236" s="7">
        <v>363</v>
      </c>
      <c r="S236" s="7">
        <v>266</v>
      </c>
      <c r="T236" s="7">
        <v>367</v>
      </c>
      <c r="U236" s="7">
        <v>817</v>
      </c>
      <c r="V236" s="7">
        <v>411</v>
      </c>
      <c r="W236" s="24">
        <f t="shared" si="18"/>
        <v>568.3333333333334</v>
      </c>
      <c r="X236" s="25">
        <f t="shared" si="19"/>
        <v>388.19613353978434</v>
      </c>
      <c r="Y236" s="25"/>
      <c r="Z236" s="26"/>
      <c r="AA236" s="7">
        <v>353</v>
      </c>
      <c r="AB236" s="7">
        <v>1055</v>
      </c>
      <c r="AC236" s="7">
        <v>668</v>
      </c>
      <c r="AD236" s="7">
        <v>639</v>
      </c>
      <c r="AE236" s="7">
        <v>1173</v>
      </c>
      <c r="AF236" s="7">
        <v>524</v>
      </c>
      <c r="AG236" s="7">
        <v>296</v>
      </c>
      <c r="AH236" s="7">
        <v>257</v>
      </c>
      <c r="AI236" s="7">
        <v>586</v>
      </c>
      <c r="AJ236" s="7">
        <v>395</v>
      </c>
      <c r="AK236" s="7">
        <v>754</v>
      </c>
      <c r="AL236" s="7">
        <v>202</v>
      </c>
      <c r="AM236" s="30">
        <f t="shared" si="20"/>
        <v>575.1666666666666</v>
      </c>
      <c r="AN236" s="30">
        <f t="shared" si="21"/>
        <v>306.78533606455574</v>
      </c>
      <c r="AO236" s="30"/>
      <c r="AP236" s="29">
        <f t="shared" si="22"/>
        <v>1.0120234604105571</v>
      </c>
      <c r="AQ236" s="31">
        <f t="shared" si="23"/>
        <v>0.9607213876341898</v>
      </c>
      <c r="AR236" s="21" t="s">
        <v>890</v>
      </c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DM236" s="16"/>
      <c r="DN236" s="16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3"/>
      <c r="FW236" s="11"/>
    </row>
    <row r="237" spans="1:179" ht="18.75">
      <c r="A237" s="1" t="s">
        <v>495</v>
      </c>
      <c r="B237" s="2" t="s">
        <v>496</v>
      </c>
      <c r="C237" s="2" t="s">
        <v>497</v>
      </c>
      <c r="D237" s="2" t="str">
        <f>HYPERLINK("http://eros.fiehnlab.ucdavis.edu:8080/binbase-compound/bin/show/372849?db=rtx5","372849")</f>
        <v>372849</v>
      </c>
      <c r="E237" s="2" t="s">
        <v>1124</v>
      </c>
      <c r="F237" s="2" t="str">
        <f>HYPERLINK("http://www.genome.ad.jp/dbget-bin/www_bget?compound+C00158","C00158")</f>
        <v>C00158</v>
      </c>
      <c r="G237" s="2" t="str">
        <f>HYPERLINK("http://pubchem.ncbi.nlm.nih.gov/summary/summary.cgi?cid=311","311")</f>
        <v>311</v>
      </c>
      <c r="H237" s="7">
        <v>160141</v>
      </c>
      <c r="I237" s="7">
        <v>133217</v>
      </c>
      <c r="J237" s="7">
        <v>46702</v>
      </c>
      <c r="K237" s="7">
        <v>76572</v>
      </c>
      <c r="L237" s="7">
        <v>85362</v>
      </c>
      <c r="M237" s="7">
        <v>85905</v>
      </c>
      <c r="N237" s="7">
        <v>71640</v>
      </c>
      <c r="O237" s="7">
        <v>85844</v>
      </c>
      <c r="P237" s="7">
        <v>56933</v>
      </c>
      <c r="Q237" s="7">
        <v>59466</v>
      </c>
      <c r="R237" s="7">
        <v>108593</v>
      </c>
      <c r="S237" s="7">
        <v>88340</v>
      </c>
      <c r="T237" s="7">
        <v>66654</v>
      </c>
      <c r="U237" s="7">
        <v>46835</v>
      </c>
      <c r="V237" s="7">
        <v>100623</v>
      </c>
      <c r="W237" s="24">
        <f t="shared" si="18"/>
        <v>84855.13333333333</v>
      </c>
      <c r="X237" s="25">
        <f t="shared" si="19"/>
        <v>31320.23778843018</v>
      </c>
      <c r="Y237" s="25"/>
      <c r="Z237" s="27"/>
      <c r="AA237" s="7">
        <v>83816</v>
      </c>
      <c r="AB237" s="7">
        <v>74606</v>
      </c>
      <c r="AC237" s="7">
        <v>65522</v>
      </c>
      <c r="AD237" s="7">
        <v>71700</v>
      </c>
      <c r="AE237" s="7">
        <v>62529</v>
      </c>
      <c r="AF237" s="7">
        <v>100370</v>
      </c>
      <c r="AG237" s="7">
        <v>130692</v>
      </c>
      <c r="AH237" s="7">
        <v>97189</v>
      </c>
      <c r="AI237" s="7">
        <v>118745</v>
      </c>
      <c r="AJ237" s="7">
        <v>59964</v>
      </c>
      <c r="AK237" s="7">
        <v>81275</v>
      </c>
      <c r="AL237" s="7">
        <v>87876</v>
      </c>
      <c r="AM237" s="30">
        <f t="shared" si="20"/>
        <v>86190.33333333333</v>
      </c>
      <c r="AN237" s="30">
        <f t="shared" si="21"/>
        <v>22184.973421146355</v>
      </c>
      <c r="AO237" s="30"/>
      <c r="AP237" s="29">
        <f t="shared" si="22"/>
        <v>1.0157350527605087</v>
      </c>
      <c r="AQ237" s="31">
        <f t="shared" si="23"/>
        <v>0.9018594573222967</v>
      </c>
      <c r="AR237" s="21" t="s">
        <v>495</v>
      </c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DM237" s="16"/>
      <c r="DN237" s="16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3"/>
      <c r="FW237" s="11"/>
    </row>
    <row r="238" spans="1:179" ht="18.75">
      <c r="A238" s="1" t="s">
        <v>369</v>
      </c>
      <c r="B238" s="2" t="s">
        <v>370</v>
      </c>
      <c r="C238" s="2" t="s">
        <v>265</v>
      </c>
      <c r="D238" s="2" t="str">
        <f>HYPERLINK("http://eros.fiehnlab.ucdavis.edu:8080/binbase-compound/bin/show/199201?db=rtx5","199201")</f>
        <v>199201</v>
      </c>
      <c r="E238" s="2" t="s">
        <v>571</v>
      </c>
      <c r="F238" s="2" t="str">
        <f>HYPERLINK("http://www.genome.ad.jp/dbget-bin/www_bget?compound+n/a","n/a")</f>
        <v>n/a</v>
      </c>
      <c r="G238" s="2" t="str">
        <f>HYPERLINK("http://pubchem.ncbi.nlm.nih.gov/summary/summary.cgi?cid=2724705","2724705")</f>
        <v>2724705</v>
      </c>
      <c r="H238" s="7">
        <v>647</v>
      </c>
      <c r="I238" s="7">
        <v>510</v>
      </c>
      <c r="J238" s="7">
        <v>1332</v>
      </c>
      <c r="K238" s="7">
        <v>591</v>
      </c>
      <c r="L238" s="7">
        <v>436</v>
      </c>
      <c r="M238" s="7">
        <v>1103</v>
      </c>
      <c r="N238" s="7">
        <v>381</v>
      </c>
      <c r="O238" s="7">
        <v>1278</v>
      </c>
      <c r="P238" s="7">
        <v>593</v>
      </c>
      <c r="Q238" s="7">
        <v>370</v>
      </c>
      <c r="R238" s="7">
        <v>611</v>
      </c>
      <c r="S238" s="7">
        <v>270</v>
      </c>
      <c r="T238" s="7">
        <v>359</v>
      </c>
      <c r="U238" s="7">
        <v>806</v>
      </c>
      <c r="V238" s="7">
        <v>676</v>
      </c>
      <c r="W238" s="24">
        <f t="shared" si="18"/>
        <v>664.2</v>
      </c>
      <c r="X238" s="25">
        <f t="shared" si="19"/>
        <v>331.68427328237493</v>
      </c>
      <c r="Y238" s="25"/>
      <c r="Z238" s="26"/>
      <c r="AA238" s="7">
        <v>553</v>
      </c>
      <c r="AB238" s="7">
        <v>788</v>
      </c>
      <c r="AC238" s="7">
        <v>319</v>
      </c>
      <c r="AD238" s="7">
        <v>346</v>
      </c>
      <c r="AE238" s="7">
        <v>1072</v>
      </c>
      <c r="AF238" s="7">
        <v>1185</v>
      </c>
      <c r="AG238" s="7">
        <v>775</v>
      </c>
      <c r="AH238" s="7">
        <v>461</v>
      </c>
      <c r="AI238" s="7">
        <v>318</v>
      </c>
      <c r="AJ238" s="7">
        <v>497</v>
      </c>
      <c r="AK238" s="7">
        <v>888</v>
      </c>
      <c r="AL238" s="7">
        <v>900</v>
      </c>
      <c r="AM238" s="30">
        <f t="shared" si="20"/>
        <v>675.1666666666666</v>
      </c>
      <c r="AN238" s="30">
        <f t="shared" si="21"/>
        <v>300.1911007503337</v>
      </c>
      <c r="AO238" s="30"/>
      <c r="AP238" s="29">
        <f t="shared" si="22"/>
        <v>1.0165110910368362</v>
      </c>
      <c r="AQ238" s="31">
        <f t="shared" si="23"/>
        <v>0.9298034566290299</v>
      </c>
      <c r="AR238" s="21" t="s">
        <v>369</v>
      </c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DM238" s="16"/>
      <c r="DN238" s="16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3"/>
      <c r="FW238" s="11"/>
    </row>
    <row r="239" spans="1:179" ht="18.75">
      <c r="A239" s="1" t="s">
        <v>888</v>
      </c>
      <c r="B239" s="2" t="s">
        <v>889</v>
      </c>
      <c r="C239" s="2" t="s">
        <v>497</v>
      </c>
      <c r="D239" s="2" t="str">
        <f>HYPERLINK("http://eros.fiehnlab.ucdavis.edu:8080/binbase-compound/bin/show/232087?db=rtx5","232087")</f>
        <v>232087</v>
      </c>
      <c r="E239" s="2" t="s">
        <v>28</v>
      </c>
      <c r="F239" s="2" t="s">
        <v>83</v>
      </c>
      <c r="G239" s="2" t="s">
        <v>83</v>
      </c>
      <c r="H239" s="7">
        <v>160241</v>
      </c>
      <c r="I239" s="7">
        <v>133081</v>
      </c>
      <c r="J239" s="7">
        <v>46356</v>
      </c>
      <c r="K239" s="7">
        <v>76397</v>
      </c>
      <c r="L239" s="7">
        <v>85447</v>
      </c>
      <c r="M239" s="7">
        <v>85802</v>
      </c>
      <c r="N239" s="7">
        <v>71557</v>
      </c>
      <c r="O239" s="7">
        <v>85934</v>
      </c>
      <c r="P239" s="7">
        <v>56810</v>
      </c>
      <c r="Q239" s="7">
        <v>59567</v>
      </c>
      <c r="R239" s="7">
        <v>107698</v>
      </c>
      <c r="S239" s="7">
        <v>88447</v>
      </c>
      <c r="T239" s="7">
        <v>66772</v>
      </c>
      <c r="U239" s="7">
        <v>46700</v>
      </c>
      <c r="V239" s="7">
        <v>100875</v>
      </c>
      <c r="W239" s="24">
        <f t="shared" si="18"/>
        <v>84778.93333333333</v>
      </c>
      <c r="X239" s="25">
        <f t="shared" si="19"/>
        <v>31329.83260970893</v>
      </c>
      <c r="Y239" s="25"/>
      <c r="Z239" s="26"/>
      <c r="AA239" s="7">
        <v>83687</v>
      </c>
      <c r="AB239" s="7">
        <v>74472</v>
      </c>
      <c r="AC239" s="7">
        <v>65424</v>
      </c>
      <c r="AD239" s="7">
        <v>72609</v>
      </c>
      <c r="AE239" s="7">
        <v>62792</v>
      </c>
      <c r="AF239" s="7">
        <v>101327</v>
      </c>
      <c r="AG239" s="7">
        <v>130782</v>
      </c>
      <c r="AH239" s="7">
        <v>97306</v>
      </c>
      <c r="AI239" s="7">
        <v>118854</v>
      </c>
      <c r="AJ239" s="7">
        <v>59818</v>
      </c>
      <c r="AK239" s="7">
        <v>81120</v>
      </c>
      <c r="AL239" s="7">
        <v>88001</v>
      </c>
      <c r="AM239" s="30">
        <f t="shared" si="20"/>
        <v>86349.33333333333</v>
      </c>
      <c r="AN239" s="30">
        <f t="shared" si="21"/>
        <v>22236.238233745367</v>
      </c>
      <c r="AO239" s="30"/>
      <c r="AP239" s="29">
        <f t="shared" si="22"/>
        <v>1.0185234696669927</v>
      </c>
      <c r="AQ239" s="31">
        <f t="shared" si="23"/>
        <v>0.8847901579816281</v>
      </c>
      <c r="AR239" s="21" t="s">
        <v>888</v>
      </c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DM239" s="16"/>
      <c r="DN239" s="16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3"/>
      <c r="FW239" s="11"/>
    </row>
    <row r="240" spans="1:179" ht="18.75">
      <c r="A240" s="1" t="s">
        <v>1076</v>
      </c>
      <c r="B240" s="2" t="s">
        <v>84</v>
      </c>
      <c r="C240" s="2" t="s">
        <v>85</v>
      </c>
      <c r="D240" s="2" t="str">
        <f>HYPERLINK("http://eros.fiehnlab.ucdavis.edu:8080/binbase-compound/bin/show/200500?db=rtx5","200500")</f>
        <v>200500</v>
      </c>
      <c r="E240" s="2" t="s">
        <v>599</v>
      </c>
      <c r="F240" s="2" t="str">
        <f>HYPERLINK("http://www.genome.ad.jp/dbget-bin/www_bget?compound+C00181","C00181")</f>
        <v>C00181</v>
      </c>
      <c r="G240" s="2" t="str">
        <f>HYPERLINK("http://pubchem.ncbi.nlm.nih.gov/summary/summary.cgi?cid=6027","6027")</f>
        <v>6027</v>
      </c>
      <c r="H240" s="7">
        <v>1821</v>
      </c>
      <c r="I240" s="7">
        <v>2447</v>
      </c>
      <c r="J240" s="7">
        <v>2379</v>
      </c>
      <c r="K240" s="7">
        <v>1424</v>
      </c>
      <c r="L240" s="7">
        <v>1362</v>
      </c>
      <c r="M240" s="7">
        <v>1841</v>
      </c>
      <c r="N240" s="7">
        <v>1150</v>
      </c>
      <c r="O240" s="7">
        <v>2089</v>
      </c>
      <c r="P240" s="7">
        <v>2627</v>
      </c>
      <c r="Q240" s="7">
        <v>1517</v>
      </c>
      <c r="R240" s="7">
        <v>1580</v>
      </c>
      <c r="S240" s="7">
        <v>1804</v>
      </c>
      <c r="T240" s="7">
        <v>1758</v>
      </c>
      <c r="U240" s="7">
        <v>1151</v>
      </c>
      <c r="V240" s="7">
        <v>1913</v>
      </c>
      <c r="W240" s="24">
        <f t="shared" si="18"/>
        <v>1790.8666666666666</v>
      </c>
      <c r="X240" s="25">
        <f t="shared" si="19"/>
        <v>450.5654965337079</v>
      </c>
      <c r="Y240" s="25"/>
      <c r="Z240" s="26"/>
      <c r="AA240" s="7">
        <v>1527</v>
      </c>
      <c r="AB240" s="7">
        <v>1573</v>
      </c>
      <c r="AC240" s="7">
        <v>1845</v>
      </c>
      <c r="AD240" s="7">
        <v>1616</v>
      </c>
      <c r="AE240" s="7">
        <v>1885</v>
      </c>
      <c r="AF240" s="7">
        <v>2626</v>
      </c>
      <c r="AG240" s="7">
        <v>2113</v>
      </c>
      <c r="AH240" s="7">
        <v>1612</v>
      </c>
      <c r="AI240" s="7">
        <v>1931</v>
      </c>
      <c r="AJ240" s="7">
        <v>1728</v>
      </c>
      <c r="AK240" s="7">
        <v>1766</v>
      </c>
      <c r="AL240" s="7">
        <v>1763</v>
      </c>
      <c r="AM240" s="30">
        <f t="shared" si="20"/>
        <v>1832.0833333333333</v>
      </c>
      <c r="AN240" s="30">
        <f t="shared" si="21"/>
        <v>301.0996386982924</v>
      </c>
      <c r="AO240" s="30"/>
      <c r="AP240" s="29">
        <f t="shared" si="22"/>
        <v>1.0230149275955776</v>
      </c>
      <c r="AQ240" s="31">
        <f t="shared" si="23"/>
        <v>0.7881904146310383</v>
      </c>
      <c r="AR240" s="21" t="s">
        <v>1076</v>
      </c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DM240" s="16"/>
      <c r="DN240" s="16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3"/>
      <c r="FW240" s="11"/>
    </row>
    <row r="241" spans="1:179" ht="18.75">
      <c r="A241" s="41" t="s">
        <v>764</v>
      </c>
      <c r="B241" s="2" t="s">
        <v>765</v>
      </c>
      <c r="C241" s="2" t="s">
        <v>558</v>
      </c>
      <c r="D241" s="2" t="str">
        <f>HYPERLINK("http://eros.fiehnlab.ucdavis.edu:8080/binbase-compound/bin/show/199800?db=rtx5","199800")</f>
        <v>199800</v>
      </c>
      <c r="E241" s="2" t="s">
        <v>1123</v>
      </c>
      <c r="F241" s="2" t="str">
        <f>HYPERLINK("http://www.genome.ad.jp/dbget-bin/www_bget?compound+C05984","C05984")</f>
        <v>C05984</v>
      </c>
      <c r="G241" s="2" t="str">
        <f>HYPERLINK("http://pubchem.ncbi.nlm.nih.gov/summary/summary.cgi?cid=94318","94318")</f>
        <v>94318</v>
      </c>
      <c r="H241" s="7">
        <v>97104</v>
      </c>
      <c r="I241" s="7">
        <v>64215</v>
      </c>
      <c r="J241" s="42" t="s">
        <v>60</v>
      </c>
      <c r="K241" s="7">
        <v>77954</v>
      </c>
      <c r="L241" s="7">
        <v>97406</v>
      </c>
      <c r="M241" s="7">
        <v>82134</v>
      </c>
      <c r="N241" s="7">
        <v>47520</v>
      </c>
      <c r="O241" s="7">
        <v>43074</v>
      </c>
      <c r="P241" s="7">
        <v>62678</v>
      </c>
      <c r="Q241" s="7">
        <v>65076</v>
      </c>
      <c r="R241" s="7">
        <v>79083</v>
      </c>
      <c r="S241" s="7">
        <v>34354</v>
      </c>
      <c r="T241" s="7">
        <v>37058</v>
      </c>
      <c r="U241" s="7">
        <v>89007</v>
      </c>
      <c r="V241" s="7">
        <v>69665</v>
      </c>
      <c r="W241" s="25">
        <f t="shared" si="18"/>
        <v>67594.85714285714</v>
      </c>
      <c r="X241" s="25">
        <f t="shared" si="19"/>
        <v>21043.18847899808</v>
      </c>
      <c r="Y241" s="25"/>
      <c r="Z241" s="26"/>
      <c r="AA241" s="7">
        <v>63580</v>
      </c>
      <c r="AB241" s="7">
        <v>56928</v>
      </c>
      <c r="AC241" s="7">
        <v>102755</v>
      </c>
      <c r="AD241" s="7">
        <v>74627</v>
      </c>
      <c r="AE241" s="7">
        <v>49696</v>
      </c>
      <c r="AF241" s="7">
        <v>47743</v>
      </c>
      <c r="AG241" s="7">
        <v>75142</v>
      </c>
      <c r="AH241" s="7">
        <v>106049</v>
      </c>
      <c r="AI241" s="7">
        <v>66421</v>
      </c>
      <c r="AJ241" s="7">
        <v>81001</v>
      </c>
      <c r="AK241" s="7">
        <v>56085</v>
      </c>
      <c r="AL241" s="7">
        <v>49908</v>
      </c>
      <c r="AM241" s="30">
        <f t="shared" si="20"/>
        <v>69161.25</v>
      </c>
      <c r="AN241" s="30">
        <f t="shared" si="21"/>
        <v>19685.469214741755</v>
      </c>
      <c r="AO241" s="30"/>
      <c r="AP241" s="29">
        <f t="shared" si="22"/>
        <v>1.0231732549390908</v>
      </c>
      <c r="AQ241" s="34">
        <f t="shared" si="23"/>
        <v>0.8471312863535352</v>
      </c>
      <c r="AR241" s="21" t="s">
        <v>764</v>
      </c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DM241" s="44">
        <f>AVERAGE(H241:V241)</f>
        <v>67594.85714285714</v>
      </c>
      <c r="DN241" s="44">
        <f>STDEV(H241:V241)</f>
        <v>21043.18847899808</v>
      </c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3"/>
      <c r="FW241" s="11"/>
    </row>
    <row r="242" spans="1:179" ht="18.75">
      <c r="A242" s="1" t="s">
        <v>416</v>
      </c>
      <c r="B242" s="2" t="s">
        <v>417</v>
      </c>
      <c r="C242" s="2" t="s">
        <v>287</v>
      </c>
      <c r="D242" s="2" t="str">
        <f>HYPERLINK("http://eros.fiehnlab.ucdavis.edu:8080/binbase-compound/bin/show/216047?db=rtx5","216047")</f>
        <v>216047</v>
      </c>
      <c r="E242" s="2" t="s">
        <v>623</v>
      </c>
      <c r="F242" s="2" t="str">
        <f>HYPERLINK("http://www.genome.ad.jp/dbget-bin/www_bget?compound+C00160","C00160")</f>
        <v>C00160</v>
      </c>
      <c r="G242" s="2" t="str">
        <f>HYPERLINK("http://pubchem.ncbi.nlm.nih.gov/summary/summary.cgi?cid=757","757")</f>
        <v>757</v>
      </c>
      <c r="H242" s="7">
        <v>3824</v>
      </c>
      <c r="I242" s="7">
        <v>2108</v>
      </c>
      <c r="J242" s="7">
        <v>5006</v>
      </c>
      <c r="K242" s="7">
        <v>3769</v>
      </c>
      <c r="L242" s="7">
        <v>2707</v>
      </c>
      <c r="M242" s="7">
        <v>2412</v>
      </c>
      <c r="N242" s="7">
        <v>2474</v>
      </c>
      <c r="O242" s="7">
        <v>1984</v>
      </c>
      <c r="P242" s="7">
        <v>1909</v>
      </c>
      <c r="Q242" s="7">
        <v>3548</v>
      </c>
      <c r="R242" s="7">
        <v>2574</v>
      </c>
      <c r="S242" s="7">
        <v>2557</v>
      </c>
      <c r="T242" s="7">
        <v>569</v>
      </c>
      <c r="U242" s="7">
        <v>2660</v>
      </c>
      <c r="V242" s="7">
        <v>2541</v>
      </c>
      <c r="W242" s="24">
        <f t="shared" si="18"/>
        <v>2709.4666666666667</v>
      </c>
      <c r="X242" s="25">
        <f t="shared" si="19"/>
        <v>1023.6060114451589</v>
      </c>
      <c r="Y242" s="25"/>
      <c r="Z242" s="26"/>
      <c r="AA242" s="7">
        <v>2858</v>
      </c>
      <c r="AB242" s="7">
        <v>3168</v>
      </c>
      <c r="AC242" s="7">
        <v>2409</v>
      </c>
      <c r="AD242" s="7">
        <v>2087</v>
      </c>
      <c r="AE242" s="7">
        <v>3017</v>
      </c>
      <c r="AF242" s="7">
        <v>3164</v>
      </c>
      <c r="AG242" s="7">
        <v>2561</v>
      </c>
      <c r="AH242" s="7">
        <v>2950</v>
      </c>
      <c r="AI242" s="7">
        <v>2757</v>
      </c>
      <c r="AJ242" s="7">
        <v>2153</v>
      </c>
      <c r="AK242" s="7">
        <v>3119</v>
      </c>
      <c r="AL242" s="7">
        <v>3087</v>
      </c>
      <c r="AM242" s="30">
        <f t="shared" si="20"/>
        <v>2777.5</v>
      </c>
      <c r="AN242" s="30">
        <f t="shared" si="21"/>
        <v>388.20765296189336</v>
      </c>
      <c r="AO242" s="30"/>
      <c r="AP242" s="29">
        <f t="shared" si="22"/>
        <v>1.0251094926430786</v>
      </c>
      <c r="AQ242" s="31">
        <f t="shared" si="23"/>
        <v>0.8296844578687401</v>
      </c>
      <c r="AR242" s="21" t="s">
        <v>416</v>
      </c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DM242" s="16"/>
      <c r="DN242" s="16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3"/>
      <c r="FW242" s="11"/>
    </row>
    <row r="243" spans="1:179" ht="18.75">
      <c r="A243" s="1" t="s">
        <v>688</v>
      </c>
      <c r="B243" s="2" t="s">
        <v>689</v>
      </c>
      <c r="C243" s="2" t="s">
        <v>289</v>
      </c>
      <c r="D243" s="2" t="str">
        <f>HYPERLINK("http://eros.fiehnlab.ucdavis.edu:8080/binbase-compound/bin/show/408490?db=rtx5","408490")</f>
        <v>408490</v>
      </c>
      <c r="E243" s="2" t="s">
        <v>690</v>
      </c>
      <c r="F243" s="2" t="s">
        <v>83</v>
      </c>
      <c r="G243" s="2" t="s">
        <v>83</v>
      </c>
      <c r="H243" s="7">
        <v>122</v>
      </c>
      <c r="I243" s="7">
        <v>152</v>
      </c>
      <c r="J243" s="7">
        <v>12032</v>
      </c>
      <c r="K243" s="7">
        <v>4504</v>
      </c>
      <c r="L243" s="7">
        <v>2661</v>
      </c>
      <c r="M243" s="7">
        <v>3993</v>
      </c>
      <c r="N243" s="7">
        <v>129</v>
      </c>
      <c r="O243" s="7">
        <v>2617</v>
      </c>
      <c r="P243" s="7">
        <v>212</v>
      </c>
      <c r="Q243" s="7">
        <v>3472</v>
      </c>
      <c r="R243" s="7">
        <v>141</v>
      </c>
      <c r="S243" s="7">
        <v>3968</v>
      </c>
      <c r="T243" s="7">
        <v>4566</v>
      </c>
      <c r="U243" s="7">
        <v>4715</v>
      </c>
      <c r="V243" s="7">
        <v>3443</v>
      </c>
      <c r="W243" s="24">
        <f t="shared" si="18"/>
        <v>3115.133333333333</v>
      </c>
      <c r="X243" s="25">
        <f t="shared" si="19"/>
        <v>3073.166767513989</v>
      </c>
      <c r="Y243" s="25"/>
      <c r="Z243" s="26"/>
      <c r="AA243" s="7">
        <v>4885</v>
      </c>
      <c r="AB243" s="7">
        <v>3973</v>
      </c>
      <c r="AC243" s="7">
        <v>3544</v>
      </c>
      <c r="AD243" s="7">
        <v>1521</v>
      </c>
      <c r="AE243" s="7">
        <v>3922</v>
      </c>
      <c r="AF243" s="7">
        <v>154</v>
      </c>
      <c r="AG243" s="7">
        <v>135</v>
      </c>
      <c r="AH243" s="7">
        <v>3921</v>
      </c>
      <c r="AI243" s="7">
        <v>4488</v>
      </c>
      <c r="AJ243" s="7">
        <v>2180</v>
      </c>
      <c r="AK243" s="7">
        <v>4937</v>
      </c>
      <c r="AL243" s="7">
        <v>4672</v>
      </c>
      <c r="AM243" s="30">
        <f t="shared" si="20"/>
        <v>3194.3333333333335</v>
      </c>
      <c r="AN243" s="30">
        <f t="shared" si="21"/>
        <v>1757.3355002975559</v>
      </c>
      <c r="AO243" s="30"/>
      <c r="AP243" s="29">
        <f t="shared" si="22"/>
        <v>1.0254242729043166</v>
      </c>
      <c r="AQ243" s="31">
        <f t="shared" si="23"/>
        <v>0.9374150119423219</v>
      </c>
      <c r="AR243" s="21" t="s">
        <v>688</v>
      </c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DM243" s="16"/>
      <c r="DN243" s="16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3"/>
      <c r="FW243" s="11"/>
    </row>
    <row r="244" spans="1:179" ht="18.75">
      <c r="A244" s="1" t="s">
        <v>923</v>
      </c>
      <c r="B244" s="2" t="s">
        <v>924</v>
      </c>
      <c r="C244" s="2" t="s">
        <v>351</v>
      </c>
      <c r="D244" s="2" t="str">
        <f>HYPERLINK("http://eros.fiehnlab.ucdavis.edu:8080/binbase-compound/bin/show/226858?db=rtx5","226858")</f>
        <v>226858</v>
      </c>
      <c r="E244" s="2" t="s">
        <v>67</v>
      </c>
      <c r="F244" s="2" t="s">
        <v>83</v>
      </c>
      <c r="G244" s="2" t="s">
        <v>83</v>
      </c>
      <c r="H244" s="7">
        <v>4713</v>
      </c>
      <c r="I244" s="7">
        <v>4886</v>
      </c>
      <c r="J244" s="7">
        <v>5394</v>
      </c>
      <c r="K244" s="7">
        <v>3817</v>
      </c>
      <c r="L244" s="7">
        <v>8242</v>
      </c>
      <c r="M244" s="7">
        <v>6541</v>
      </c>
      <c r="N244" s="7">
        <v>7216</v>
      </c>
      <c r="O244" s="7">
        <v>3369</v>
      </c>
      <c r="P244" s="7">
        <v>2371</v>
      </c>
      <c r="Q244" s="7">
        <v>2230</v>
      </c>
      <c r="R244" s="7">
        <v>7200</v>
      </c>
      <c r="S244" s="7">
        <v>3829</v>
      </c>
      <c r="T244" s="7">
        <v>3421</v>
      </c>
      <c r="U244" s="7">
        <v>6741</v>
      </c>
      <c r="V244" s="7">
        <v>11937</v>
      </c>
      <c r="W244" s="24">
        <f t="shared" si="18"/>
        <v>5460.466666666666</v>
      </c>
      <c r="X244" s="25">
        <f t="shared" si="19"/>
        <v>2582.465346653594</v>
      </c>
      <c r="Y244" s="25"/>
      <c r="Z244" s="26"/>
      <c r="AA244" s="7">
        <v>2388</v>
      </c>
      <c r="AB244" s="7">
        <v>3191</v>
      </c>
      <c r="AC244" s="7">
        <v>1733</v>
      </c>
      <c r="AD244" s="7">
        <v>12613</v>
      </c>
      <c r="AE244" s="7">
        <v>4976</v>
      </c>
      <c r="AF244" s="7">
        <v>2470</v>
      </c>
      <c r="AG244" s="7">
        <v>5380</v>
      </c>
      <c r="AH244" s="7">
        <v>2327</v>
      </c>
      <c r="AI244" s="7">
        <v>7358</v>
      </c>
      <c r="AJ244" s="7">
        <v>15943</v>
      </c>
      <c r="AK244" s="7">
        <v>2892</v>
      </c>
      <c r="AL244" s="7">
        <v>6017</v>
      </c>
      <c r="AM244" s="30">
        <f t="shared" si="20"/>
        <v>5607.333333333333</v>
      </c>
      <c r="AN244" s="30">
        <f t="shared" si="21"/>
        <v>4459.698406707328</v>
      </c>
      <c r="AO244" s="30"/>
      <c r="AP244" s="29">
        <f t="shared" si="22"/>
        <v>1.0268963580646342</v>
      </c>
      <c r="AQ244" s="31">
        <f t="shared" si="23"/>
        <v>0.9153940345425721</v>
      </c>
      <c r="AR244" s="21" t="s">
        <v>923</v>
      </c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DM244" s="16"/>
      <c r="DN244" s="16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3"/>
      <c r="FW244" s="11"/>
    </row>
    <row r="245" spans="1:179" ht="18.75">
      <c r="A245" s="1" t="s">
        <v>275</v>
      </c>
      <c r="B245" s="2" t="s">
        <v>276</v>
      </c>
      <c r="C245" s="2" t="s">
        <v>277</v>
      </c>
      <c r="D245" s="2" t="str">
        <f>HYPERLINK("http://eros.fiehnlab.ucdavis.edu:8080/binbase-compound/bin/show/322007?db=rtx5","322007")</f>
        <v>322007</v>
      </c>
      <c r="E245" s="2" t="s">
        <v>612</v>
      </c>
      <c r="F245" s="2" t="str">
        <f>HYPERLINK("http://www.genome.ad.jp/dbget-bin/www_bget?compound+C00474","C00474")</f>
        <v>C00474</v>
      </c>
      <c r="G245" s="2" t="str">
        <f>HYPERLINK("http://pubchem.ncbi.nlm.nih.gov/summary/summary.cgi?cid=827","827")</f>
        <v>827</v>
      </c>
      <c r="H245" s="7">
        <v>379</v>
      </c>
      <c r="I245" s="7">
        <v>240</v>
      </c>
      <c r="J245" s="7">
        <v>453</v>
      </c>
      <c r="K245" s="7">
        <v>227</v>
      </c>
      <c r="L245" s="7">
        <v>350</v>
      </c>
      <c r="M245" s="7">
        <v>426</v>
      </c>
      <c r="N245" s="7">
        <v>312</v>
      </c>
      <c r="O245" s="7">
        <v>171</v>
      </c>
      <c r="P245" s="7">
        <v>190</v>
      </c>
      <c r="Q245" s="7">
        <v>203</v>
      </c>
      <c r="R245" s="7">
        <v>327</v>
      </c>
      <c r="S245" s="7">
        <v>270</v>
      </c>
      <c r="T245" s="7">
        <v>338</v>
      </c>
      <c r="U245" s="7">
        <v>202</v>
      </c>
      <c r="V245" s="7">
        <v>620</v>
      </c>
      <c r="W245" s="24">
        <f t="shared" si="18"/>
        <v>313.8666666666667</v>
      </c>
      <c r="X245" s="25">
        <f t="shared" si="19"/>
        <v>121.72619548259394</v>
      </c>
      <c r="Y245" s="25"/>
      <c r="Z245" s="26"/>
      <c r="AA245" s="7">
        <v>270</v>
      </c>
      <c r="AB245" s="7">
        <v>323</v>
      </c>
      <c r="AC245" s="7">
        <v>287</v>
      </c>
      <c r="AD245" s="7">
        <v>482</v>
      </c>
      <c r="AE245" s="7">
        <v>247</v>
      </c>
      <c r="AF245" s="7">
        <v>185</v>
      </c>
      <c r="AG245" s="7">
        <v>197</v>
      </c>
      <c r="AH245" s="7">
        <v>539</v>
      </c>
      <c r="AI245" s="7">
        <v>370</v>
      </c>
      <c r="AJ245" s="7">
        <v>229</v>
      </c>
      <c r="AK245" s="7">
        <v>297</v>
      </c>
      <c r="AL245" s="7">
        <v>443</v>
      </c>
      <c r="AM245" s="30">
        <f t="shared" si="20"/>
        <v>322.4166666666667</v>
      </c>
      <c r="AN245" s="30">
        <f t="shared" si="21"/>
        <v>113.95968851335377</v>
      </c>
      <c r="AO245" s="30"/>
      <c r="AP245" s="29">
        <f t="shared" si="22"/>
        <v>1.0272408666100254</v>
      </c>
      <c r="AQ245" s="31">
        <f t="shared" si="23"/>
        <v>0.8535599361407515</v>
      </c>
      <c r="AR245" s="21" t="s">
        <v>275</v>
      </c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DM245" s="16"/>
      <c r="DN245" s="16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3"/>
      <c r="FW245" s="11"/>
    </row>
    <row r="246" spans="1:179" ht="18.75">
      <c r="A246" s="1" t="s">
        <v>799</v>
      </c>
      <c r="B246" s="2" t="s">
        <v>800</v>
      </c>
      <c r="C246" s="2" t="s">
        <v>251</v>
      </c>
      <c r="D246" s="2" t="str">
        <f>HYPERLINK("http://eros.fiehnlab.ucdavis.edu:8080/binbase-compound/bin/show/285340?db=rtx5","285340")</f>
        <v>285340</v>
      </c>
      <c r="E246" s="2" t="s">
        <v>29</v>
      </c>
      <c r="F246" s="2" t="s">
        <v>83</v>
      </c>
      <c r="G246" s="2" t="s">
        <v>83</v>
      </c>
      <c r="H246" s="7">
        <v>59540</v>
      </c>
      <c r="I246" s="7">
        <v>69190</v>
      </c>
      <c r="J246" s="7">
        <v>102262</v>
      </c>
      <c r="K246" s="7">
        <v>21560</v>
      </c>
      <c r="L246" s="7">
        <v>31769</v>
      </c>
      <c r="M246" s="7">
        <v>34751</v>
      </c>
      <c r="N246" s="7">
        <v>36722</v>
      </c>
      <c r="O246" s="7">
        <v>34745</v>
      </c>
      <c r="P246" s="7">
        <v>68770</v>
      </c>
      <c r="Q246" s="7">
        <v>57474</v>
      </c>
      <c r="R246" s="7">
        <v>53378</v>
      </c>
      <c r="S246" s="7">
        <v>50133</v>
      </c>
      <c r="T246" s="7">
        <v>78406</v>
      </c>
      <c r="U246" s="7">
        <v>38632</v>
      </c>
      <c r="V246" s="7">
        <v>77098</v>
      </c>
      <c r="W246" s="24">
        <f t="shared" si="18"/>
        <v>54295.333333333336</v>
      </c>
      <c r="X246" s="25">
        <f t="shared" si="19"/>
        <v>22017.245353412884</v>
      </c>
      <c r="Y246" s="25"/>
      <c r="Z246" s="26"/>
      <c r="AA246" s="7">
        <v>23941</v>
      </c>
      <c r="AB246" s="7">
        <v>37647</v>
      </c>
      <c r="AC246" s="7">
        <v>40975</v>
      </c>
      <c r="AD246" s="7">
        <v>25520</v>
      </c>
      <c r="AE246" s="7">
        <v>45554</v>
      </c>
      <c r="AF246" s="7">
        <v>51966</v>
      </c>
      <c r="AG246" s="7">
        <v>79199</v>
      </c>
      <c r="AH246" s="7">
        <v>66401</v>
      </c>
      <c r="AI246" s="7">
        <v>85029</v>
      </c>
      <c r="AJ246" s="7">
        <v>48630</v>
      </c>
      <c r="AK246" s="7">
        <v>76545</v>
      </c>
      <c r="AL246" s="7">
        <v>89508</v>
      </c>
      <c r="AM246" s="30">
        <f t="shared" si="20"/>
        <v>55909.583333333336</v>
      </c>
      <c r="AN246" s="30">
        <f t="shared" si="21"/>
        <v>22829.296004987387</v>
      </c>
      <c r="AO246" s="30"/>
      <c r="AP246" s="29">
        <f t="shared" si="22"/>
        <v>1.0297309161008312</v>
      </c>
      <c r="AQ246" s="31">
        <f t="shared" si="23"/>
        <v>0.853750396518379</v>
      </c>
      <c r="AR246" s="21" t="s">
        <v>799</v>
      </c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DM246" s="16"/>
      <c r="DN246" s="16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3"/>
      <c r="FW246" s="11"/>
    </row>
    <row r="247" spans="1:179" ht="18.75">
      <c r="A247" s="1" t="s">
        <v>349</v>
      </c>
      <c r="B247" s="2" t="s">
        <v>350</v>
      </c>
      <c r="C247" s="2" t="s">
        <v>351</v>
      </c>
      <c r="D247" s="2" t="str">
        <f>HYPERLINK("http://eros.fiehnlab.ucdavis.edu:8080/binbase-compound/bin/show/331012?db=rtx5","331012")</f>
        <v>331012</v>
      </c>
      <c r="E247" s="2" t="s">
        <v>635</v>
      </c>
      <c r="F247" s="2" t="str">
        <f>HYPERLINK("http://www.genome.ad.jp/dbget-bin/www_bget?compound+n/a","n/a")</f>
        <v>n/a</v>
      </c>
      <c r="G247" s="2" t="str">
        <f>HYPERLINK("http://pubchem.ncbi.nlm.nih.gov/summary/summary.cgi?cid=13130","13130")</f>
        <v>13130</v>
      </c>
      <c r="H247" s="7">
        <v>117</v>
      </c>
      <c r="I247" s="7">
        <v>2864</v>
      </c>
      <c r="J247" s="7">
        <v>860</v>
      </c>
      <c r="K247" s="7">
        <v>180</v>
      </c>
      <c r="L247" s="7">
        <v>118</v>
      </c>
      <c r="M247" s="7">
        <v>126</v>
      </c>
      <c r="N247" s="7">
        <v>1913</v>
      </c>
      <c r="O247" s="7">
        <v>107</v>
      </c>
      <c r="P247" s="7">
        <v>149</v>
      </c>
      <c r="Q247" s="7">
        <v>164</v>
      </c>
      <c r="R247" s="7">
        <v>1627</v>
      </c>
      <c r="S247" s="7">
        <v>158</v>
      </c>
      <c r="T247" s="7">
        <v>197</v>
      </c>
      <c r="U247" s="7">
        <v>217</v>
      </c>
      <c r="V247" s="7">
        <v>300</v>
      </c>
      <c r="W247" s="24">
        <f t="shared" si="18"/>
        <v>606.4666666666667</v>
      </c>
      <c r="X247" s="25">
        <f t="shared" si="19"/>
        <v>848.067708437975</v>
      </c>
      <c r="Y247" s="25"/>
      <c r="Z247" s="26"/>
      <c r="AA247" s="7">
        <v>273</v>
      </c>
      <c r="AB247" s="7">
        <v>185</v>
      </c>
      <c r="AC247" s="7">
        <v>195</v>
      </c>
      <c r="AD247" s="7">
        <v>218</v>
      </c>
      <c r="AE247" s="7">
        <v>192</v>
      </c>
      <c r="AF247" s="7">
        <v>2228</v>
      </c>
      <c r="AG247" s="7">
        <v>3260</v>
      </c>
      <c r="AH247" s="7">
        <v>119</v>
      </c>
      <c r="AI247" s="7">
        <v>203</v>
      </c>
      <c r="AJ247" s="7">
        <v>193</v>
      </c>
      <c r="AK247" s="7">
        <v>292</v>
      </c>
      <c r="AL247" s="7">
        <v>144</v>
      </c>
      <c r="AM247" s="30">
        <f t="shared" si="20"/>
        <v>625.1666666666666</v>
      </c>
      <c r="AN247" s="30">
        <f t="shared" si="21"/>
        <v>1014.9504988675632</v>
      </c>
      <c r="AO247" s="30"/>
      <c r="AP247" s="29">
        <f t="shared" si="22"/>
        <v>1.0308343409915355</v>
      </c>
      <c r="AQ247" s="31">
        <f t="shared" si="23"/>
        <v>0.9587951815846912</v>
      </c>
      <c r="AR247" s="21" t="s">
        <v>349</v>
      </c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DM247" s="16"/>
      <c r="DN247" s="16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3"/>
      <c r="FW247" s="11"/>
    </row>
    <row r="248" spans="1:179" ht="18.75">
      <c r="A248" s="1" t="s">
        <v>255</v>
      </c>
      <c r="B248" s="2" t="s">
        <v>256</v>
      </c>
      <c r="C248" s="2" t="s">
        <v>257</v>
      </c>
      <c r="D248" s="2" t="str">
        <f>HYPERLINK("http://eros.fiehnlab.ucdavis.edu:8080/binbase-compound/bin/show/199210?db=rtx5","199210")</f>
        <v>199210</v>
      </c>
      <c r="E248" s="2" t="s">
        <v>179</v>
      </c>
      <c r="F248" s="2" t="str">
        <f>HYPERLINK("http://www.genome.ad.jp/dbget-bin/www_bget?compound+C00042","C00042")</f>
        <v>C00042</v>
      </c>
      <c r="G248" s="2" t="str">
        <f>HYPERLINK("http://pubchem.ncbi.nlm.nih.gov/summary/summary.cgi?cid=1110","1110")</f>
        <v>1110</v>
      </c>
      <c r="H248" s="7">
        <v>2541</v>
      </c>
      <c r="I248" s="7">
        <v>2185</v>
      </c>
      <c r="J248" s="7">
        <v>3178</v>
      </c>
      <c r="K248" s="7">
        <v>2889</v>
      </c>
      <c r="L248" s="7">
        <v>2515</v>
      </c>
      <c r="M248" s="7">
        <v>2125</v>
      </c>
      <c r="N248" s="7">
        <v>2375</v>
      </c>
      <c r="O248" s="7">
        <v>2543</v>
      </c>
      <c r="P248" s="7">
        <v>1755</v>
      </c>
      <c r="Q248" s="7">
        <v>1965</v>
      </c>
      <c r="R248" s="7">
        <v>2359</v>
      </c>
      <c r="S248" s="7">
        <v>1761</v>
      </c>
      <c r="T248" s="7">
        <v>1432</v>
      </c>
      <c r="U248" s="7">
        <v>1807</v>
      </c>
      <c r="V248" s="7">
        <v>4635</v>
      </c>
      <c r="W248" s="24">
        <f t="shared" si="18"/>
        <v>2404.3333333333335</v>
      </c>
      <c r="X248" s="25">
        <f t="shared" si="19"/>
        <v>770.8670134212205</v>
      </c>
      <c r="Y248" s="25"/>
      <c r="Z248" s="26"/>
      <c r="AA248" s="7">
        <v>2359</v>
      </c>
      <c r="AB248" s="7">
        <v>2955</v>
      </c>
      <c r="AC248" s="7">
        <v>1775</v>
      </c>
      <c r="AD248" s="7">
        <v>3193</v>
      </c>
      <c r="AE248" s="7">
        <v>2677</v>
      </c>
      <c r="AF248" s="7">
        <v>2234</v>
      </c>
      <c r="AG248" s="7">
        <v>2078</v>
      </c>
      <c r="AH248" s="7">
        <v>1887</v>
      </c>
      <c r="AI248" s="7">
        <v>2970</v>
      </c>
      <c r="AJ248" s="7">
        <v>3033</v>
      </c>
      <c r="AK248" s="7">
        <v>1837</v>
      </c>
      <c r="AL248" s="7">
        <v>2745</v>
      </c>
      <c r="AM248" s="30">
        <f t="shared" si="20"/>
        <v>2478.5833333333335</v>
      </c>
      <c r="AN248" s="30">
        <f t="shared" si="21"/>
        <v>512.3738795296291</v>
      </c>
      <c r="AO248" s="30"/>
      <c r="AP248" s="29">
        <f t="shared" si="22"/>
        <v>1.0308817413004299</v>
      </c>
      <c r="AQ248" s="31">
        <f t="shared" si="23"/>
        <v>0.7769811417731509</v>
      </c>
      <c r="AR248" s="21" t="s">
        <v>255</v>
      </c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DM248" s="16"/>
      <c r="DN248" s="16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3"/>
      <c r="FW248" s="11"/>
    </row>
    <row r="249" spans="1:179" ht="18.75">
      <c r="A249" s="1" t="s">
        <v>1081</v>
      </c>
      <c r="B249" s="2" t="s">
        <v>418</v>
      </c>
      <c r="C249" s="2" t="s">
        <v>218</v>
      </c>
      <c r="D249" s="2" t="str">
        <f>HYPERLINK("http://eros.fiehnlab.ucdavis.edu:8080/binbase-compound/bin/show/368038?db=rtx5","368038")</f>
        <v>368038</v>
      </c>
      <c r="E249" s="2" t="s">
        <v>20</v>
      </c>
      <c r="F249" s="2" t="s">
        <v>83</v>
      </c>
      <c r="G249" s="2" t="s">
        <v>83</v>
      </c>
      <c r="H249" s="7">
        <v>196</v>
      </c>
      <c r="I249" s="7">
        <v>190</v>
      </c>
      <c r="J249" s="7">
        <v>567</v>
      </c>
      <c r="K249" s="7">
        <v>290</v>
      </c>
      <c r="L249" s="7">
        <v>225</v>
      </c>
      <c r="M249" s="7">
        <v>527</v>
      </c>
      <c r="N249" s="7">
        <v>353</v>
      </c>
      <c r="O249" s="7">
        <v>255</v>
      </c>
      <c r="P249" s="7">
        <v>285</v>
      </c>
      <c r="Q249" s="7">
        <v>322</v>
      </c>
      <c r="R249" s="7">
        <v>243</v>
      </c>
      <c r="S249" s="7">
        <v>241</v>
      </c>
      <c r="T249" s="7">
        <v>232</v>
      </c>
      <c r="U249" s="7">
        <v>361</v>
      </c>
      <c r="V249" s="7">
        <v>591</v>
      </c>
      <c r="W249" s="24">
        <f t="shared" si="18"/>
        <v>325.2</v>
      </c>
      <c r="X249" s="25">
        <f t="shared" si="19"/>
        <v>132.88889021606408</v>
      </c>
      <c r="Y249" s="25"/>
      <c r="Z249" s="26"/>
      <c r="AA249" s="7">
        <v>229</v>
      </c>
      <c r="AB249" s="7">
        <v>324</v>
      </c>
      <c r="AC249" s="7">
        <v>347</v>
      </c>
      <c r="AD249" s="7">
        <v>469</v>
      </c>
      <c r="AE249" s="7">
        <v>290</v>
      </c>
      <c r="AF249" s="7">
        <v>256</v>
      </c>
      <c r="AG249" s="7">
        <v>165</v>
      </c>
      <c r="AH249" s="7">
        <v>288</v>
      </c>
      <c r="AI249" s="7">
        <v>459</v>
      </c>
      <c r="AJ249" s="7">
        <v>460</v>
      </c>
      <c r="AK249" s="7">
        <v>304</v>
      </c>
      <c r="AL249" s="7">
        <v>437</v>
      </c>
      <c r="AM249" s="30">
        <f t="shared" si="20"/>
        <v>335.6666666666667</v>
      </c>
      <c r="AN249" s="30">
        <f t="shared" si="21"/>
        <v>100.54065964784719</v>
      </c>
      <c r="AO249" s="30"/>
      <c r="AP249" s="29">
        <f t="shared" si="22"/>
        <v>1.0321853218532187</v>
      </c>
      <c r="AQ249" s="31">
        <f t="shared" si="23"/>
        <v>0.8232689028388611</v>
      </c>
      <c r="AR249" s="21" t="s">
        <v>1081</v>
      </c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DM249" s="16"/>
      <c r="DN249" s="16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3"/>
      <c r="FW249" s="11"/>
    </row>
    <row r="250" spans="1:179" ht="18.75">
      <c r="A250" s="1" t="s">
        <v>396</v>
      </c>
      <c r="B250" s="2" t="s">
        <v>397</v>
      </c>
      <c r="C250" s="2" t="s">
        <v>227</v>
      </c>
      <c r="D250" s="2" t="str">
        <f>HYPERLINK("http://eros.fiehnlab.ucdavis.edu:8080/binbase-compound/bin/show/223518?db=rtx5","223518")</f>
        <v>223518</v>
      </c>
      <c r="E250" s="2" t="s">
        <v>174</v>
      </c>
      <c r="F250" s="2" t="str">
        <f>HYPERLINK("http://www.genome.ad.jp/dbget-bin/www_bget?compound+C02043","C02043")</f>
        <v>C02043</v>
      </c>
      <c r="G250" s="2" t="str">
        <f>HYPERLINK("http://pubchem.ncbi.nlm.nih.gov/summary/summary.cgi?cid=92904","92904")</f>
        <v>92904</v>
      </c>
      <c r="H250" s="7">
        <v>1998</v>
      </c>
      <c r="I250" s="7">
        <v>1677</v>
      </c>
      <c r="J250" s="7">
        <v>1412</v>
      </c>
      <c r="K250" s="7">
        <v>1235</v>
      </c>
      <c r="L250" s="7">
        <v>1382</v>
      </c>
      <c r="M250" s="7">
        <v>1644</v>
      </c>
      <c r="N250" s="7">
        <v>1347</v>
      </c>
      <c r="O250" s="7">
        <v>2004</v>
      </c>
      <c r="P250" s="7">
        <v>3196</v>
      </c>
      <c r="Q250" s="7">
        <v>1423</v>
      </c>
      <c r="R250" s="7">
        <v>1805</v>
      </c>
      <c r="S250" s="7">
        <v>1945</v>
      </c>
      <c r="T250" s="7">
        <v>2823</v>
      </c>
      <c r="U250" s="7">
        <v>1507</v>
      </c>
      <c r="V250" s="7">
        <v>2015</v>
      </c>
      <c r="W250" s="24">
        <f t="shared" si="18"/>
        <v>1827.5333333333333</v>
      </c>
      <c r="X250" s="25">
        <f t="shared" si="19"/>
        <v>550.9221965637859</v>
      </c>
      <c r="Y250" s="25"/>
      <c r="Z250" s="26"/>
      <c r="AA250" s="7">
        <v>1749</v>
      </c>
      <c r="AB250" s="7">
        <v>1421</v>
      </c>
      <c r="AC250" s="7">
        <v>1833</v>
      </c>
      <c r="AD250" s="7">
        <v>1055</v>
      </c>
      <c r="AE250" s="7">
        <v>1464</v>
      </c>
      <c r="AF250" s="7">
        <v>2709</v>
      </c>
      <c r="AG250" s="7">
        <v>1824</v>
      </c>
      <c r="AH250" s="7">
        <v>2622</v>
      </c>
      <c r="AI250" s="7">
        <v>1939</v>
      </c>
      <c r="AJ250" s="7">
        <v>1712</v>
      </c>
      <c r="AK250" s="7">
        <v>2326</v>
      </c>
      <c r="AL250" s="7">
        <v>2094</v>
      </c>
      <c r="AM250" s="30">
        <f t="shared" si="20"/>
        <v>1895.6666666666667</v>
      </c>
      <c r="AN250" s="30">
        <f t="shared" si="21"/>
        <v>485.99894001630236</v>
      </c>
      <c r="AO250" s="30"/>
      <c r="AP250" s="29">
        <f t="shared" si="22"/>
        <v>1.0372815817312955</v>
      </c>
      <c r="AQ250" s="31">
        <f t="shared" si="23"/>
        <v>0.7395690075912669</v>
      </c>
      <c r="AR250" s="21" t="s">
        <v>396</v>
      </c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DM250" s="16"/>
      <c r="DN250" s="16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3"/>
      <c r="FW250" s="11"/>
    </row>
    <row r="251" spans="1:179" ht="18.75">
      <c r="A251" s="1" t="s">
        <v>263</v>
      </c>
      <c r="B251" s="2" t="s">
        <v>264</v>
      </c>
      <c r="C251" s="2" t="s">
        <v>265</v>
      </c>
      <c r="D251" s="2" t="str">
        <f>HYPERLINK("http://eros.fiehnlab.ucdavis.edu:8080/binbase-compound/bin/show/199162?db=rtx5","199162")</f>
        <v>199162</v>
      </c>
      <c r="E251" s="2" t="s">
        <v>176</v>
      </c>
      <c r="F251" s="2" t="str">
        <f>HYPERLINK("http://www.genome.ad.jp/dbget-bin/www_bget?compound+C00493","C00493")</f>
        <v>C00493</v>
      </c>
      <c r="G251" s="2" t="str">
        <f>HYPERLINK("http://pubchem.ncbi.nlm.nih.gov/summary/summary.cgi?cid=8742","8742")</f>
        <v>8742</v>
      </c>
      <c r="H251" s="7">
        <v>468</v>
      </c>
      <c r="I251" s="7">
        <v>1976</v>
      </c>
      <c r="J251" s="7">
        <v>6551</v>
      </c>
      <c r="K251" s="7">
        <v>1399</v>
      </c>
      <c r="L251" s="7">
        <v>1289</v>
      </c>
      <c r="M251" s="7">
        <v>4194</v>
      </c>
      <c r="N251" s="7">
        <v>2165</v>
      </c>
      <c r="O251" s="7">
        <v>2426</v>
      </c>
      <c r="P251" s="7">
        <v>4041</v>
      </c>
      <c r="Q251" s="7">
        <v>2314</v>
      </c>
      <c r="R251" s="7">
        <v>2171</v>
      </c>
      <c r="S251" s="7">
        <v>1492</v>
      </c>
      <c r="T251" s="7">
        <v>2211</v>
      </c>
      <c r="U251" s="7">
        <v>7714</v>
      </c>
      <c r="V251" s="7">
        <v>5885</v>
      </c>
      <c r="W251" s="24">
        <f t="shared" si="18"/>
        <v>3086.4</v>
      </c>
      <c r="X251" s="25">
        <f t="shared" si="19"/>
        <v>2131.1199202029234</v>
      </c>
      <c r="Y251" s="25"/>
      <c r="Z251" s="26"/>
      <c r="AA251" s="7">
        <v>2034</v>
      </c>
      <c r="AB251" s="7">
        <v>4762</v>
      </c>
      <c r="AC251" s="7">
        <v>3478</v>
      </c>
      <c r="AD251" s="7">
        <v>2290</v>
      </c>
      <c r="AE251" s="7">
        <v>4790</v>
      </c>
      <c r="AF251" s="7">
        <v>3017</v>
      </c>
      <c r="AG251" s="7">
        <v>471</v>
      </c>
      <c r="AH251" s="7">
        <v>4567</v>
      </c>
      <c r="AI251" s="7">
        <v>3532</v>
      </c>
      <c r="AJ251" s="7">
        <v>1660</v>
      </c>
      <c r="AK251" s="7">
        <v>6150</v>
      </c>
      <c r="AL251" s="7">
        <v>1686</v>
      </c>
      <c r="AM251" s="30">
        <f t="shared" si="20"/>
        <v>3203.0833333333335</v>
      </c>
      <c r="AN251" s="30">
        <f t="shared" si="21"/>
        <v>1653.066267072598</v>
      </c>
      <c r="AO251" s="30"/>
      <c r="AP251" s="29">
        <f t="shared" si="22"/>
        <v>1.0378056419561086</v>
      </c>
      <c r="AQ251" s="31">
        <f t="shared" si="23"/>
        <v>0.8775454757933022</v>
      </c>
      <c r="AR251" s="21" t="s">
        <v>263</v>
      </c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DM251" s="16"/>
      <c r="DN251" s="16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3"/>
      <c r="FW251" s="11"/>
    </row>
    <row r="252" spans="1:179" ht="18.75">
      <c r="A252" s="1" t="s">
        <v>371</v>
      </c>
      <c r="B252" s="2" t="s">
        <v>372</v>
      </c>
      <c r="C252" s="2" t="s">
        <v>233</v>
      </c>
      <c r="D252" s="2" t="str">
        <f>HYPERLINK("http://eros.fiehnlab.ucdavis.edu:8080/binbase-compound/bin/show/232325?db=rtx5","232325")</f>
        <v>232325</v>
      </c>
      <c r="E252" s="2" t="s">
        <v>1106</v>
      </c>
      <c r="F252" s="2" t="str">
        <f>HYPERLINK("http://www.genome.ad.jp/dbget-bin/www_bget?compound+C00123","C00123")</f>
        <v>C00123</v>
      </c>
      <c r="G252" s="2" t="str">
        <f>HYPERLINK("http://pubchem.ncbi.nlm.nih.gov/summary/summary.cgi?cid=6106","6106")</f>
        <v>6106</v>
      </c>
      <c r="H252" s="7">
        <v>115007</v>
      </c>
      <c r="I252" s="7">
        <v>111435</v>
      </c>
      <c r="J252" s="7">
        <v>68167</v>
      </c>
      <c r="K252" s="7">
        <v>124898</v>
      </c>
      <c r="L252" s="7">
        <v>102781</v>
      </c>
      <c r="M252" s="7">
        <v>143861</v>
      </c>
      <c r="N252" s="7">
        <v>171625</v>
      </c>
      <c r="O252" s="7">
        <v>163221</v>
      </c>
      <c r="P252" s="7">
        <v>119095</v>
      </c>
      <c r="Q252" s="7">
        <v>151272</v>
      </c>
      <c r="R252" s="7">
        <v>146253</v>
      </c>
      <c r="S252" s="7">
        <v>77443</v>
      </c>
      <c r="T252" s="7">
        <v>99146</v>
      </c>
      <c r="U252" s="7">
        <v>105436</v>
      </c>
      <c r="V252" s="7">
        <v>208891</v>
      </c>
      <c r="W252" s="24">
        <f t="shared" si="18"/>
        <v>127235.4</v>
      </c>
      <c r="X252" s="25">
        <f t="shared" si="19"/>
        <v>37273.502343775384</v>
      </c>
      <c r="Y252" s="25"/>
      <c r="Z252" s="26"/>
      <c r="AA252" s="7">
        <v>130684</v>
      </c>
      <c r="AB252" s="7">
        <v>126352</v>
      </c>
      <c r="AC252" s="7">
        <v>133177</v>
      </c>
      <c r="AD252" s="7">
        <v>227173</v>
      </c>
      <c r="AE252" s="7">
        <v>138544</v>
      </c>
      <c r="AF252" s="7">
        <v>80939</v>
      </c>
      <c r="AG252" s="7">
        <v>112042</v>
      </c>
      <c r="AH252" s="7">
        <v>102465</v>
      </c>
      <c r="AI252" s="7">
        <v>113532</v>
      </c>
      <c r="AJ252" s="7">
        <v>206838</v>
      </c>
      <c r="AK252" s="7">
        <v>94796</v>
      </c>
      <c r="AL252" s="7">
        <v>118039</v>
      </c>
      <c r="AM252" s="30">
        <f t="shared" si="20"/>
        <v>132048.41666666666</v>
      </c>
      <c r="AN252" s="30">
        <f t="shared" si="21"/>
        <v>43206.07800142418</v>
      </c>
      <c r="AO252" s="30"/>
      <c r="AP252" s="29">
        <f t="shared" si="22"/>
        <v>1.037827653834284</v>
      </c>
      <c r="AQ252" s="31">
        <f t="shared" si="23"/>
        <v>0.7585759309230686</v>
      </c>
      <c r="AR252" s="21" t="s">
        <v>371</v>
      </c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DM252" s="16"/>
      <c r="DN252" s="16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3"/>
      <c r="FW252" s="11"/>
    </row>
    <row r="253" spans="1:179" ht="18.75">
      <c r="A253" s="1" t="s">
        <v>426</v>
      </c>
      <c r="B253" s="2" t="s">
        <v>427</v>
      </c>
      <c r="C253" s="2" t="s">
        <v>428</v>
      </c>
      <c r="D253" s="2" t="str">
        <f>HYPERLINK("http://eros.fiehnlab.ucdavis.edu:8080/binbase-compound/bin/show/207507?db=rtx5","207507")</f>
        <v>207507</v>
      </c>
      <c r="E253" s="2" t="s">
        <v>1110</v>
      </c>
      <c r="F253" s="2" t="str">
        <f>HYPERLINK("http://www.genome.ad.jp/dbget-bin/www_bget?compound+C00116","C00116")</f>
        <v>C00116</v>
      </c>
      <c r="G253" s="2" t="str">
        <f>HYPERLINK("http://pubchem.ncbi.nlm.nih.gov/summary/summary.cgi?cid=753","753")</f>
        <v>753</v>
      </c>
      <c r="H253" s="7">
        <v>95748</v>
      </c>
      <c r="I253" s="7">
        <v>65406</v>
      </c>
      <c r="J253" s="7">
        <v>42580</v>
      </c>
      <c r="K253" s="7">
        <v>62594</v>
      </c>
      <c r="L253" s="7">
        <v>71562</v>
      </c>
      <c r="M253" s="7">
        <v>72694</v>
      </c>
      <c r="N253" s="7">
        <v>67429</v>
      </c>
      <c r="O253" s="7">
        <v>65589</v>
      </c>
      <c r="P253" s="7">
        <v>41437</v>
      </c>
      <c r="Q253" s="7">
        <v>43457</v>
      </c>
      <c r="R253" s="7">
        <v>91856</v>
      </c>
      <c r="S253" s="7">
        <v>121463</v>
      </c>
      <c r="T253" s="7">
        <v>54589</v>
      </c>
      <c r="U253" s="7">
        <v>73834</v>
      </c>
      <c r="V253" s="7">
        <v>104114</v>
      </c>
      <c r="W253" s="24">
        <f t="shared" si="18"/>
        <v>71623.46666666666</v>
      </c>
      <c r="X253" s="25">
        <f t="shared" si="19"/>
        <v>23221.7012938534</v>
      </c>
      <c r="Y253" s="25"/>
      <c r="Z253" s="26"/>
      <c r="AA253" s="7">
        <v>33381</v>
      </c>
      <c r="AB253" s="7">
        <v>66986</v>
      </c>
      <c r="AC253" s="7">
        <v>73393</v>
      </c>
      <c r="AD253" s="7">
        <v>136467</v>
      </c>
      <c r="AE253" s="7">
        <v>50663</v>
      </c>
      <c r="AF253" s="7">
        <v>97084</v>
      </c>
      <c r="AG253" s="7">
        <v>83084</v>
      </c>
      <c r="AH253" s="7">
        <v>109038</v>
      </c>
      <c r="AI253" s="7">
        <v>59293</v>
      </c>
      <c r="AJ253" s="7">
        <v>54138</v>
      </c>
      <c r="AK253" s="7">
        <v>91412</v>
      </c>
      <c r="AL253" s="7">
        <v>37255</v>
      </c>
      <c r="AM253" s="30">
        <f t="shared" si="20"/>
        <v>74349.5</v>
      </c>
      <c r="AN253" s="30">
        <f t="shared" si="21"/>
        <v>30528.619774952753</v>
      </c>
      <c r="AO253" s="30"/>
      <c r="AP253" s="29">
        <f t="shared" si="22"/>
        <v>1.0380606170044828</v>
      </c>
      <c r="AQ253" s="31">
        <f t="shared" si="23"/>
        <v>0.7941179729269766</v>
      </c>
      <c r="AR253" s="21" t="s">
        <v>426</v>
      </c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DM253" s="16"/>
      <c r="DN253" s="16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3"/>
      <c r="FW253" s="11"/>
    </row>
    <row r="254" spans="1:179" ht="18.75">
      <c r="A254" s="1" t="s">
        <v>1089</v>
      </c>
      <c r="B254" s="2" t="s">
        <v>696</v>
      </c>
      <c r="C254" s="2" t="s">
        <v>230</v>
      </c>
      <c r="D254" s="2" t="str">
        <f>HYPERLINK("http://eros.fiehnlab.ucdavis.edu:8080/binbase-compound/bin/show/267654?db=rtx5","267654")</f>
        <v>267654</v>
      </c>
      <c r="E254" s="2" t="s">
        <v>1125</v>
      </c>
      <c r="F254" s="2" t="s">
        <v>83</v>
      </c>
      <c r="G254" s="2" t="s">
        <v>83</v>
      </c>
      <c r="H254" s="7">
        <v>35310</v>
      </c>
      <c r="I254" s="7">
        <v>18644</v>
      </c>
      <c r="J254" s="7">
        <v>23551</v>
      </c>
      <c r="K254" s="7">
        <v>14967</v>
      </c>
      <c r="L254" s="7">
        <v>112921</v>
      </c>
      <c r="M254" s="7">
        <v>31485</v>
      </c>
      <c r="N254" s="7">
        <v>19656</v>
      </c>
      <c r="O254" s="7">
        <v>13554</v>
      </c>
      <c r="P254" s="7">
        <v>31526</v>
      </c>
      <c r="Q254" s="7">
        <v>19535</v>
      </c>
      <c r="R254" s="7">
        <v>23529</v>
      </c>
      <c r="S254" s="7">
        <v>13472</v>
      </c>
      <c r="T254" s="7">
        <v>13734</v>
      </c>
      <c r="U254" s="7">
        <v>20065</v>
      </c>
      <c r="V254" s="7">
        <v>23201</v>
      </c>
      <c r="W254" s="24">
        <f t="shared" si="18"/>
        <v>27676.666666666668</v>
      </c>
      <c r="X254" s="25">
        <f t="shared" si="19"/>
        <v>24546.95352836701</v>
      </c>
      <c r="Y254" s="25"/>
      <c r="Z254" s="26"/>
      <c r="AA254" s="7">
        <v>12783</v>
      </c>
      <c r="AB254" s="7">
        <v>17254</v>
      </c>
      <c r="AC254" s="7">
        <v>40258</v>
      </c>
      <c r="AD254" s="7">
        <v>44253</v>
      </c>
      <c r="AE254" s="7">
        <v>10385</v>
      </c>
      <c r="AF254" s="7">
        <v>45030</v>
      </c>
      <c r="AG254" s="7">
        <v>43926</v>
      </c>
      <c r="AH254" s="7">
        <v>20063</v>
      </c>
      <c r="AI254" s="7">
        <v>45036</v>
      </c>
      <c r="AJ254" s="7">
        <v>14043</v>
      </c>
      <c r="AK254" s="7">
        <v>23560</v>
      </c>
      <c r="AL254" s="7">
        <v>28323</v>
      </c>
      <c r="AM254" s="30">
        <f t="shared" si="20"/>
        <v>28742.833333333332</v>
      </c>
      <c r="AN254" s="30">
        <f t="shared" si="21"/>
        <v>14066.770016495244</v>
      </c>
      <c r="AO254" s="30"/>
      <c r="AP254" s="29">
        <f t="shared" si="22"/>
        <v>1.0385222208840177</v>
      </c>
      <c r="AQ254" s="31">
        <f t="shared" si="23"/>
        <v>0.8947795997090292</v>
      </c>
      <c r="AR254" s="21" t="s">
        <v>1089</v>
      </c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DM254" s="16"/>
      <c r="DN254" s="16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3"/>
      <c r="FW254" s="11"/>
    </row>
    <row r="255" spans="1:179" ht="18.75">
      <c r="A255" s="1" t="s">
        <v>216</v>
      </c>
      <c r="B255" s="2" t="s">
        <v>217</v>
      </c>
      <c r="C255" s="2" t="s">
        <v>218</v>
      </c>
      <c r="D255" s="2" t="str">
        <f>HYPERLINK("http://eros.fiehnlab.ucdavis.edu:8080/binbase-compound/bin/show/367910?db=rtx5","367910")</f>
        <v>367910</v>
      </c>
      <c r="E255" s="2" t="s">
        <v>87</v>
      </c>
      <c r="F255" s="2" t="s">
        <v>83</v>
      </c>
      <c r="G255" s="2" t="s">
        <v>83</v>
      </c>
      <c r="H255" s="7">
        <v>797604</v>
      </c>
      <c r="I255" s="7">
        <v>1020853</v>
      </c>
      <c r="J255" s="7">
        <v>1432812</v>
      </c>
      <c r="K255" s="7">
        <v>1265467</v>
      </c>
      <c r="L255" s="7">
        <v>892431</v>
      </c>
      <c r="M255" s="7">
        <v>538973</v>
      </c>
      <c r="N255" s="7">
        <v>961714</v>
      </c>
      <c r="O255" s="7">
        <v>632742</v>
      </c>
      <c r="P255" s="7">
        <v>1110935</v>
      </c>
      <c r="Q255" s="7">
        <v>809678</v>
      </c>
      <c r="R255" s="7">
        <v>1114211</v>
      </c>
      <c r="S255" s="7">
        <v>916769</v>
      </c>
      <c r="T255" s="7">
        <v>872949</v>
      </c>
      <c r="U255" s="7">
        <v>1309382</v>
      </c>
      <c r="V255" s="7">
        <v>229299</v>
      </c>
      <c r="W255" s="24">
        <f t="shared" si="18"/>
        <v>927054.6</v>
      </c>
      <c r="X255" s="25">
        <f t="shared" si="19"/>
        <v>311010.2793096349</v>
      </c>
      <c r="Y255" s="25"/>
      <c r="Z255" s="26"/>
      <c r="AA255" s="7">
        <v>1057345</v>
      </c>
      <c r="AB255" s="7">
        <v>1054620</v>
      </c>
      <c r="AC255" s="7">
        <v>940717</v>
      </c>
      <c r="AD255" s="7">
        <v>885761</v>
      </c>
      <c r="AE255" s="7">
        <v>986594</v>
      </c>
      <c r="AF255" s="7">
        <v>1021686</v>
      </c>
      <c r="AG255" s="7">
        <v>924567</v>
      </c>
      <c r="AH255" s="7">
        <v>762677</v>
      </c>
      <c r="AI255" s="7">
        <v>916618</v>
      </c>
      <c r="AJ255" s="7">
        <v>907385</v>
      </c>
      <c r="AK255" s="7">
        <v>1154459</v>
      </c>
      <c r="AL255" s="7">
        <v>945949</v>
      </c>
      <c r="AM255" s="30">
        <f t="shared" si="20"/>
        <v>963198.1666666666</v>
      </c>
      <c r="AN255" s="30">
        <f t="shared" si="21"/>
        <v>100704.72322391866</v>
      </c>
      <c r="AO255" s="30"/>
      <c r="AP255" s="29">
        <f t="shared" si="22"/>
        <v>1.0389875274516374</v>
      </c>
      <c r="AQ255" s="31">
        <f t="shared" si="23"/>
        <v>0.7031909443099853</v>
      </c>
      <c r="AR255" s="21" t="s">
        <v>216</v>
      </c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DM255" s="16"/>
      <c r="DN255" s="16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3"/>
      <c r="FW255" s="11"/>
    </row>
    <row r="256" spans="1:179" ht="18.75">
      <c r="A256" s="1" t="s">
        <v>1021</v>
      </c>
      <c r="B256" s="2" t="s">
        <v>1022</v>
      </c>
      <c r="C256" s="2" t="s">
        <v>266</v>
      </c>
      <c r="D256" s="2" t="str">
        <f>HYPERLINK("http://eros.fiehnlab.ucdavis.edu:8080/binbase-compound/bin/show/201042?db=rtx5","201042")</f>
        <v>201042</v>
      </c>
      <c r="E256" s="2" t="s">
        <v>145</v>
      </c>
      <c r="F256" s="2" t="s">
        <v>83</v>
      </c>
      <c r="G256" s="2" t="s">
        <v>83</v>
      </c>
      <c r="H256" s="7">
        <v>1171</v>
      </c>
      <c r="I256" s="7">
        <v>1911</v>
      </c>
      <c r="J256" s="7">
        <v>5135</v>
      </c>
      <c r="K256" s="7">
        <v>1949</v>
      </c>
      <c r="L256" s="7">
        <v>1349</v>
      </c>
      <c r="M256" s="7">
        <v>3546</v>
      </c>
      <c r="N256" s="7">
        <v>1749</v>
      </c>
      <c r="O256" s="7">
        <v>2578</v>
      </c>
      <c r="P256" s="7">
        <v>1770</v>
      </c>
      <c r="Q256" s="7">
        <v>1162</v>
      </c>
      <c r="R256" s="7">
        <v>1429</v>
      </c>
      <c r="S256" s="7">
        <v>2210</v>
      </c>
      <c r="T256" s="7">
        <v>2140</v>
      </c>
      <c r="U256" s="7">
        <v>1884</v>
      </c>
      <c r="V256" s="7">
        <v>4622</v>
      </c>
      <c r="W256" s="24">
        <f t="shared" si="18"/>
        <v>2307</v>
      </c>
      <c r="X256" s="25">
        <f t="shared" si="19"/>
        <v>1205.83344028696</v>
      </c>
      <c r="Y256" s="25"/>
      <c r="Z256" s="26"/>
      <c r="AA256" s="7">
        <v>2336</v>
      </c>
      <c r="AB256" s="7">
        <v>1920</v>
      </c>
      <c r="AC256" s="7">
        <v>1966</v>
      </c>
      <c r="AD256" s="7">
        <v>2597</v>
      </c>
      <c r="AE256" s="7">
        <v>2115</v>
      </c>
      <c r="AF256" s="7">
        <v>1430</v>
      </c>
      <c r="AG256" s="7">
        <v>1167</v>
      </c>
      <c r="AH256" s="7">
        <v>1803</v>
      </c>
      <c r="AI256" s="7">
        <v>3736</v>
      </c>
      <c r="AJ256" s="7">
        <v>3530</v>
      </c>
      <c r="AK256" s="7">
        <v>2841</v>
      </c>
      <c r="AL256" s="7">
        <v>3382</v>
      </c>
      <c r="AM256" s="30">
        <f t="shared" si="20"/>
        <v>2401.9166666666665</v>
      </c>
      <c r="AN256" s="30">
        <f t="shared" si="21"/>
        <v>830.1719929501286</v>
      </c>
      <c r="AO256" s="30"/>
      <c r="AP256" s="29">
        <f t="shared" si="22"/>
        <v>1.041142898425083</v>
      </c>
      <c r="AQ256" s="31">
        <f t="shared" si="23"/>
        <v>0.8185558592450659</v>
      </c>
      <c r="AR256" s="21" t="s">
        <v>1021</v>
      </c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DM256" s="16"/>
      <c r="DN256" s="16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3"/>
      <c r="FW256" s="11"/>
    </row>
    <row r="257" spans="1:179" ht="18.75">
      <c r="A257" s="1" t="s">
        <v>666</v>
      </c>
      <c r="B257" s="2" t="s">
        <v>667</v>
      </c>
      <c r="C257" s="2" t="s">
        <v>243</v>
      </c>
      <c r="D257" s="2" t="str">
        <f>HYPERLINK("http://eros.fiehnlab.ucdavis.edu:8080/binbase-compound/bin/show/419273?db=rtx5","419273")</f>
        <v>419273</v>
      </c>
      <c r="E257" s="2" t="s">
        <v>134</v>
      </c>
      <c r="F257" s="2" t="s">
        <v>83</v>
      </c>
      <c r="G257" s="2" t="s">
        <v>83</v>
      </c>
      <c r="H257" s="7">
        <v>1663</v>
      </c>
      <c r="I257" s="7">
        <v>1912</v>
      </c>
      <c r="J257" s="7">
        <v>2459</v>
      </c>
      <c r="K257" s="7">
        <v>1128</v>
      </c>
      <c r="L257" s="7">
        <v>2153</v>
      </c>
      <c r="M257" s="7">
        <v>1999</v>
      </c>
      <c r="N257" s="7">
        <v>1976</v>
      </c>
      <c r="O257" s="7">
        <v>2781</v>
      </c>
      <c r="P257" s="7">
        <v>713</v>
      </c>
      <c r="Q257" s="7">
        <v>1343</v>
      </c>
      <c r="R257" s="7">
        <v>1562</v>
      </c>
      <c r="S257" s="7">
        <v>1782</v>
      </c>
      <c r="T257" s="7">
        <v>1227</v>
      </c>
      <c r="U257" s="7">
        <v>1251</v>
      </c>
      <c r="V257" s="7">
        <v>4469</v>
      </c>
      <c r="W257" s="24">
        <f t="shared" si="18"/>
        <v>1894.5333333333333</v>
      </c>
      <c r="X257" s="25">
        <f t="shared" si="19"/>
        <v>892.0823846217237</v>
      </c>
      <c r="Y257" s="25"/>
      <c r="Z257" s="26"/>
      <c r="AA257" s="7">
        <v>833</v>
      </c>
      <c r="AB257" s="7">
        <v>1173</v>
      </c>
      <c r="AC257" s="7">
        <v>1477</v>
      </c>
      <c r="AD257" s="7">
        <v>3572</v>
      </c>
      <c r="AE257" s="7">
        <v>1422</v>
      </c>
      <c r="AF257" s="7">
        <v>2775</v>
      </c>
      <c r="AG257" s="7">
        <v>1290</v>
      </c>
      <c r="AH257" s="7">
        <v>973</v>
      </c>
      <c r="AI257" s="7">
        <v>3218</v>
      </c>
      <c r="AJ257" s="7">
        <v>2837</v>
      </c>
      <c r="AK257" s="7">
        <v>1176</v>
      </c>
      <c r="AL257" s="7">
        <v>3121</v>
      </c>
      <c r="AM257" s="30">
        <f t="shared" si="20"/>
        <v>1988.9166666666667</v>
      </c>
      <c r="AN257" s="30">
        <f t="shared" si="21"/>
        <v>1018.1223768498677</v>
      </c>
      <c r="AO257" s="30"/>
      <c r="AP257" s="29">
        <f t="shared" si="22"/>
        <v>1.0498187768315856</v>
      </c>
      <c r="AQ257" s="31">
        <f t="shared" si="23"/>
        <v>0.7995645678041865</v>
      </c>
      <c r="AR257" s="21" t="s">
        <v>666</v>
      </c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DM257" s="16"/>
      <c r="DN257" s="16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3"/>
      <c r="FW257" s="11"/>
    </row>
    <row r="258" spans="1:179" ht="18.75">
      <c r="A258" s="1" t="s">
        <v>895</v>
      </c>
      <c r="B258" s="2" t="s">
        <v>896</v>
      </c>
      <c r="C258" s="2" t="s">
        <v>798</v>
      </c>
      <c r="D258" s="2" t="str">
        <f>HYPERLINK("http://eros.fiehnlab.ucdavis.edu:8080/binbase-compound/bin/show/228528?db=rtx5","228528")</f>
        <v>228528</v>
      </c>
      <c r="E258" s="2" t="s">
        <v>195</v>
      </c>
      <c r="F258" s="2" t="s">
        <v>83</v>
      </c>
      <c r="G258" s="2" t="s">
        <v>83</v>
      </c>
      <c r="H258" s="7">
        <v>298</v>
      </c>
      <c r="I258" s="7">
        <v>410</v>
      </c>
      <c r="J258" s="7">
        <v>948</v>
      </c>
      <c r="K258" s="7">
        <v>342</v>
      </c>
      <c r="L258" s="7">
        <v>235</v>
      </c>
      <c r="M258" s="7">
        <v>363</v>
      </c>
      <c r="N258" s="7">
        <v>227</v>
      </c>
      <c r="O258" s="7">
        <v>86</v>
      </c>
      <c r="P258" s="7">
        <v>227</v>
      </c>
      <c r="Q258" s="7">
        <v>436</v>
      </c>
      <c r="R258" s="7">
        <v>364</v>
      </c>
      <c r="S258" s="7">
        <v>527</v>
      </c>
      <c r="T258" s="7">
        <v>433</v>
      </c>
      <c r="U258" s="7">
        <v>385</v>
      </c>
      <c r="V258" s="7">
        <v>854</v>
      </c>
      <c r="W258" s="24">
        <f t="shared" si="18"/>
        <v>409</v>
      </c>
      <c r="X258" s="25">
        <f t="shared" si="19"/>
        <v>227.74609922957126</v>
      </c>
      <c r="Y258" s="25"/>
      <c r="Z258" s="26"/>
      <c r="AA258" s="7">
        <v>143</v>
      </c>
      <c r="AB258" s="7">
        <v>600</v>
      </c>
      <c r="AC258" s="7">
        <v>510</v>
      </c>
      <c r="AD258" s="7">
        <v>397</v>
      </c>
      <c r="AE258" s="7">
        <v>979</v>
      </c>
      <c r="AF258" s="7">
        <v>415</v>
      </c>
      <c r="AG258" s="7">
        <v>398</v>
      </c>
      <c r="AH258" s="7">
        <v>410</v>
      </c>
      <c r="AI258" s="7">
        <v>365</v>
      </c>
      <c r="AJ258" s="7">
        <v>285</v>
      </c>
      <c r="AK258" s="7">
        <v>292</v>
      </c>
      <c r="AL258" s="7">
        <v>364</v>
      </c>
      <c r="AM258" s="30">
        <f t="shared" si="20"/>
        <v>429.8333333333333</v>
      </c>
      <c r="AN258" s="30">
        <f t="shared" si="21"/>
        <v>206.80637994964945</v>
      </c>
      <c r="AO258" s="30"/>
      <c r="AP258" s="29">
        <f t="shared" si="22"/>
        <v>1.0509372453137733</v>
      </c>
      <c r="AQ258" s="31">
        <f t="shared" si="23"/>
        <v>0.8077899822257112</v>
      </c>
      <c r="AR258" s="21" t="s">
        <v>895</v>
      </c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DM258" s="16"/>
      <c r="DN258" s="16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3"/>
      <c r="FW258" s="11"/>
    </row>
    <row r="259" spans="1:179" ht="18.75">
      <c r="A259" s="1" t="s">
        <v>1087</v>
      </c>
      <c r="B259" s="2" t="s">
        <v>511</v>
      </c>
      <c r="C259" s="2" t="s">
        <v>224</v>
      </c>
      <c r="D259" s="2" t="str">
        <f>HYPERLINK("http://eros.fiehnlab.ucdavis.edu:8080/binbase-compound/bin/show/386128?db=rtx5","386128")</f>
        <v>386128</v>
      </c>
      <c r="E259" s="2" t="s">
        <v>1102</v>
      </c>
      <c r="F259" s="2" t="str">
        <f>HYPERLINK("http://www.genome.ad.jp/dbget-bin/www_bget?compound+C00180","C00180")</f>
        <v>C00180</v>
      </c>
      <c r="G259" s="2" t="str">
        <f>HYPERLINK("http://pubchem.ncbi.nlm.nih.gov/summary/summary.cgi?cid=243","243")</f>
        <v>243</v>
      </c>
      <c r="H259" s="7">
        <v>31341</v>
      </c>
      <c r="I259" s="7">
        <v>40100</v>
      </c>
      <c r="J259" s="7">
        <v>417512</v>
      </c>
      <c r="K259" s="7">
        <v>166413</v>
      </c>
      <c r="L259" s="7">
        <v>134125</v>
      </c>
      <c r="M259" s="7">
        <v>130576</v>
      </c>
      <c r="N259" s="7">
        <v>53895</v>
      </c>
      <c r="O259" s="7">
        <v>115299</v>
      </c>
      <c r="P259" s="7">
        <v>38494</v>
      </c>
      <c r="Q259" s="7">
        <v>138268</v>
      </c>
      <c r="R259" s="7">
        <v>47637</v>
      </c>
      <c r="S259" s="7">
        <v>131785</v>
      </c>
      <c r="T259" s="7">
        <v>143383</v>
      </c>
      <c r="U259" s="7">
        <v>186865</v>
      </c>
      <c r="V259" s="7">
        <v>279754</v>
      </c>
      <c r="W259" s="24">
        <f t="shared" si="18"/>
        <v>137029.8</v>
      </c>
      <c r="X259" s="25">
        <f t="shared" si="19"/>
        <v>102871.75885691022</v>
      </c>
      <c r="Y259" s="25"/>
      <c r="Z259" s="26"/>
      <c r="AA259" s="7">
        <v>174242</v>
      </c>
      <c r="AB259" s="7">
        <v>158967</v>
      </c>
      <c r="AC259" s="7">
        <v>147472</v>
      </c>
      <c r="AD259" s="7">
        <v>185186</v>
      </c>
      <c r="AE259" s="7">
        <v>166374</v>
      </c>
      <c r="AF259" s="7">
        <v>59169</v>
      </c>
      <c r="AG259" s="7">
        <v>32901</v>
      </c>
      <c r="AH259" s="7">
        <v>130767</v>
      </c>
      <c r="AI259" s="7">
        <v>157343</v>
      </c>
      <c r="AJ259" s="7">
        <v>197430</v>
      </c>
      <c r="AK259" s="7">
        <v>174424</v>
      </c>
      <c r="AL259" s="7">
        <v>144809</v>
      </c>
      <c r="AM259" s="30">
        <f t="shared" si="20"/>
        <v>144090.33333333334</v>
      </c>
      <c r="AN259" s="30">
        <f t="shared" si="21"/>
        <v>49562.54308233061</v>
      </c>
      <c r="AO259" s="30"/>
      <c r="AP259" s="29">
        <f t="shared" si="22"/>
        <v>1.051525531915929</v>
      </c>
      <c r="AQ259" s="31">
        <f t="shared" si="23"/>
        <v>0.8293663699905778</v>
      </c>
      <c r="AR259" s="21" t="s">
        <v>1087</v>
      </c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DM259" s="16"/>
      <c r="DN259" s="16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3"/>
      <c r="FW259" s="11"/>
    </row>
    <row r="260" spans="1:179" ht="18.75">
      <c r="A260" s="1" t="s">
        <v>939</v>
      </c>
      <c r="B260" s="2" t="s">
        <v>940</v>
      </c>
      <c r="C260" s="2" t="s">
        <v>941</v>
      </c>
      <c r="D260" s="2" t="str">
        <f>HYPERLINK("http://eros.fiehnlab.ucdavis.edu:8080/binbase-compound/bin/show/225555?db=rtx5","225555")</f>
        <v>225555</v>
      </c>
      <c r="E260" s="2" t="s">
        <v>8</v>
      </c>
      <c r="F260" s="2" t="s">
        <v>83</v>
      </c>
      <c r="G260" s="2" t="s">
        <v>83</v>
      </c>
      <c r="H260" s="7">
        <v>1489</v>
      </c>
      <c r="I260" s="7">
        <v>630</v>
      </c>
      <c r="J260" s="7">
        <v>491</v>
      </c>
      <c r="K260" s="7">
        <v>946</v>
      </c>
      <c r="L260" s="7">
        <v>376</v>
      </c>
      <c r="M260" s="7">
        <v>266</v>
      </c>
      <c r="N260" s="7">
        <v>890</v>
      </c>
      <c r="O260" s="7">
        <v>1093</v>
      </c>
      <c r="P260" s="7">
        <v>206</v>
      </c>
      <c r="Q260" s="7">
        <v>719</v>
      </c>
      <c r="R260" s="7">
        <v>3055</v>
      </c>
      <c r="S260" s="7">
        <v>596</v>
      </c>
      <c r="T260" s="7">
        <v>747</v>
      </c>
      <c r="U260" s="7">
        <v>753</v>
      </c>
      <c r="V260" s="7">
        <v>3369</v>
      </c>
      <c r="W260" s="24">
        <f t="shared" si="18"/>
        <v>1041.7333333333333</v>
      </c>
      <c r="X260" s="25">
        <f t="shared" si="19"/>
        <v>940.8807019160799</v>
      </c>
      <c r="Y260" s="25"/>
      <c r="Z260" s="26"/>
      <c r="AA260" s="7">
        <v>760</v>
      </c>
      <c r="AB260" s="7">
        <v>1789</v>
      </c>
      <c r="AC260" s="7">
        <v>267</v>
      </c>
      <c r="AD260" s="7">
        <v>499</v>
      </c>
      <c r="AE260" s="7">
        <v>661</v>
      </c>
      <c r="AF260" s="7">
        <v>191</v>
      </c>
      <c r="AG260" s="7">
        <v>606</v>
      </c>
      <c r="AH260" s="7">
        <v>2396</v>
      </c>
      <c r="AI260" s="7">
        <v>2275</v>
      </c>
      <c r="AJ260" s="7">
        <v>947</v>
      </c>
      <c r="AK260" s="7">
        <v>767</v>
      </c>
      <c r="AL260" s="7">
        <v>2038</v>
      </c>
      <c r="AM260" s="30">
        <f t="shared" si="20"/>
        <v>1099.6666666666667</v>
      </c>
      <c r="AN260" s="30">
        <f t="shared" si="21"/>
        <v>796.745121026033</v>
      </c>
      <c r="AO260" s="30"/>
      <c r="AP260" s="29">
        <f t="shared" si="22"/>
        <v>1.0556124408037886</v>
      </c>
      <c r="AQ260" s="31">
        <f t="shared" si="23"/>
        <v>0.8664492669055319</v>
      </c>
      <c r="AR260" s="21" t="s">
        <v>939</v>
      </c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DM260" s="16"/>
      <c r="DN260" s="16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3"/>
      <c r="FW260" s="11"/>
    </row>
    <row r="261" spans="1:179" ht="18.75">
      <c r="A261" s="1" t="s">
        <v>346</v>
      </c>
      <c r="B261" s="2" t="s">
        <v>347</v>
      </c>
      <c r="C261" s="2" t="s">
        <v>348</v>
      </c>
      <c r="D261" s="2" t="str">
        <f>HYPERLINK("http://eros.fiehnlab.ucdavis.edu:8080/binbase-compound/bin/show/243699?db=rtx5","243699")</f>
        <v>243699</v>
      </c>
      <c r="E261" s="2" t="s">
        <v>1138</v>
      </c>
      <c r="F261" s="2" t="str">
        <f>HYPERLINK("http://www.genome.ad.jp/dbget-bin/www_bget?compound+C00073","C00073")</f>
        <v>C00073</v>
      </c>
      <c r="G261" s="2" t="str">
        <f>HYPERLINK("http://pubchem.ncbi.nlm.nih.gov/summary/summary.cgi?cid=6137","6137")</f>
        <v>6137</v>
      </c>
      <c r="H261" s="7">
        <v>5155</v>
      </c>
      <c r="I261" s="7">
        <v>4270</v>
      </c>
      <c r="J261" s="7">
        <v>1926</v>
      </c>
      <c r="K261" s="7">
        <v>5525</v>
      </c>
      <c r="L261" s="7">
        <v>4919</v>
      </c>
      <c r="M261" s="7">
        <v>7633</v>
      </c>
      <c r="N261" s="7">
        <v>6684</v>
      </c>
      <c r="O261" s="7">
        <v>10800</v>
      </c>
      <c r="P261" s="7">
        <v>5549</v>
      </c>
      <c r="Q261" s="7">
        <v>12159</v>
      </c>
      <c r="R261" s="7">
        <v>6318</v>
      </c>
      <c r="S261" s="7">
        <v>3934</v>
      </c>
      <c r="T261" s="7">
        <v>4621</v>
      </c>
      <c r="U261" s="7">
        <v>5401</v>
      </c>
      <c r="V261" s="7">
        <v>8341</v>
      </c>
      <c r="W261" s="24">
        <f t="shared" si="18"/>
        <v>6215.666666666667</v>
      </c>
      <c r="X261" s="25">
        <f t="shared" si="19"/>
        <v>2637.9420460076904</v>
      </c>
      <c r="Y261" s="25"/>
      <c r="Z261" s="26"/>
      <c r="AA261" s="7">
        <v>2512</v>
      </c>
      <c r="AB261" s="7">
        <v>6084</v>
      </c>
      <c r="AC261" s="7">
        <v>11026</v>
      </c>
      <c r="AD261" s="7">
        <v>11404</v>
      </c>
      <c r="AE261" s="7">
        <v>7002</v>
      </c>
      <c r="AF261" s="7">
        <v>3216</v>
      </c>
      <c r="AG261" s="7">
        <v>3874</v>
      </c>
      <c r="AH261" s="7">
        <v>4949</v>
      </c>
      <c r="AI261" s="7">
        <v>6978</v>
      </c>
      <c r="AJ261" s="7">
        <v>8689</v>
      </c>
      <c r="AK261" s="7">
        <v>5293</v>
      </c>
      <c r="AL261" s="7">
        <v>7716</v>
      </c>
      <c r="AM261" s="30">
        <f t="shared" si="20"/>
        <v>6561.916666666667</v>
      </c>
      <c r="AN261" s="30">
        <f t="shared" si="21"/>
        <v>2842.197212092124</v>
      </c>
      <c r="AO261" s="30"/>
      <c r="AP261" s="29">
        <f t="shared" si="22"/>
        <v>1.0557060116908885</v>
      </c>
      <c r="AQ261" s="31">
        <f t="shared" si="23"/>
        <v>0.7460061843736339</v>
      </c>
      <c r="AR261" s="21" t="s">
        <v>346</v>
      </c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DM261" s="16"/>
      <c r="DN261" s="16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3"/>
      <c r="FW261" s="11"/>
    </row>
    <row r="262" spans="1:179" ht="18.75">
      <c r="A262" s="1" t="s">
        <v>554</v>
      </c>
      <c r="B262" s="2" t="s">
        <v>555</v>
      </c>
      <c r="C262" s="2" t="s">
        <v>243</v>
      </c>
      <c r="D262" s="2" t="str">
        <f>HYPERLINK("http://eros.fiehnlab.ucdavis.edu:8080/binbase-compound/bin/show/425836?db=rtx5","425836")</f>
        <v>425836</v>
      </c>
      <c r="E262" s="2" t="s">
        <v>650</v>
      </c>
      <c r="F262" s="2" t="s">
        <v>83</v>
      </c>
      <c r="G262" s="2" t="s">
        <v>83</v>
      </c>
      <c r="H262" s="7">
        <v>14723</v>
      </c>
      <c r="I262" s="7">
        <v>26939</v>
      </c>
      <c r="J262" s="7">
        <v>32199</v>
      </c>
      <c r="K262" s="7">
        <v>16957</v>
      </c>
      <c r="L262" s="7">
        <v>43389</v>
      </c>
      <c r="M262" s="7">
        <v>51583</v>
      </c>
      <c r="N262" s="7">
        <v>24005</v>
      </c>
      <c r="O262" s="7">
        <v>2151</v>
      </c>
      <c r="P262" s="7">
        <v>45811</v>
      </c>
      <c r="Q262" s="7">
        <v>10290</v>
      </c>
      <c r="R262" s="7">
        <v>18665</v>
      </c>
      <c r="S262" s="7">
        <v>26685</v>
      </c>
      <c r="T262" s="7">
        <v>19958</v>
      </c>
      <c r="U262" s="7">
        <v>21358</v>
      </c>
      <c r="V262" s="7">
        <v>19825</v>
      </c>
      <c r="W262" s="24">
        <f t="shared" si="18"/>
        <v>24969.2</v>
      </c>
      <c r="X262" s="25">
        <f t="shared" si="19"/>
        <v>13500.464358151325</v>
      </c>
      <c r="Y262" s="25"/>
      <c r="Z262" s="26"/>
      <c r="AA262" s="7">
        <v>15048</v>
      </c>
      <c r="AB262" s="7">
        <v>13015</v>
      </c>
      <c r="AC262" s="7">
        <v>11975</v>
      </c>
      <c r="AD262" s="7">
        <v>66047</v>
      </c>
      <c r="AE262" s="7">
        <v>9595</v>
      </c>
      <c r="AF262" s="7">
        <v>33419</v>
      </c>
      <c r="AG262" s="7">
        <v>14443</v>
      </c>
      <c r="AH262" s="7">
        <v>21260</v>
      </c>
      <c r="AI262" s="7">
        <v>25077</v>
      </c>
      <c r="AJ262" s="7">
        <v>27082</v>
      </c>
      <c r="AK262" s="7">
        <v>25515</v>
      </c>
      <c r="AL262" s="7">
        <v>54110</v>
      </c>
      <c r="AM262" s="30">
        <f t="shared" si="20"/>
        <v>26382.166666666668</v>
      </c>
      <c r="AN262" s="30">
        <f t="shared" si="21"/>
        <v>17476.982680258643</v>
      </c>
      <c r="AO262" s="30"/>
      <c r="AP262" s="29">
        <f t="shared" si="22"/>
        <v>1.0565883835552068</v>
      </c>
      <c r="AQ262" s="31">
        <f t="shared" si="23"/>
        <v>0.8143968611513922</v>
      </c>
      <c r="AR262" s="21" t="s">
        <v>554</v>
      </c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DM262" s="16"/>
      <c r="DN262" s="16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3"/>
      <c r="FW262" s="11"/>
    </row>
    <row r="263" spans="1:179" ht="18.75">
      <c r="A263" s="1" t="s">
        <v>241</v>
      </c>
      <c r="B263" s="2" t="s">
        <v>242</v>
      </c>
      <c r="C263" s="2" t="s">
        <v>243</v>
      </c>
      <c r="D263" s="2" t="str">
        <f>HYPERLINK("http://eros.fiehnlab.ucdavis.edu:8080/binbase-compound/bin/show/368030?db=rtx5","368030")</f>
        <v>368030</v>
      </c>
      <c r="E263" s="2" t="s">
        <v>1116</v>
      </c>
      <c r="F263" s="2" t="s">
        <v>83</v>
      </c>
      <c r="G263" s="2" t="s">
        <v>83</v>
      </c>
      <c r="H263" s="7">
        <v>63750</v>
      </c>
      <c r="I263" s="7">
        <v>71146</v>
      </c>
      <c r="J263" s="7">
        <v>28868</v>
      </c>
      <c r="K263" s="7">
        <v>54366</v>
      </c>
      <c r="L263" s="7">
        <v>70360</v>
      </c>
      <c r="M263" s="7">
        <v>72849</v>
      </c>
      <c r="N263" s="7">
        <v>88836</v>
      </c>
      <c r="O263" s="7">
        <v>93459</v>
      </c>
      <c r="P263" s="7">
        <v>73987</v>
      </c>
      <c r="Q263" s="7">
        <v>64970</v>
      </c>
      <c r="R263" s="7">
        <v>62453</v>
      </c>
      <c r="S263" s="7">
        <v>74613</v>
      </c>
      <c r="T263" s="7">
        <v>47594</v>
      </c>
      <c r="U263" s="7">
        <v>54349</v>
      </c>
      <c r="V263" s="7">
        <v>118114</v>
      </c>
      <c r="W263" s="24">
        <f aca="true" t="shared" si="24" ref="W263:W326">AVERAGE(H263:V263)</f>
        <v>69314.26666666666</v>
      </c>
      <c r="X263" s="25">
        <f aca="true" t="shared" si="25" ref="X263:X327">STDEV(H263:V263)</f>
        <v>20812.642793904542</v>
      </c>
      <c r="Y263" s="25"/>
      <c r="Z263" s="26"/>
      <c r="AA263" s="7">
        <v>48169</v>
      </c>
      <c r="AB263" s="7">
        <v>73309</v>
      </c>
      <c r="AC263" s="7">
        <v>84576</v>
      </c>
      <c r="AD263" s="7">
        <v>98368</v>
      </c>
      <c r="AE263" s="7">
        <v>71478</v>
      </c>
      <c r="AF263" s="7">
        <v>75381</v>
      </c>
      <c r="AG263" s="7">
        <v>64324</v>
      </c>
      <c r="AH263" s="7">
        <v>53486</v>
      </c>
      <c r="AI263" s="7">
        <v>86862</v>
      </c>
      <c r="AJ263" s="7">
        <v>76643</v>
      </c>
      <c r="AK263" s="7">
        <v>49600</v>
      </c>
      <c r="AL263" s="7">
        <v>96952</v>
      </c>
      <c r="AM263" s="30">
        <f aca="true" t="shared" si="26" ref="AM263:AM326">AVERAGE(AA263:AL263)</f>
        <v>73262.33333333333</v>
      </c>
      <c r="AN263" s="30">
        <f aca="true" t="shared" si="27" ref="AN263:AN327">STDEV(AA263:AL263)</f>
        <v>17013.70311534116</v>
      </c>
      <c r="AO263" s="30"/>
      <c r="AP263" s="29">
        <f aca="true" t="shared" si="28" ref="AP263:AP327">AM263/W263</f>
        <v>1.056958932937327</v>
      </c>
      <c r="AQ263" s="31">
        <f aca="true" t="shared" si="29" ref="AQ263:AQ327">TTEST(AA263:AL263,H263:V263,2,2)</f>
        <v>0.6007892552489376</v>
      </c>
      <c r="AR263" s="21" t="s">
        <v>241</v>
      </c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DM263" s="16"/>
      <c r="DN263" s="16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3"/>
      <c r="FW263" s="11"/>
    </row>
    <row r="264" spans="1:179" ht="18.75">
      <c r="A264" s="1" t="s">
        <v>101</v>
      </c>
      <c r="B264" s="2" t="s">
        <v>875</v>
      </c>
      <c r="C264" s="2" t="s">
        <v>229</v>
      </c>
      <c r="D264" s="2" t="str">
        <f>HYPERLINK("http://eros.fiehnlab.ucdavis.edu:8080/binbase-compound/bin/show/339626?db=rtx5","339626")</f>
        <v>339626</v>
      </c>
      <c r="E264" s="2" t="s">
        <v>595</v>
      </c>
      <c r="F264" s="2" t="s">
        <v>83</v>
      </c>
      <c r="G264" s="2" t="s">
        <v>83</v>
      </c>
      <c r="H264" s="7">
        <v>326</v>
      </c>
      <c r="I264" s="7">
        <v>316</v>
      </c>
      <c r="J264" s="7">
        <v>563</v>
      </c>
      <c r="K264" s="7">
        <v>267</v>
      </c>
      <c r="L264" s="7">
        <v>442</v>
      </c>
      <c r="M264" s="7">
        <v>199</v>
      </c>
      <c r="N264" s="7">
        <v>360</v>
      </c>
      <c r="O264" s="7">
        <v>50</v>
      </c>
      <c r="P264" s="7">
        <v>177</v>
      </c>
      <c r="Q264" s="7">
        <v>226</v>
      </c>
      <c r="R264" s="7">
        <v>359</v>
      </c>
      <c r="S264" s="7">
        <v>95</v>
      </c>
      <c r="T264" s="7">
        <v>225</v>
      </c>
      <c r="U264" s="7">
        <v>195</v>
      </c>
      <c r="V264" s="7">
        <v>574</v>
      </c>
      <c r="W264" s="24">
        <f t="shared" si="24"/>
        <v>291.6</v>
      </c>
      <c r="X264" s="25">
        <f t="shared" si="25"/>
        <v>152.2295259515334</v>
      </c>
      <c r="Y264" s="25"/>
      <c r="Z264" s="26"/>
      <c r="AA264" s="7">
        <v>201</v>
      </c>
      <c r="AB264" s="7">
        <v>251</v>
      </c>
      <c r="AC264" s="7">
        <v>174</v>
      </c>
      <c r="AD264" s="7">
        <v>551</v>
      </c>
      <c r="AE264" s="7">
        <v>166</v>
      </c>
      <c r="AF264" s="7">
        <v>241</v>
      </c>
      <c r="AG264" s="7">
        <v>186</v>
      </c>
      <c r="AH264" s="7">
        <v>225</v>
      </c>
      <c r="AI264" s="7">
        <v>466</v>
      </c>
      <c r="AJ264" s="7">
        <v>820</v>
      </c>
      <c r="AK264" s="7">
        <v>175</v>
      </c>
      <c r="AL264" s="7">
        <v>244</v>
      </c>
      <c r="AM264" s="30">
        <f t="shared" si="26"/>
        <v>308.3333333333333</v>
      </c>
      <c r="AN264" s="30">
        <f t="shared" si="27"/>
        <v>201.589291442384</v>
      </c>
      <c r="AO264" s="30"/>
      <c r="AP264" s="29">
        <f t="shared" si="28"/>
        <v>1.057384545038866</v>
      </c>
      <c r="AQ264" s="31">
        <f t="shared" si="29"/>
        <v>0.8077268757794859</v>
      </c>
      <c r="AR264" s="21" t="s">
        <v>101</v>
      </c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DM264" s="16"/>
      <c r="DN264" s="16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3"/>
      <c r="FW264" s="11"/>
    </row>
    <row r="265" spans="1:179" ht="18.75">
      <c r="A265" s="1" t="s">
        <v>723</v>
      </c>
      <c r="B265" s="2" t="s">
        <v>724</v>
      </c>
      <c r="C265" s="2" t="s">
        <v>673</v>
      </c>
      <c r="D265" s="2" t="str">
        <f>HYPERLINK("http://eros.fiehnlab.ucdavis.edu:8080/binbase-compound/bin/show/339490?db=rtx5","339490")</f>
        <v>339490</v>
      </c>
      <c r="E265" s="2" t="s">
        <v>200</v>
      </c>
      <c r="F265" s="2" t="s">
        <v>83</v>
      </c>
      <c r="G265" s="2" t="s">
        <v>83</v>
      </c>
      <c r="H265" s="7">
        <v>234</v>
      </c>
      <c r="I265" s="7">
        <v>195</v>
      </c>
      <c r="J265" s="7">
        <v>670</v>
      </c>
      <c r="K265" s="7">
        <v>258</v>
      </c>
      <c r="L265" s="7">
        <v>510</v>
      </c>
      <c r="M265" s="7">
        <v>441</v>
      </c>
      <c r="N265" s="7">
        <v>650</v>
      </c>
      <c r="O265" s="7">
        <v>122</v>
      </c>
      <c r="P265" s="7">
        <v>157</v>
      </c>
      <c r="Q265" s="7">
        <v>177</v>
      </c>
      <c r="R265" s="7">
        <v>835</v>
      </c>
      <c r="S265" s="7">
        <v>310</v>
      </c>
      <c r="T265" s="7">
        <v>269</v>
      </c>
      <c r="U265" s="7">
        <v>857</v>
      </c>
      <c r="V265" s="7">
        <v>813</v>
      </c>
      <c r="W265" s="24">
        <f t="shared" si="24"/>
        <v>433.2</v>
      </c>
      <c r="X265" s="25">
        <f t="shared" si="25"/>
        <v>267.5762107726107</v>
      </c>
      <c r="Y265" s="25"/>
      <c r="Z265" s="26"/>
      <c r="AA265" s="7">
        <v>145</v>
      </c>
      <c r="AB265" s="7">
        <v>253</v>
      </c>
      <c r="AC265" s="7">
        <v>182</v>
      </c>
      <c r="AD265" s="7">
        <v>967</v>
      </c>
      <c r="AE265" s="7">
        <v>263</v>
      </c>
      <c r="AF265" s="7">
        <v>174</v>
      </c>
      <c r="AG265" s="7">
        <v>209</v>
      </c>
      <c r="AH265" s="7">
        <v>143</v>
      </c>
      <c r="AI265" s="7">
        <v>847</v>
      </c>
      <c r="AJ265" s="7">
        <v>1715</v>
      </c>
      <c r="AK265" s="7">
        <v>204</v>
      </c>
      <c r="AL265" s="7">
        <v>410</v>
      </c>
      <c r="AM265" s="30">
        <f t="shared" si="26"/>
        <v>459.3333333333333</v>
      </c>
      <c r="AN265" s="30">
        <f t="shared" si="27"/>
        <v>481.78896423704646</v>
      </c>
      <c r="AO265" s="30"/>
      <c r="AP265" s="29">
        <f t="shared" si="28"/>
        <v>1.0603262542320715</v>
      </c>
      <c r="AQ265" s="31">
        <f t="shared" si="29"/>
        <v>0.8594430673590979</v>
      </c>
      <c r="AR265" s="21" t="s">
        <v>723</v>
      </c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DM265" s="16"/>
      <c r="DN265" s="16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3"/>
      <c r="FW265" s="11"/>
    </row>
    <row r="266" spans="1:179" ht="18.75">
      <c r="A266" s="1" t="s">
        <v>393</v>
      </c>
      <c r="B266" s="2" t="s">
        <v>394</v>
      </c>
      <c r="C266" s="2" t="s">
        <v>395</v>
      </c>
      <c r="D266" s="2" t="str">
        <f>HYPERLINK("http://eros.fiehnlab.ucdavis.edu:8080/binbase-compound/bin/show/203304?db=rtx5","203304")</f>
        <v>203304</v>
      </c>
      <c r="E266" s="2" t="s">
        <v>175</v>
      </c>
      <c r="F266" s="2" t="str">
        <f>HYPERLINK("http://www.genome.ad.jp/dbget-bin/www_bget?compound+n/a","n/a")</f>
        <v>n/a</v>
      </c>
      <c r="G266" s="2" t="str">
        <f>HYPERLINK("http://pubchem.ncbi.nlm.nih.gov/summary/summary.cgi?cid=892","892")</f>
        <v>892</v>
      </c>
      <c r="H266" s="7">
        <v>398</v>
      </c>
      <c r="I266" s="7">
        <v>3087</v>
      </c>
      <c r="J266" s="7">
        <v>2539</v>
      </c>
      <c r="K266" s="7">
        <v>1952</v>
      </c>
      <c r="L266" s="7">
        <v>861</v>
      </c>
      <c r="M266" s="7">
        <v>5735</v>
      </c>
      <c r="N266" s="7">
        <v>1192</v>
      </c>
      <c r="O266" s="7">
        <v>3119</v>
      </c>
      <c r="P266" s="7">
        <v>995</v>
      </c>
      <c r="Q266" s="7">
        <v>409</v>
      </c>
      <c r="R266" s="7">
        <v>1109</v>
      </c>
      <c r="S266" s="7">
        <v>2064</v>
      </c>
      <c r="T266" s="7">
        <v>1764</v>
      </c>
      <c r="U266" s="7">
        <v>3007</v>
      </c>
      <c r="V266" s="7">
        <v>4876</v>
      </c>
      <c r="W266" s="24">
        <f t="shared" si="24"/>
        <v>2207.133333333333</v>
      </c>
      <c r="X266" s="25">
        <f t="shared" si="25"/>
        <v>1563.6543674841896</v>
      </c>
      <c r="Y266" s="25"/>
      <c r="Z266" s="26"/>
      <c r="AA266" s="7">
        <v>2140</v>
      </c>
      <c r="AB266" s="7">
        <v>2435</v>
      </c>
      <c r="AC266" s="7">
        <v>391</v>
      </c>
      <c r="AD266" s="7">
        <v>2033</v>
      </c>
      <c r="AE266" s="7">
        <v>3695</v>
      </c>
      <c r="AF266" s="7">
        <v>1225</v>
      </c>
      <c r="AG266" s="7">
        <v>2569</v>
      </c>
      <c r="AH266" s="7">
        <v>1338</v>
      </c>
      <c r="AI266" s="7">
        <v>2006</v>
      </c>
      <c r="AJ266" s="7">
        <v>723</v>
      </c>
      <c r="AK266" s="7">
        <v>6595</v>
      </c>
      <c r="AL266" s="7">
        <v>2959</v>
      </c>
      <c r="AM266" s="30">
        <f t="shared" si="26"/>
        <v>2342.4166666666665</v>
      </c>
      <c r="AN266" s="30">
        <f t="shared" si="27"/>
        <v>1631.84031406448</v>
      </c>
      <c r="AO266" s="30"/>
      <c r="AP266" s="29">
        <f t="shared" si="28"/>
        <v>1.061293684115142</v>
      </c>
      <c r="AQ266" s="31">
        <f t="shared" si="29"/>
        <v>0.8283263249270593</v>
      </c>
      <c r="AR266" s="21" t="s">
        <v>393</v>
      </c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DM266" s="16"/>
      <c r="DN266" s="16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3"/>
      <c r="FW266" s="11"/>
    </row>
    <row r="267" spans="1:179" ht="18.75">
      <c r="A267" s="1" t="s">
        <v>846</v>
      </c>
      <c r="B267" s="2" t="s">
        <v>847</v>
      </c>
      <c r="C267" s="2" t="s">
        <v>245</v>
      </c>
      <c r="D267" s="2" t="str">
        <f>HYPERLINK("http://eros.fiehnlab.ucdavis.edu:8080/binbase-compound/bin/show/267805?db=rtx5","267805")</f>
        <v>267805</v>
      </c>
      <c r="E267" s="2" t="s">
        <v>44</v>
      </c>
      <c r="F267" s="2" t="s">
        <v>83</v>
      </c>
      <c r="G267" s="2" t="s">
        <v>83</v>
      </c>
      <c r="H267" s="7">
        <v>1025</v>
      </c>
      <c r="I267" s="7">
        <v>525</v>
      </c>
      <c r="J267" s="7">
        <v>727</v>
      </c>
      <c r="K267" s="7">
        <v>713</v>
      </c>
      <c r="L267" s="7">
        <v>1149</v>
      </c>
      <c r="M267" s="7">
        <v>704</v>
      </c>
      <c r="N267" s="7">
        <v>512</v>
      </c>
      <c r="O267" s="7">
        <v>617</v>
      </c>
      <c r="P267" s="7">
        <v>577</v>
      </c>
      <c r="Q267" s="7">
        <v>719</v>
      </c>
      <c r="R267" s="7">
        <v>993</v>
      </c>
      <c r="S267" s="7">
        <v>562</v>
      </c>
      <c r="T267" s="7">
        <v>635</v>
      </c>
      <c r="U267" s="7">
        <v>491</v>
      </c>
      <c r="V267" s="7">
        <v>1426</v>
      </c>
      <c r="W267" s="24">
        <f t="shared" si="24"/>
        <v>758.3333333333334</v>
      </c>
      <c r="X267" s="25">
        <f t="shared" si="25"/>
        <v>270.62379439960216</v>
      </c>
      <c r="Y267" s="25"/>
      <c r="Z267" s="26"/>
      <c r="AA267" s="7">
        <v>673</v>
      </c>
      <c r="AB267" s="7">
        <v>560</v>
      </c>
      <c r="AC267" s="7">
        <v>1041</v>
      </c>
      <c r="AD267" s="7">
        <v>759</v>
      </c>
      <c r="AE267" s="7">
        <v>916</v>
      </c>
      <c r="AF267" s="7">
        <v>672</v>
      </c>
      <c r="AG267" s="7">
        <v>881</v>
      </c>
      <c r="AH267" s="7">
        <v>955</v>
      </c>
      <c r="AI267" s="7">
        <v>1080</v>
      </c>
      <c r="AJ267" s="7">
        <v>987</v>
      </c>
      <c r="AK267" s="7">
        <v>428</v>
      </c>
      <c r="AL267" s="7">
        <v>707</v>
      </c>
      <c r="AM267" s="30">
        <f t="shared" si="26"/>
        <v>804.9166666666666</v>
      </c>
      <c r="AN267" s="30">
        <f t="shared" si="27"/>
        <v>203.16337283232448</v>
      </c>
      <c r="AO267" s="30"/>
      <c r="AP267" s="29">
        <f t="shared" si="28"/>
        <v>1.0614285714285714</v>
      </c>
      <c r="AQ267" s="31">
        <f t="shared" si="29"/>
        <v>0.6253078519908595</v>
      </c>
      <c r="AR267" s="21" t="s">
        <v>846</v>
      </c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DM267" s="16"/>
      <c r="DN267" s="16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3"/>
      <c r="FW267" s="11"/>
    </row>
    <row r="268" spans="1:179" ht="18.75">
      <c r="A268" s="1" t="s">
        <v>878</v>
      </c>
      <c r="B268" s="2" t="s">
        <v>879</v>
      </c>
      <c r="C268" s="2" t="s">
        <v>880</v>
      </c>
      <c r="D268" s="2" t="str">
        <f>HYPERLINK("http://eros.fiehnlab.ucdavis.edu:8080/binbase-compound/bin/show/235678?db=rtx5","235678")</f>
        <v>235678</v>
      </c>
      <c r="E268" s="2" t="s">
        <v>39</v>
      </c>
      <c r="F268" s="2" t="s">
        <v>83</v>
      </c>
      <c r="G268" s="2" t="s">
        <v>83</v>
      </c>
      <c r="H268" s="7">
        <v>1361</v>
      </c>
      <c r="I268" s="7">
        <v>1244</v>
      </c>
      <c r="J268" s="7">
        <v>1374</v>
      </c>
      <c r="K268" s="7">
        <v>857</v>
      </c>
      <c r="L268" s="7">
        <v>1923</v>
      </c>
      <c r="M268" s="7">
        <v>1553</v>
      </c>
      <c r="N268" s="7">
        <v>1307</v>
      </c>
      <c r="O268" s="7">
        <v>1064</v>
      </c>
      <c r="P268" s="7">
        <v>407</v>
      </c>
      <c r="Q268" s="7">
        <v>655</v>
      </c>
      <c r="R268" s="7">
        <v>1225</v>
      </c>
      <c r="S268" s="7">
        <v>1010</v>
      </c>
      <c r="T268" s="7">
        <v>65</v>
      </c>
      <c r="U268" s="7">
        <v>1951</v>
      </c>
      <c r="V268" s="7">
        <v>2387</v>
      </c>
      <c r="W268" s="24">
        <f t="shared" si="24"/>
        <v>1225.5333333333333</v>
      </c>
      <c r="X268" s="25">
        <f t="shared" si="25"/>
        <v>601.6097295312525</v>
      </c>
      <c r="Y268" s="25"/>
      <c r="Z268" s="26"/>
      <c r="AA268" s="7">
        <v>463</v>
      </c>
      <c r="AB268" s="7">
        <v>717</v>
      </c>
      <c r="AC268" s="7">
        <v>375</v>
      </c>
      <c r="AD268" s="7">
        <v>2956</v>
      </c>
      <c r="AE268" s="7">
        <v>1556</v>
      </c>
      <c r="AF268" s="7">
        <v>718</v>
      </c>
      <c r="AG268" s="7">
        <v>1382</v>
      </c>
      <c r="AH268" s="7">
        <v>420</v>
      </c>
      <c r="AI268" s="7">
        <v>1274</v>
      </c>
      <c r="AJ268" s="7">
        <v>4045</v>
      </c>
      <c r="AK268" s="7">
        <v>432</v>
      </c>
      <c r="AL268" s="7">
        <v>1405</v>
      </c>
      <c r="AM268" s="30">
        <f t="shared" si="26"/>
        <v>1311.9166666666667</v>
      </c>
      <c r="AN268" s="30">
        <f t="shared" si="27"/>
        <v>1133.066992991174</v>
      </c>
      <c r="AO268" s="30"/>
      <c r="AP268" s="29">
        <f t="shared" si="28"/>
        <v>1.0704863188815754</v>
      </c>
      <c r="AQ268" s="31">
        <f t="shared" si="29"/>
        <v>0.8011298929815853</v>
      </c>
      <c r="AR268" s="21" t="s">
        <v>878</v>
      </c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DM268" s="16"/>
      <c r="DN268" s="16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3"/>
      <c r="FW268" s="11"/>
    </row>
    <row r="269" spans="1:179" ht="18.75">
      <c r="A269" s="1" t="s">
        <v>252</v>
      </c>
      <c r="B269" s="2" t="s">
        <v>253</v>
      </c>
      <c r="C269" s="2" t="s">
        <v>254</v>
      </c>
      <c r="D269" s="2" t="str">
        <f>HYPERLINK("http://eros.fiehnlab.ucdavis.edu:8080/binbase-compound/bin/show/202121?db=rtx5","202121")</f>
        <v>202121</v>
      </c>
      <c r="E269" s="2" t="s">
        <v>588</v>
      </c>
      <c r="F269" s="2" t="str">
        <f>HYPERLINK("http://www.genome.ad.jp/dbget-bin/www_bget?compound+C00089","C00089")</f>
        <v>C00089</v>
      </c>
      <c r="G269" s="2" t="str">
        <f>HYPERLINK("http://pubchem.ncbi.nlm.nih.gov/summary/summary.cgi?cid=5988","5988")</f>
        <v>5988</v>
      </c>
      <c r="H269" s="7">
        <v>90</v>
      </c>
      <c r="I269" s="7">
        <v>129</v>
      </c>
      <c r="J269" s="7">
        <v>605</v>
      </c>
      <c r="K269" s="7">
        <v>463</v>
      </c>
      <c r="L269" s="7">
        <v>46</v>
      </c>
      <c r="M269" s="7">
        <v>254</v>
      </c>
      <c r="N269" s="7">
        <v>151</v>
      </c>
      <c r="O269" s="7">
        <v>108</v>
      </c>
      <c r="P269" s="7">
        <v>682</v>
      </c>
      <c r="Q269" s="7">
        <v>68</v>
      </c>
      <c r="R269" s="7">
        <v>177</v>
      </c>
      <c r="S269" s="7">
        <v>1167</v>
      </c>
      <c r="T269" s="7">
        <v>71</v>
      </c>
      <c r="U269" s="7">
        <v>187</v>
      </c>
      <c r="V269" s="7">
        <v>315</v>
      </c>
      <c r="W269" s="24">
        <f t="shared" si="24"/>
        <v>300.8666666666667</v>
      </c>
      <c r="X269" s="25">
        <f t="shared" si="25"/>
        <v>310.6009995997774</v>
      </c>
      <c r="Y269" s="25"/>
      <c r="Z269" s="26"/>
      <c r="AA269" s="7">
        <v>74</v>
      </c>
      <c r="AB269" s="7">
        <v>209</v>
      </c>
      <c r="AC269" s="7">
        <v>27</v>
      </c>
      <c r="AD269" s="7">
        <v>684</v>
      </c>
      <c r="AE269" s="7">
        <v>253</v>
      </c>
      <c r="AF269" s="7">
        <v>203</v>
      </c>
      <c r="AG269" s="7">
        <v>13</v>
      </c>
      <c r="AH269" s="7">
        <v>150</v>
      </c>
      <c r="AI269" s="7">
        <v>206</v>
      </c>
      <c r="AJ269" s="7">
        <v>1801</v>
      </c>
      <c r="AK269" s="7">
        <v>104</v>
      </c>
      <c r="AL269" s="7">
        <v>141</v>
      </c>
      <c r="AM269" s="30">
        <f t="shared" si="26"/>
        <v>322.0833333333333</v>
      </c>
      <c r="AN269" s="30">
        <f t="shared" si="27"/>
        <v>497.0376715800292</v>
      </c>
      <c r="AO269" s="30"/>
      <c r="AP269" s="29">
        <f t="shared" si="28"/>
        <v>1.0705185021050299</v>
      </c>
      <c r="AQ269" s="31">
        <f t="shared" si="29"/>
        <v>0.8930659398912884</v>
      </c>
      <c r="AR269" s="21" t="s">
        <v>252</v>
      </c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DM269" s="16"/>
      <c r="DN269" s="16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3"/>
      <c r="FW269" s="11"/>
    </row>
    <row r="270" spans="1:179" ht="18.75">
      <c r="A270" s="1" t="s">
        <v>986</v>
      </c>
      <c r="B270" s="2" t="s">
        <v>987</v>
      </c>
      <c r="C270" s="2" t="s">
        <v>900</v>
      </c>
      <c r="D270" s="2" t="str">
        <f>HYPERLINK("http://eros.fiehnlab.ucdavis.edu:8080/binbase-compound/bin/show/213960?db=rtx5","213960")</f>
        <v>213960</v>
      </c>
      <c r="E270" s="2" t="s">
        <v>128</v>
      </c>
      <c r="F270" s="2" t="s">
        <v>83</v>
      </c>
      <c r="G270" s="2" t="s">
        <v>83</v>
      </c>
      <c r="H270" s="7">
        <v>1253</v>
      </c>
      <c r="I270" s="7">
        <v>1636</v>
      </c>
      <c r="J270" s="7">
        <v>2695</v>
      </c>
      <c r="K270" s="7">
        <v>1249</v>
      </c>
      <c r="L270" s="7">
        <v>2202</v>
      </c>
      <c r="M270" s="7">
        <v>1195</v>
      </c>
      <c r="N270" s="7">
        <v>1487</v>
      </c>
      <c r="O270" s="7">
        <v>1667</v>
      </c>
      <c r="P270" s="7">
        <v>540</v>
      </c>
      <c r="Q270" s="7">
        <v>1642</v>
      </c>
      <c r="R270" s="7">
        <v>1572</v>
      </c>
      <c r="S270" s="7">
        <v>2508</v>
      </c>
      <c r="T270" s="7">
        <v>2115</v>
      </c>
      <c r="U270" s="7">
        <v>2335</v>
      </c>
      <c r="V270" s="7">
        <v>2952</v>
      </c>
      <c r="W270" s="24">
        <f t="shared" si="24"/>
        <v>1803.2</v>
      </c>
      <c r="X270" s="25">
        <f t="shared" si="25"/>
        <v>652.0424175509705</v>
      </c>
      <c r="Y270" s="25"/>
      <c r="Z270" s="26"/>
      <c r="AA270" s="7">
        <v>1765</v>
      </c>
      <c r="AB270" s="7">
        <v>2054</v>
      </c>
      <c r="AC270" s="7">
        <v>1805</v>
      </c>
      <c r="AD270" s="7">
        <v>2056</v>
      </c>
      <c r="AE270" s="7">
        <v>2396</v>
      </c>
      <c r="AF270" s="7">
        <v>1731</v>
      </c>
      <c r="AG270" s="7">
        <v>1734</v>
      </c>
      <c r="AH270" s="7">
        <v>2156</v>
      </c>
      <c r="AI270" s="7">
        <v>1738</v>
      </c>
      <c r="AJ270" s="7">
        <v>2387</v>
      </c>
      <c r="AK270" s="7">
        <v>2022</v>
      </c>
      <c r="AL270" s="7">
        <v>1331</v>
      </c>
      <c r="AM270" s="30">
        <f t="shared" si="26"/>
        <v>1931.25</v>
      </c>
      <c r="AN270" s="30">
        <f t="shared" si="27"/>
        <v>306.49191743754915</v>
      </c>
      <c r="AO270" s="30"/>
      <c r="AP270" s="29">
        <f t="shared" si="28"/>
        <v>1.07101264418811</v>
      </c>
      <c r="AQ270" s="31">
        <f t="shared" si="29"/>
        <v>0.5373333921205712</v>
      </c>
      <c r="AR270" s="21" t="s">
        <v>986</v>
      </c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DM270" s="16"/>
      <c r="DN270" s="16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3"/>
      <c r="FW270" s="11"/>
    </row>
    <row r="271" spans="1:179" ht="18.75">
      <c r="A271" s="1" t="s">
        <v>998</v>
      </c>
      <c r="B271" s="2" t="s">
        <v>999</v>
      </c>
      <c r="C271" s="2" t="s">
        <v>472</v>
      </c>
      <c r="D271" s="2" t="str">
        <f>HYPERLINK("http://eros.fiehnlab.ucdavis.edu:8080/binbase-compound/bin/show/211972?db=rtx5","211972")</f>
        <v>211972</v>
      </c>
      <c r="E271" s="2" t="s">
        <v>35</v>
      </c>
      <c r="F271" s="2" t="s">
        <v>83</v>
      </c>
      <c r="G271" s="2" t="s">
        <v>83</v>
      </c>
      <c r="H271" s="7">
        <v>43835</v>
      </c>
      <c r="I271" s="7">
        <v>29204</v>
      </c>
      <c r="J271" s="7">
        <v>38252</v>
      </c>
      <c r="K271" s="7">
        <v>27344</v>
      </c>
      <c r="L271" s="7">
        <v>27159</v>
      </c>
      <c r="M271" s="7">
        <v>32211</v>
      </c>
      <c r="N271" s="7">
        <v>28359</v>
      </c>
      <c r="O271" s="7">
        <v>19900</v>
      </c>
      <c r="P271" s="7">
        <v>21657</v>
      </c>
      <c r="Q271" s="7">
        <v>27104</v>
      </c>
      <c r="R271" s="7">
        <v>31504</v>
      </c>
      <c r="S271" s="7">
        <v>30451</v>
      </c>
      <c r="T271" s="7">
        <v>25108</v>
      </c>
      <c r="U271" s="7">
        <v>26932</v>
      </c>
      <c r="V271" s="7">
        <v>38618</v>
      </c>
      <c r="W271" s="24">
        <f t="shared" si="24"/>
        <v>29842.533333333333</v>
      </c>
      <c r="X271" s="25">
        <f t="shared" si="25"/>
        <v>6395.0512213593365</v>
      </c>
      <c r="Y271" s="25"/>
      <c r="Z271" s="26"/>
      <c r="AA271" s="7">
        <v>30552</v>
      </c>
      <c r="AB271" s="7">
        <v>33415</v>
      </c>
      <c r="AC271" s="7">
        <v>24047</v>
      </c>
      <c r="AD271" s="7">
        <v>44536</v>
      </c>
      <c r="AE271" s="7">
        <v>39336</v>
      </c>
      <c r="AF271" s="7">
        <v>37845</v>
      </c>
      <c r="AG271" s="7">
        <v>27106</v>
      </c>
      <c r="AH271" s="7">
        <v>16875</v>
      </c>
      <c r="AI271" s="7">
        <v>39382</v>
      </c>
      <c r="AJ271" s="7">
        <v>39667</v>
      </c>
      <c r="AK271" s="7">
        <v>24864</v>
      </c>
      <c r="AL271" s="7">
        <v>26413</v>
      </c>
      <c r="AM271" s="30">
        <f t="shared" si="26"/>
        <v>32003.166666666668</v>
      </c>
      <c r="AN271" s="30">
        <f t="shared" si="27"/>
        <v>8315.440040106476</v>
      </c>
      <c r="AO271" s="30"/>
      <c r="AP271" s="29">
        <f t="shared" si="28"/>
        <v>1.0724011366327255</v>
      </c>
      <c r="AQ271" s="31">
        <f t="shared" si="29"/>
        <v>0.45204897370079133</v>
      </c>
      <c r="AR271" s="21" t="s">
        <v>998</v>
      </c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DM271" s="16"/>
      <c r="DN271" s="16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3"/>
      <c r="FW271" s="11"/>
    </row>
    <row r="272" spans="1:179" ht="18.75">
      <c r="A272" s="1" t="s">
        <v>677</v>
      </c>
      <c r="B272" s="2" t="s">
        <v>678</v>
      </c>
      <c r="C272" s="2" t="s">
        <v>260</v>
      </c>
      <c r="D272" s="2" t="str">
        <f>HYPERLINK("http://eros.fiehnlab.ucdavis.edu:8080/binbase-compound/bin/show/409031?db=rtx5","409031")</f>
        <v>409031</v>
      </c>
      <c r="E272" s="2" t="s">
        <v>647</v>
      </c>
      <c r="F272" s="2" t="s">
        <v>83</v>
      </c>
      <c r="G272" s="2" t="s">
        <v>83</v>
      </c>
      <c r="H272" s="7">
        <v>244</v>
      </c>
      <c r="I272" s="7">
        <v>233</v>
      </c>
      <c r="J272" s="7">
        <v>64208</v>
      </c>
      <c r="K272" s="7">
        <v>22929</v>
      </c>
      <c r="L272" s="7">
        <v>16565</v>
      </c>
      <c r="M272" s="7">
        <v>18232</v>
      </c>
      <c r="N272" s="7">
        <v>207</v>
      </c>
      <c r="O272" s="7">
        <v>16787</v>
      </c>
      <c r="P272" s="7">
        <v>189</v>
      </c>
      <c r="Q272" s="7">
        <v>20141</v>
      </c>
      <c r="R272" s="7">
        <v>199</v>
      </c>
      <c r="S272" s="7">
        <v>18132</v>
      </c>
      <c r="T272" s="7">
        <v>19772</v>
      </c>
      <c r="U272" s="7">
        <v>27850</v>
      </c>
      <c r="V272" s="7">
        <v>31323</v>
      </c>
      <c r="W272" s="24">
        <f t="shared" si="24"/>
        <v>17134.066666666666</v>
      </c>
      <c r="X272" s="25">
        <f t="shared" si="25"/>
        <v>16936.26124396437</v>
      </c>
      <c r="Y272" s="25"/>
      <c r="Z272" s="26"/>
      <c r="AA272" s="7">
        <v>23990</v>
      </c>
      <c r="AB272" s="7">
        <v>23459</v>
      </c>
      <c r="AC272" s="7">
        <v>20787</v>
      </c>
      <c r="AD272" s="7">
        <v>20100</v>
      </c>
      <c r="AE272" s="7">
        <v>24259</v>
      </c>
      <c r="AF272" s="7">
        <v>387</v>
      </c>
      <c r="AG272" s="7">
        <v>226</v>
      </c>
      <c r="AH272" s="7">
        <v>17547</v>
      </c>
      <c r="AI272" s="7">
        <v>22420</v>
      </c>
      <c r="AJ272" s="7">
        <v>22009</v>
      </c>
      <c r="AK272" s="7">
        <v>24284</v>
      </c>
      <c r="AL272" s="7">
        <v>21999</v>
      </c>
      <c r="AM272" s="30">
        <f t="shared" si="26"/>
        <v>18455.583333333332</v>
      </c>
      <c r="AN272" s="30">
        <f t="shared" si="27"/>
        <v>8696.758794969466</v>
      </c>
      <c r="AO272" s="30"/>
      <c r="AP272" s="29">
        <f t="shared" si="28"/>
        <v>1.0771280217578236</v>
      </c>
      <c r="AQ272" s="31">
        <f t="shared" si="29"/>
        <v>0.8084288389617376</v>
      </c>
      <c r="AR272" s="21" t="s">
        <v>677</v>
      </c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DM272" s="16"/>
      <c r="DN272" s="16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3"/>
      <c r="FW272" s="11"/>
    </row>
    <row r="273" spans="1:179" ht="18.75">
      <c r="A273" s="1" t="s">
        <v>345</v>
      </c>
      <c r="B273" s="2" t="s">
        <v>344</v>
      </c>
      <c r="C273" s="2" t="s">
        <v>343</v>
      </c>
      <c r="D273" s="2" t="str">
        <f>HYPERLINK("http://eros.fiehnlab.ucdavis.edu:8080/binbase-compound/bin/show/218901?db=rtx5","218901")</f>
        <v>218901</v>
      </c>
      <c r="E273" s="2" t="s">
        <v>624</v>
      </c>
      <c r="F273" s="2" t="str">
        <f>HYPERLINK("http://www.genome.ad.jp/dbget-bin/www_bget?compound+C02989","C02989")</f>
        <v>C02989</v>
      </c>
      <c r="G273" s="2" t="str">
        <f>HYPERLINK("http://pubchem.ncbi.nlm.nih.gov/summary/summary.cgi?cid=158980","158980")</f>
        <v>158980</v>
      </c>
      <c r="H273" s="7">
        <v>5567</v>
      </c>
      <c r="I273" s="7">
        <v>4038</v>
      </c>
      <c r="J273" s="7">
        <v>10213</v>
      </c>
      <c r="K273" s="7">
        <v>6395</v>
      </c>
      <c r="L273" s="7">
        <v>5749</v>
      </c>
      <c r="M273" s="7">
        <v>5592</v>
      </c>
      <c r="N273" s="7">
        <v>11377</v>
      </c>
      <c r="O273" s="7">
        <v>4288</v>
      </c>
      <c r="P273" s="7">
        <v>3998</v>
      </c>
      <c r="Q273" s="7">
        <v>3249</v>
      </c>
      <c r="R273" s="7">
        <v>5321</v>
      </c>
      <c r="S273" s="7">
        <v>3810</v>
      </c>
      <c r="T273" s="7">
        <v>2668</v>
      </c>
      <c r="U273" s="7">
        <v>5156</v>
      </c>
      <c r="V273" s="7">
        <v>5815</v>
      </c>
      <c r="W273" s="24">
        <f t="shared" si="24"/>
        <v>5549.066666666667</v>
      </c>
      <c r="X273" s="25">
        <f t="shared" si="25"/>
        <v>2385.172694157046</v>
      </c>
      <c r="Y273" s="25"/>
      <c r="Z273" s="26"/>
      <c r="AA273" s="7">
        <v>13682</v>
      </c>
      <c r="AB273" s="7">
        <v>7966</v>
      </c>
      <c r="AC273" s="7">
        <v>3392</v>
      </c>
      <c r="AD273" s="7">
        <v>6270</v>
      </c>
      <c r="AE273" s="7">
        <v>7054</v>
      </c>
      <c r="AF273" s="7">
        <v>7134</v>
      </c>
      <c r="AG273" s="7">
        <v>3553</v>
      </c>
      <c r="AH273" s="7">
        <v>3027</v>
      </c>
      <c r="AI273" s="7">
        <v>5360</v>
      </c>
      <c r="AJ273" s="7">
        <v>4405</v>
      </c>
      <c r="AK273" s="7">
        <v>5373</v>
      </c>
      <c r="AL273" s="7">
        <v>4833</v>
      </c>
      <c r="AM273" s="30">
        <f t="shared" si="26"/>
        <v>6004.083333333333</v>
      </c>
      <c r="AN273" s="30">
        <f t="shared" si="27"/>
        <v>2887.035234798789</v>
      </c>
      <c r="AO273" s="30"/>
      <c r="AP273" s="29">
        <f t="shared" si="28"/>
        <v>1.081998774568696</v>
      </c>
      <c r="AQ273" s="31">
        <f t="shared" si="29"/>
        <v>0.657456541007339</v>
      </c>
      <c r="AR273" s="21" t="s">
        <v>345</v>
      </c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DM273" s="16"/>
      <c r="DN273" s="16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3"/>
      <c r="FW273" s="11"/>
    </row>
    <row r="274" spans="1:179" ht="18.75">
      <c r="A274" s="1" t="s">
        <v>679</v>
      </c>
      <c r="B274" s="2" t="s">
        <v>680</v>
      </c>
      <c r="C274" s="2" t="s">
        <v>681</v>
      </c>
      <c r="D274" s="2" t="str">
        <f>HYPERLINK("http://eros.fiehnlab.ucdavis.edu:8080/binbase-compound/bin/show/408731?db=rtx5","408731")</f>
        <v>408731</v>
      </c>
      <c r="E274" s="2" t="s">
        <v>34</v>
      </c>
      <c r="F274" s="2" t="s">
        <v>83</v>
      </c>
      <c r="G274" s="2" t="s">
        <v>83</v>
      </c>
      <c r="H274" s="7">
        <v>1359</v>
      </c>
      <c r="I274" s="7">
        <v>2131</v>
      </c>
      <c r="J274" s="7">
        <v>127442</v>
      </c>
      <c r="K274" s="7">
        <v>43437</v>
      </c>
      <c r="L274" s="7">
        <v>32030</v>
      </c>
      <c r="M274" s="7">
        <v>35614</v>
      </c>
      <c r="N274" s="7">
        <v>1651</v>
      </c>
      <c r="O274" s="7">
        <v>32964</v>
      </c>
      <c r="P274" s="7">
        <v>1570</v>
      </c>
      <c r="Q274" s="7">
        <v>38842</v>
      </c>
      <c r="R274" s="7">
        <v>1675</v>
      </c>
      <c r="S274" s="7">
        <v>35604</v>
      </c>
      <c r="T274" s="7">
        <v>38454</v>
      </c>
      <c r="U274" s="7">
        <v>52922</v>
      </c>
      <c r="V274" s="7">
        <v>70448</v>
      </c>
      <c r="W274" s="24">
        <f t="shared" si="24"/>
        <v>34409.53333333333</v>
      </c>
      <c r="X274" s="25">
        <f t="shared" si="25"/>
        <v>33575.0745278753</v>
      </c>
      <c r="Y274" s="25"/>
      <c r="Z274" s="26"/>
      <c r="AA274" s="7">
        <v>47622</v>
      </c>
      <c r="AB274" s="7">
        <v>44885</v>
      </c>
      <c r="AC274" s="7">
        <v>41543</v>
      </c>
      <c r="AD274" s="7">
        <v>45989</v>
      </c>
      <c r="AE274" s="7">
        <v>46688</v>
      </c>
      <c r="AF274" s="7">
        <v>2013</v>
      </c>
      <c r="AG274" s="7">
        <v>1585</v>
      </c>
      <c r="AH274" s="7">
        <v>34890</v>
      </c>
      <c r="AI274" s="7">
        <v>44397</v>
      </c>
      <c r="AJ274" s="7">
        <v>48947</v>
      </c>
      <c r="AK274" s="7">
        <v>47972</v>
      </c>
      <c r="AL274" s="7">
        <v>42333</v>
      </c>
      <c r="AM274" s="30">
        <f t="shared" si="26"/>
        <v>37405.333333333336</v>
      </c>
      <c r="AN274" s="30">
        <f t="shared" si="27"/>
        <v>17049.029475621363</v>
      </c>
      <c r="AO274" s="30"/>
      <c r="AP274" s="29">
        <f t="shared" si="28"/>
        <v>1.087063081355361</v>
      </c>
      <c r="AQ274" s="31">
        <f t="shared" si="29"/>
        <v>0.7812239822714818</v>
      </c>
      <c r="AR274" s="21" t="s">
        <v>679</v>
      </c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DM274" s="16"/>
      <c r="DN274" s="16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3"/>
      <c r="FW274" s="11"/>
    </row>
    <row r="275" spans="1:179" ht="18.75">
      <c r="A275" s="1" t="s">
        <v>671</v>
      </c>
      <c r="B275" s="2" t="s">
        <v>672</v>
      </c>
      <c r="C275" s="2" t="s">
        <v>437</v>
      </c>
      <c r="D275" s="2" t="str">
        <f>HYPERLINK("http://eros.fiehnlab.ucdavis.edu:8080/binbase-compound/bin/show/415158?db=rtx5","415158")</f>
        <v>415158</v>
      </c>
      <c r="E275" s="2" t="s">
        <v>76</v>
      </c>
      <c r="F275" s="2" t="s">
        <v>83</v>
      </c>
      <c r="G275" s="2" t="s">
        <v>83</v>
      </c>
      <c r="H275" s="7">
        <v>121</v>
      </c>
      <c r="I275" s="7">
        <v>122</v>
      </c>
      <c r="J275" s="7">
        <v>21933</v>
      </c>
      <c r="K275" s="7">
        <v>8646</v>
      </c>
      <c r="L275" s="7">
        <v>5901</v>
      </c>
      <c r="M275" s="7">
        <v>6715</v>
      </c>
      <c r="N275" s="7">
        <v>131</v>
      </c>
      <c r="O275" s="7">
        <v>6063</v>
      </c>
      <c r="P275" s="7">
        <v>126</v>
      </c>
      <c r="Q275" s="7">
        <v>7212</v>
      </c>
      <c r="R275" s="7">
        <v>163</v>
      </c>
      <c r="S275" s="7">
        <v>6134</v>
      </c>
      <c r="T275" s="7">
        <v>7334</v>
      </c>
      <c r="U275" s="7">
        <v>9466</v>
      </c>
      <c r="V275" s="7">
        <v>11032</v>
      </c>
      <c r="W275" s="24">
        <f t="shared" si="24"/>
        <v>6073.266666666666</v>
      </c>
      <c r="X275" s="25">
        <f t="shared" si="25"/>
        <v>5818.934898448422</v>
      </c>
      <c r="Y275" s="25"/>
      <c r="Z275" s="26"/>
      <c r="AA275" s="7">
        <v>8582</v>
      </c>
      <c r="AB275" s="7">
        <v>8294</v>
      </c>
      <c r="AC275" s="7">
        <v>7493</v>
      </c>
      <c r="AD275" s="7">
        <v>7410</v>
      </c>
      <c r="AE275" s="7">
        <v>8323</v>
      </c>
      <c r="AF275" s="7">
        <v>174</v>
      </c>
      <c r="AG275" s="7">
        <v>148</v>
      </c>
      <c r="AH275" s="7">
        <v>6158</v>
      </c>
      <c r="AI275" s="7">
        <v>8192</v>
      </c>
      <c r="AJ275" s="7">
        <v>7959</v>
      </c>
      <c r="AK275" s="7">
        <v>8430</v>
      </c>
      <c r="AL275" s="7">
        <v>8368</v>
      </c>
      <c r="AM275" s="30">
        <f t="shared" si="26"/>
        <v>6627.583333333333</v>
      </c>
      <c r="AN275" s="30">
        <f t="shared" si="27"/>
        <v>3092.282489104811</v>
      </c>
      <c r="AO275" s="30"/>
      <c r="AP275" s="29">
        <f t="shared" si="28"/>
        <v>1.0912715836617306</v>
      </c>
      <c r="AQ275" s="31">
        <f t="shared" si="29"/>
        <v>0.768660802943359</v>
      </c>
      <c r="AR275" s="21" t="s">
        <v>671</v>
      </c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DM275" s="16"/>
      <c r="DN275" s="16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3"/>
      <c r="FW275" s="11"/>
    </row>
    <row r="276" spans="1:179" ht="18.75">
      <c r="A276" s="1" t="s">
        <v>236</v>
      </c>
      <c r="B276" s="2" t="s">
        <v>237</v>
      </c>
      <c r="C276" s="2" t="s">
        <v>238</v>
      </c>
      <c r="D276" s="2" t="str">
        <f>HYPERLINK("http://eros.fiehnlab.ucdavis.edu:8080/binbase-compound/bin/show/199211?db=rtx5","199211")</f>
        <v>199211</v>
      </c>
      <c r="E276" s="2" t="s">
        <v>1131</v>
      </c>
      <c r="F276" s="2" t="str">
        <f>HYPERLINK("http://www.genome.ad.jp/dbget-bin/www_bget?compound+C02477","C02477")</f>
        <v>C02477</v>
      </c>
      <c r="G276" s="2" t="str">
        <f>HYPERLINK("http://pubchem.ncbi.nlm.nih.gov/summary/summary.cgi?cid=14985","14985")</f>
        <v>14985</v>
      </c>
      <c r="H276" s="7">
        <v>10868</v>
      </c>
      <c r="I276" s="7">
        <v>13269</v>
      </c>
      <c r="J276" s="7">
        <v>7453</v>
      </c>
      <c r="K276" s="7">
        <v>8697</v>
      </c>
      <c r="L276" s="7">
        <v>6587</v>
      </c>
      <c r="M276" s="7">
        <v>8521</v>
      </c>
      <c r="N276" s="7">
        <v>6946</v>
      </c>
      <c r="O276" s="7">
        <v>8598</v>
      </c>
      <c r="P276" s="7">
        <v>13370</v>
      </c>
      <c r="Q276" s="7">
        <v>5964</v>
      </c>
      <c r="R276" s="7">
        <v>13521</v>
      </c>
      <c r="S276" s="7">
        <v>14583</v>
      </c>
      <c r="T276" s="7">
        <v>12245</v>
      </c>
      <c r="U276" s="7">
        <v>14461</v>
      </c>
      <c r="V276" s="7">
        <v>8102</v>
      </c>
      <c r="W276" s="24">
        <f t="shared" si="24"/>
        <v>10212.333333333334</v>
      </c>
      <c r="X276" s="25">
        <f t="shared" si="25"/>
        <v>3089.932122848254</v>
      </c>
      <c r="Y276" s="25"/>
      <c r="Z276" s="26"/>
      <c r="AA276" s="7">
        <v>11155</v>
      </c>
      <c r="AB276" s="7">
        <v>5237</v>
      </c>
      <c r="AC276" s="7">
        <v>5864</v>
      </c>
      <c r="AD276" s="7">
        <v>3725</v>
      </c>
      <c r="AE276" s="7">
        <v>15118</v>
      </c>
      <c r="AF276" s="7">
        <v>12331</v>
      </c>
      <c r="AG276" s="7">
        <v>12901</v>
      </c>
      <c r="AH276" s="7">
        <v>19350</v>
      </c>
      <c r="AI276" s="7">
        <v>12176</v>
      </c>
      <c r="AJ276" s="7">
        <v>6996</v>
      </c>
      <c r="AK276" s="7">
        <v>13866</v>
      </c>
      <c r="AL276" s="7">
        <v>15246</v>
      </c>
      <c r="AM276" s="30">
        <f t="shared" si="26"/>
        <v>11163.75</v>
      </c>
      <c r="AN276" s="30">
        <f t="shared" si="27"/>
        <v>4747.648185728861</v>
      </c>
      <c r="AO276" s="30"/>
      <c r="AP276" s="29">
        <f t="shared" si="28"/>
        <v>1.0931634951202793</v>
      </c>
      <c r="AQ276" s="31">
        <f t="shared" si="29"/>
        <v>0.5352087076122438</v>
      </c>
      <c r="AR276" s="21" t="s">
        <v>236</v>
      </c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DM276" s="16"/>
      <c r="DN276" s="16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3"/>
      <c r="FW276" s="11"/>
    </row>
    <row r="277" spans="1:179" ht="18.75">
      <c r="A277" s="1" t="s">
        <v>685</v>
      </c>
      <c r="B277" s="2" t="s">
        <v>686</v>
      </c>
      <c r="C277" s="2" t="s">
        <v>687</v>
      </c>
      <c r="D277" s="2" t="str">
        <f>HYPERLINK("http://eros.fiehnlab.ucdavis.edu:8080/binbase-compound/bin/show/408611?db=rtx5","408611")</f>
        <v>408611</v>
      </c>
      <c r="E277" s="2" t="s">
        <v>69</v>
      </c>
      <c r="F277" s="2" t="s">
        <v>83</v>
      </c>
      <c r="G277" s="2" t="s">
        <v>83</v>
      </c>
      <c r="H277" s="7">
        <v>2150</v>
      </c>
      <c r="I277" s="7">
        <v>4660</v>
      </c>
      <c r="J277" s="7">
        <v>1808</v>
      </c>
      <c r="K277" s="7">
        <v>3554</v>
      </c>
      <c r="L277" s="7">
        <v>2889</v>
      </c>
      <c r="M277" s="7">
        <v>5395</v>
      </c>
      <c r="N277" s="7">
        <v>4614</v>
      </c>
      <c r="O277" s="7">
        <v>6572</v>
      </c>
      <c r="P277" s="7">
        <v>5407</v>
      </c>
      <c r="Q277" s="7">
        <v>4559</v>
      </c>
      <c r="R277" s="7">
        <v>2772</v>
      </c>
      <c r="S277" s="7">
        <v>3947</v>
      </c>
      <c r="T277" s="7">
        <v>3049</v>
      </c>
      <c r="U277" s="7">
        <v>3033</v>
      </c>
      <c r="V277" s="7">
        <v>4122</v>
      </c>
      <c r="W277" s="24">
        <f t="shared" si="24"/>
        <v>3902.0666666666666</v>
      </c>
      <c r="X277" s="25">
        <f t="shared" si="25"/>
        <v>1324.1665554856258</v>
      </c>
      <c r="Y277" s="25"/>
      <c r="Z277" s="26"/>
      <c r="AA277" s="7">
        <v>3434</v>
      </c>
      <c r="AB277" s="7">
        <v>3227</v>
      </c>
      <c r="AC277" s="7">
        <v>3611</v>
      </c>
      <c r="AD277" s="7">
        <v>5556</v>
      </c>
      <c r="AE277" s="7">
        <v>3905</v>
      </c>
      <c r="AF277" s="7">
        <v>3721</v>
      </c>
      <c r="AG277" s="7">
        <v>4480</v>
      </c>
      <c r="AH277" s="7">
        <v>3225</v>
      </c>
      <c r="AI277" s="7">
        <v>6180</v>
      </c>
      <c r="AJ277" s="7">
        <v>5692</v>
      </c>
      <c r="AK277" s="7">
        <v>2595</v>
      </c>
      <c r="AL277" s="7">
        <v>5620</v>
      </c>
      <c r="AM277" s="30">
        <f t="shared" si="26"/>
        <v>4270.5</v>
      </c>
      <c r="AN277" s="30">
        <f t="shared" si="27"/>
        <v>1196.3535126678598</v>
      </c>
      <c r="AO277" s="30"/>
      <c r="AP277" s="29">
        <f t="shared" si="28"/>
        <v>1.0944200509131914</v>
      </c>
      <c r="AQ277" s="31">
        <f t="shared" si="29"/>
        <v>0.46064931135151643</v>
      </c>
      <c r="AR277" s="21" t="s">
        <v>685</v>
      </c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DM277" s="16"/>
      <c r="DN277" s="16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3"/>
      <c r="FW277" s="11"/>
    </row>
    <row r="278" spans="1:179" ht="18.75">
      <c r="A278" s="1" t="s">
        <v>290</v>
      </c>
      <c r="B278" s="2" t="s">
        <v>291</v>
      </c>
      <c r="C278" s="2" t="s">
        <v>292</v>
      </c>
      <c r="D278" s="2" t="str">
        <f>HYPERLINK("http://eros.fiehnlab.ucdavis.edu:8080/binbase-compound/bin/show/199611?db=rtx5","199611")</f>
        <v>199611</v>
      </c>
      <c r="E278" s="2" t="s">
        <v>1114</v>
      </c>
      <c r="F278" s="2" t="str">
        <f>HYPERLINK("http://www.genome.ad.jp/dbget-bin/www_bget?compound+C00148","C00148")</f>
        <v>C00148</v>
      </c>
      <c r="G278" s="2" t="str">
        <f>HYPERLINK("http://pubchem.ncbi.nlm.nih.gov/summary/summary.cgi?cid=145742","145742")</f>
        <v>145742</v>
      </c>
      <c r="H278" s="7">
        <v>37467</v>
      </c>
      <c r="I278" s="7">
        <v>44746</v>
      </c>
      <c r="J278" s="7">
        <v>3197</v>
      </c>
      <c r="K278" s="7">
        <v>10539</v>
      </c>
      <c r="L278" s="7">
        <v>7057</v>
      </c>
      <c r="M278" s="7">
        <v>31529</v>
      </c>
      <c r="N278" s="7">
        <v>7412</v>
      </c>
      <c r="O278" s="7">
        <v>109154</v>
      </c>
      <c r="P278" s="7">
        <v>92397</v>
      </c>
      <c r="Q278" s="7">
        <v>79759</v>
      </c>
      <c r="R278" s="7">
        <v>8681</v>
      </c>
      <c r="S278" s="7">
        <v>41718</v>
      </c>
      <c r="T278" s="7">
        <v>56510</v>
      </c>
      <c r="U278" s="7">
        <v>5171</v>
      </c>
      <c r="V278" s="7">
        <v>10237</v>
      </c>
      <c r="W278" s="24">
        <f t="shared" si="24"/>
        <v>36371.6</v>
      </c>
      <c r="X278" s="25">
        <f t="shared" si="25"/>
        <v>34575.647573317925</v>
      </c>
      <c r="Y278" s="25"/>
      <c r="Z278" s="26"/>
      <c r="AA278" s="7">
        <v>62431</v>
      </c>
      <c r="AB278" s="7">
        <v>19139</v>
      </c>
      <c r="AC278" s="7">
        <v>101509</v>
      </c>
      <c r="AD278" s="7">
        <v>16133</v>
      </c>
      <c r="AE278" s="7">
        <v>33797</v>
      </c>
      <c r="AF278" s="7">
        <v>43905</v>
      </c>
      <c r="AG278" s="7">
        <v>51914</v>
      </c>
      <c r="AH278" s="7">
        <v>53226</v>
      </c>
      <c r="AI278" s="7">
        <v>21418</v>
      </c>
      <c r="AJ278" s="7">
        <v>10705</v>
      </c>
      <c r="AK278" s="7">
        <v>31479</v>
      </c>
      <c r="AL278" s="7">
        <v>32744</v>
      </c>
      <c r="AM278" s="30">
        <f t="shared" si="26"/>
        <v>39866.666666666664</v>
      </c>
      <c r="AN278" s="30">
        <f t="shared" si="27"/>
        <v>25209.035087853048</v>
      </c>
      <c r="AO278" s="30"/>
      <c r="AP278" s="29">
        <f t="shared" si="28"/>
        <v>1.0960932889030635</v>
      </c>
      <c r="AQ278" s="31">
        <f t="shared" si="29"/>
        <v>0.7719965927594599</v>
      </c>
      <c r="AR278" s="21" t="s">
        <v>290</v>
      </c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DM278" s="16"/>
      <c r="DN278" s="16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3"/>
      <c r="FW278" s="11"/>
    </row>
    <row r="279" spans="1:179" ht="18.75">
      <c r="A279" s="1" t="s">
        <v>208</v>
      </c>
      <c r="B279" s="2" t="s">
        <v>209</v>
      </c>
      <c r="C279" s="2" t="s">
        <v>210</v>
      </c>
      <c r="D279" s="2" t="str">
        <f>HYPERLINK("http://eros.fiehnlab.ucdavis.edu:8080/binbase-compound/bin/show/199605?db=rtx5","199605")</f>
        <v>199605</v>
      </c>
      <c r="E279" s="2" t="s">
        <v>1099</v>
      </c>
      <c r="F279" s="2" t="str">
        <f>HYPERLINK("http://www.genome.ad.jp/dbget-bin/www_bget?compound+C00183","C00183")</f>
        <v>C00183</v>
      </c>
      <c r="G279" s="2" t="str">
        <f>HYPERLINK("http://pubchem.ncbi.nlm.nih.gov/summary/summary.cgi?cid=6287","6287")</f>
        <v>6287</v>
      </c>
      <c r="H279" s="7">
        <v>190987</v>
      </c>
      <c r="I279" s="7">
        <v>188713</v>
      </c>
      <c r="J279" s="7">
        <v>181349</v>
      </c>
      <c r="K279" s="7">
        <v>225648</v>
      </c>
      <c r="L279" s="7">
        <v>179272</v>
      </c>
      <c r="M279" s="7">
        <v>276031</v>
      </c>
      <c r="N279" s="7">
        <v>299638</v>
      </c>
      <c r="O279" s="7">
        <v>291297</v>
      </c>
      <c r="P279" s="7">
        <v>206659</v>
      </c>
      <c r="Q279" s="7">
        <v>261152</v>
      </c>
      <c r="R279" s="7">
        <v>236851</v>
      </c>
      <c r="S279" s="7">
        <v>163121</v>
      </c>
      <c r="T279" s="7">
        <v>189482</v>
      </c>
      <c r="U279" s="7">
        <v>183873</v>
      </c>
      <c r="V279" s="7">
        <v>343166</v>
      </c>
      <c r="W279" s="24">
        <f t="shared" si="24"/>
        <v>227815.93333333332</v>
      </c>
      <c r="X279" s="25">
        <f t="shared" si="25"/>
        <v>54412.99245383361</v>
      </c>
      <c r="Y279" s="25"/>
      <c r="Z279" s="26"/>
      <c r="AA279" s="7">
        <v>231595</v>
      </c>
      <c r="AB279" s="7">
        <v>293664</v>
      </c>
      <c r="AC279" s="7">
        <v>254700</v>
      </c>
      <c r="AD279" s="7">
        <v>410389</v>
      </c>
      <c r="AE279" s="7">
        <v>263643</v>
      </c>
      <c r="AF279" s="7">
        <v>182275</v>
      </c>
      <c r="AG279" s="7">
        <v>182095</v>
      </c>
      <c r="AH279" s="7">
        <v>186238</v>
      </c>
      <c r="AI279" s="7">
        <v>244680</v>
      </c>
      <c r="AJ279" s="7">
        <v>370447</v>
      </c>
      <c r="AK279" s="7">
        <v>168588</v>
      </c>
      <c r="AL279" s="7">
        <v>209358</v>
      </c>
      <c r="AM279" s="30">
        <f t="shared" si="26"/>
        <v>249806</v>
      </c>
      <c r="AN279" s="30">
        <f t="shared" si="27"/>
        <v>76429.71546698075</v>
      </c>
      <c r="AO279" s="30"/>
      <c r="AP279" s="29">
        <f t="shared" si="28"/>
        <v>1.0965255868846167</v>
      </c>
      <c r="AQ279" s="31">
        <f t="shared" si="29"/>
        <v>0.3908810161972319</v>
      </c>
      <c r="AR279" s="21" t="s">
        <v>208</v>
      </c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DM279" s="16"/>
      <c r="DN279" s="16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3"/>
      <c r="FW279" s="11"/>
    </row>
    <row r="280" spans="1:179" ht="18.75">
      <c r="A280" s="1" t="s">
        <v>917</v>
      </c>
      <c r="B280" s="2" t="s">
        <v>918</v>
      </c>
      <c r="C280" s="2" t="s">
        <v>280</v>
      </c>
      <c r="D280" s="2" t="str">
        <f>HYPERLINK("http://eros.fiehnlab.ucdavis.edu:8080/binbase-compound/bin/show/226876?db=rtx5","226876")</f>
        <v>226876</v>
      </c>
      <c r="E280" s="2" t="s">
        <v>643</v>
      </c>
      <c r="F280" s="2" t="s">
        <v>83</v>
      </c>
      <c r="G280" s="2" t="s">
        <v>83</v>
      </c>
      <c r="H280" s="7">
        <v>1104</v>
      </c>
      <c r="I280" s="7">
        <v>22183</v>
      </c>
      <c r="J280" s="7">
        <v>21728</v>
      </c>
      <c r="K280" s="7">
        <v>13634</v>
      </c>
      <c r="L280" s="7">
        <v>20104</v>
      </c>
      <c r="M280" s="7">
        <v>18806</v>
      </c>
      <c r="N280" s="7">
        <v>15488</v>
      </c>
      <c r="O280" s="7">
        <v>14490</v>
      </c>
      <c r="P280" s="7">
        <v>18637</v>
      </c>
      <c r="Q280" s="7">
        <v>39492</v>
      </c>
      <c r="R280" s="7">
        <v>21138</v>
      </c>
      <c r="S280" s="7">
        <v>19060</v>
      </c>
      <c r="T280" s="7">
        <v>27109</v>
      </c>
      <c r="U280" s="7">
        <v>10868</v>
      </c>
      <c r="V280" s="7">
        <v>18071</v>
      </c>
      <c r="W280" s="24">
        <f t="shared" si="24"/>
        <v>18794.133333333335</v>
      </c>
      <c r="X280" s="25">
        <f t="shared" si="25"/>
        <v>8269.159776514409</v>
      </c>
      <c r="Y280" s="25"/>
      <c r="Z280" s="26"/>
      <c r="AA280" s="7">
        <v>12443</v>
      </c>
      <c r="AB280" s="7">
        <v>13536</v>
      </c>
      <c r="AC280" s="7">
        <v>23688</v>
      </c>
      <c r="AD280" s="7">
        <v>21832</v>
      </c>
      <c r="AE280" s="7">
        <v>21596</v>
      </c>
      <c r="AF280" s="7">
        <v>580</v>
      </c>
      <c r="AG280" s="7">
        <v>24863</v>
      </c>
      <c r="AH280" s="7">
        <v>19869</v>
      </c>
      <c r="AI280" s="7">
        <v>28731</v>
      </c>
      <c r="AJ280" s="7">
        <v>27626</v>
      </c>
      <c r="AK280" s="7">
        <v>20098</v>
      </c>
      <c r="AL280" s="7">
        <v>32853</v>
      </c>
      <c r="AM280" s="30">
        <f t="shared" si="26"/>
        <v>20642.916666666668</v>
      </c>
      <c r="AN280" s="30">
        <f t="shared" si="27"/>
        <v>8601.448117596072</v>
      </c>
      <c r="AO280" s="30"/>
      <c r="AP280" s="29">
        <f t="shared" si="28"/>
        <v>1.098370236102046</v>
      </c>
      <c r="AQ280" s="31">
        <f t="shared" si="29"/>
        <v>0.5756822068326746</v>
      </c>
      <c r="AR280" s="21" t="s">
        <v>917</v>
      </c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DM280" s="16"/>
      <c r="DN280" s="16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3"/>
      <c r="FW280" s="11"/>
    </row>
    <row r="281" spans="1:179" ht="18.75">
      <c r="A281" s="1" t="s">
        <v>791</v>
      </c>
      <c r="B281" s="2" t="s">
        <v>792</v>
      </c>
      <c r="C281" s="2" t="s">
        <v>793</v>
      </c>
      <c r="D281" s="2" t="str">
        <f>HYPERLINK("http://eros.fiehnlab.ucdavis.edu:8080/binbase-compound/bin/show/288822?db=rtx5","288822")</f>
        <v>288822</v>
      </c>
      <c r="E281" s="2" t="s">
        <v>119</v>
      </c>
      <c r="F281" s="2" t="s">
        <v>83</v>
      </c>
      <c r="G281" s="2" t="s">
        <v>83</v>
      </c>
      <c r="H281" s="7">
        <v>935</v>
      </c>
      <c r="I281" s="7">
        <v>1880</v>
      </c>
      <c r="J281" s="7">
        <v>7240</v>
      </c>
      <c r="K281" s="7">
        <v>4350</v>
      </c>
      <c r="L281" s="7">
        <v>2492</v>
      </c>
      <c r="M281" s="7">
        <v>1908</v>
      </c>
      <c r="N281" s="7">
        <v>1668</v>
      </c>
      <c r="O281" s="7">
        <v>2938</v>
      </c>
      <c r="P281" s="7">
        <v>1728</v>
      </c>
      <c r="Q281" s="7">
        <v>3595</v>
      </c>
      <c r="R281" s="7">
        <v>1712</v>
      </c>
      <c r="S281" s="7">
        <v>3650</v>
      </c>
      <c r="T281" s="7">
        <v>3630</v>
      </c>
      <c r="U281" s="7">
        <v>4551</v>
      </c>
      <c r="V281" s="7">
        <v>3806</v>
      </c>
      <c r="W281" s="24">
        <f t="shared" si="24"/>
        <v>3072.2</v>
      </c>
      <c r="X281" s="25">
        <f t="shared" si="25"/>
        <v>1603.0042865997407</v>
      </c>
      <c r="Y281" s="25"/>
      <c r="Z281" s="26"/>
      <c r="AA281" s="7">
        <v>4429</v>
      </c>
      <c r="AB281" s="7">
        <v>4121</v>
      </c>
      <c r="AC281" s="7">
        <v>4662</v>
      </c>
      <c r="AD281" s="7">
        <v>2403</v>
      </c>
      <c r="AE281" s="7">
        <v>3961</v>
      </c>
      <c r="AF281" s="7">
        <v>1943</v>
      </c>
      <c r="AG281" s="7">
        <v>1616</v>
      </c>
      <c r="AH281" s="7">
        <v>4573</v>
      </c>
      <c r="AI281" s="7">
        <v>2449</v>
      </c>
      <c r="AJ281" s="7">
        <v>2402</v>
      </c>
      <c r="AK281" s="7">
        <v>4975</v>
      </c>
      <c r="AL281" s="7">
        <v>2994</v>
      </c>
      <c r="AM281" s="30">
        <f t="shared" si="26"/>
        <v>3377.3333333333335</v>
      </c>
      <c r="AN281" s="30">
        <f t="shared" si="27"/>
        <v>1194.730500864931</v>
      </c>
      <c r="AO281" s="30"/>
      <c r="AP281" s="29">
        <f t="shared" si="28"/>
        <v>1.0993207907471303</v>
      </c>
      <c r="AQ281" s="31">
        <f t="shared" si="29"/>
        <v>0.5885611086929148</v>
      </c>
      <c r="AR281" s="21" t="s">
        <v>791</v>
      </c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DM281" s="16"/>
      <c r="DN281" s="16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3"/>
      <c r="FW281" s="11"/>
    </row>
    <row r="282" spans="1:179" ht="18.75">
      <c r="A282" s="1" t="s">
        <v>498</v>
      </c>
      <c r="B282" s="2" t="s">
        <v>499</v>
      </c>
      <c r="C282" s="2" t="s">
        <v>310</v>
      </c>
      <c r="D282" s="2" t="str">
        <f>HYPERLINK("http://eros.fiehnlab.ucdavis.edu:8080/binbase-compound/bin/show/384892?db=rtx5","384892")</f>
        <v>384892</v>
      </c>
      <c r="E282" s="2" t="s">
        <v>1094</v>
      </c>
      <c r="F282" s="2" t="str">
        <f>HYPERLINK("http://www.genome.ad.jp/dbget-bin/www_bget?compound+C00187","C00187")</f>
        <v>C00187</v>
      </c>
      <c r="G282" s="2" t="str">
        <f>HYPERLINK("http://pubchem.ncbi.nlm.nih.gov/summary/summary.cgi?cid=5997","5997")</f>
        <v>5997</v>
      </c>
      <c r="H282" s="7">
        <v>454525</v>
      </c>
      <c r="I282" s="7">
        <v>659893</v>
      </c>
      <c r="J282" s="7">
        <v>253935</v>
      </c>
      <c r="K282" s="7">
        <v>316152</v>
      </c>
      <c r="L282" s="7">
        <v>355061</v>
      </c>
      <c r="M282" s="7">
        <v>202216</v>
      </c>
      <c r="N282" s="7">
        <v>294551</v>
      </c>
      <c r="O282" s="7">
        <v>373870</v>
      </c>
      <c r="P282" s="7">
        <v>245137</v>
      </c>
      <c r="Q282" s="7">
        <v>161286</v>
      </c>
      <c r="R282" s="7">
        <v>287606</v>
      </c>
      <c r="S282" s="7">
        <v>476902</v>
      </c>
      <c r="T282" s="7">
        <v>488856</v>
      </c>
      <c r="U282" s="7">
        <v>610686</v>
      </c>
      <c r="V282" s="7">
        <v>145211</v>
      </c>
      <c r="W282" s="24">
        <f t="shared" si="24"/>
        <v>355059.13333333336</v>
      </c>
      <c r="X282" s="25">
        <f t="shared" si="25"/>
        <v>155435.46067367672</v>
      </c>
      <c r="Y282" s="25"/>
      <c r="Z282" s="26"/>
      <c r="AA282" s="7">
        <v>325624</v>
      </c>
      <c r="AB282" s="7">
        <v>214153</v>
      </c>
      <c r="AC282" s="7">
        <v>186615</v>
      </c>
      <c r="AD282" s="7">
        <v>170233</v>
      </c>
      <c r="AE282" s="7">
        <v>562962</v>
      </c>
      <c r="AF282" s="7">
        <v>408946</v>
      </c>
      <c r="AG282" s="7">
        <v>837561</v>
      </c>
      <c r="AH282" s="7">
        <v>551125</v>
      </c>
      <c r="AI282" s="7">
        <v>338071</v>
      </c>
      <c r="AJ282" s="7">
        <v>304459</v>
      </c>
      <c r="AK282" s="7">
        <v>421938</v>
      </c>
      <c r="AL282" s="7">
        <v>370726</v>
      </c>
      <c r="AM282" s="30">
        <f t="shared" si="26"/>
        <v>391034.4166666667</v>
      </c>
      <c r="AN282" s="30">
        <f t="shared" si="27"/>
        <v>188936.95784402816</v>
      </c>
      <c r="AO282" s="30"/>
      <c r="AP282" s="29">
        <f t="shared" si="28"/>
        <v>1.101321948813409</v>
      </c>
      <c r="AQ282" s="31">
        <f t="shared" si="29"/>
        <v>0.5917721007621565</v>
      </c>
      <c r="AR282" s="21" t="s">
        <v>498</v>
      </c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DM282" s="16"/>
      <c r="DN282" s="16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3"/>
      <c r="FW282" s="11"/>
    </row>
    <row r="283" spans="1:179" ht="18.75">
      <c r="A283" s="1" t="s">
        <v>441</v>
      </c>
      <c r="B283" s="2" t="s">
        <v>442</v>
      </c>
      <c r="C283" s="2" t="s">
        <v>443</v>
      </c>
      <c r="D283" s="2" t="str">
        <f>HYPERLINK("http://eros.fiehnlab.ucdavis.edu:8080/binbase-compound/bin/show/200890?db=rtx5","200890")</f>
        <v>200890</v>
      </c>
      <c r="E283" s="2" t="s">
        <v>569</v>
      </c>
      <c r="F283" s="2" t="str">
        <f>HYPERLINK("http://www.genome.ad.jp/dbget-bin/www_bget?compound+C00064","C00064")</f>
        <v>C00064</v>
      </c>
      <c r="G283" s="2" t="str">
        <f>HYPERLINK("http://pubchem.ncbi.nlm.nih.gov/summary/summary.cgi?cid=5961","5961")</f>
        <v>5961</v>
      </c>
      <c r="H283" s="7">
        <v>1060</v>
      </c>
      <c r="I283" s="7">
        <v>1100</v>
      </c>
      <c r="J283" s="7">
        <v>567</v>
      </c>
      <c r="K283" s="7">
        <v>519</v>
      </c>
      <c r="L283" s="7">
        <v>589</v>
      </c>
      <c r="M283" s="7">
        <v>685</v>
      </c>
      <c r="N283" s="7">
        <v>1380</v>
      </c>
      <c r="O283" s="7">
        <v>546</v>
      </c>
      <c r="P283" s="7">
        <v>1020</v>
      </c>
      <c r="Q283" s="7">
        <v>720</v>
      </c>
      <c r="R283" s="7">
        <v>1027</v>
      </c>
      <c r="S283" s="7">
        <v>1374</v>
      </c>
      <c r="T283" s="7">
        <v>1276</v>
      </c>
      <c r="U283" s="7">
        <v>631</v>
      </c>
      <c r="V283" s="7">
        <v>1285</v>
      </c>
      <c r="W283" s="24">
        <f t="shared" si="24"/>
        <v>918.6</v>
      </c>
      <c r="X283" s="25">
        <f t="shared" si="25"/>
        <v>323.4512107169885</v>
      </c>
      <c r="Y283" s="25"/>
      <c r="Z283" s="26"/>
      <c r="AA283" s="7">
        <v>1259</v>
      </c>
      <c r="AB283" s="7">
        <v>500</v>
      </c>
      <c r="AC283" s="7">
        <v>675</v>
      </c>
      <c r="AD283" s="7">
        <v>430</v>
      </c>
      <c r="AE283" s="7">
        <v>453</v>
      </c>
      <c r="AF283" s="7">
        <v>1406</v>
      </c>
      <c r="AG283" s="7">
        <v>1886</v>
      </c>
      <c r="AH283" s="7">
        <v>1097</v>
      </c>
      <c r="AI283" s="7">
        <v>1146</v>
      </c>
      <c r="AJ283" s="7">
        <v>664</v>
      </c>
      <c r="AK283" s="7">
        <v>1721</v>
      </c>
      <c r="AL283" s="7">
        <v>909</v>
      </c>
      <c r="AM283" s="30">
        <f t="shared" si="26"/>
        <v>1012.1666666666666</v>
      </c>
      <c r="AN283" s="30">
        <f t="shared" si="27"/>
        <v>492.3610710062527</v>
      </c>
      <c r="AO283" s="30"/>
      <c r="AP283" s="29">
        <f t="shared" si="28"/>
        <v>1.1018578997024457</v>
      </c>
      <c r="AQ283" s="31">
        <f t="shared" si="29"/>
        <v>0.5576552716099537</v>
      </c>
      <c r="AR283" s="21" t="s">
        <v>441</v>
      </c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DM283" s="16"/>
      <c r="DN283" s="16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3"/>
      <c r="FW283" s="11"/>
    </row>
    <row r="284" spans="1:179" ht="18.75">
      <c r="A284" s="1" t="s">
        <v>106</v>
      </c>
      <c r="B284" s="2" t="s">
        <v>848</v>
      </c>
      <c r="C284" s="2" t="s">
        <v>335</v>
      </c>
      <c r="D284" s="2" t="str">
        <f>HYPERLINK("http://eros.fiehnlab.ucdavis.edu:8080/binbase-compound/bin/show/348921?db=rtx5","348921")</f>
        <v>348921</v>
      </c>
      <c r="E284" s="2" t="s">
        <v>619</v>
      </c>
      <c r="F284" s="2" t="str">
        <f>HYPERLINK("http://www.genome.ad.jp/dbget-bin/www_bget?compound+n/a","n/a")</f>
        <v>n/a</v>
      </c>
      <c r="G284" s="2" t="str">
        <f>HYPERLINK("http://pubchem.ncbi.nlm.nih.gov/summary/summary.cgi?cid=76720","76720")</f>
        <v>76720</v>
      </c>
      <c r="H284" s="7">
        <v>132</v>
      </c>
      <c r="I284" s="7">
        <v>138</v>
      </c>
      <c r="J284" s="7">
        <v>403</v>
      </c>
      <c r="K284" s="7">
        <v>129</v>
      </c>
      <c r="L284" s="7">
        <v>104</v>
      </c>
      <c r="M284" s="7">
        <v>104</v>
      </c>
      <c r="N284" s="7">
        <v>110</v>
      </c>
      <c r="O284" s="7">
        <v>78</v>
      </c>
      <c r="P284" s="7">
        <v>148</v>
      </c>
      <c r="Q284" s="7">
        <v>113</v>
      </c>
      <c r="R284" s="7">
        <v>121</v>
      </c>
      <c r="S284" s="7">
        <v>129</v>
      </c>
      <c r="T284" s="7">
        <v>137</v>
      </c>
      <c r="U284" s="7">
        <v>150</v>
      </c>
      <c r="V284" s="7">
        <v>296</v>
      </c>
      <c r="W284" s="24">
        <f t="shared" si="24"/>
        <v>152.8</v>
      </c>
      <c r="X284" s="25">
        <f t="shared" si="25"/>
        <v>84.49699910140512</v>
      </c>
      <c r="Y284" s="25"/>
      <c r="Z284" s="26"/>
      <c r="AA284" s="7">
        <v>137</v>
      </c>
      <c r="AB284" s="7">
        <v>155</v>
      </c>
      <c r="AC284" s="7">
        <v>126</v>
      </c>
      <c r="AD284" s="7">
        <v>176</v>
      </c>
      <c r="AE284" s="7">
        <v>170</v>
      </c>
      <c r="AF284" s="7">
        <v>253</v>
      </c>
      <c r="AG284" s="7">
        <v>168</v>
      </c>
      <c r="AH284" s="7">
        <v>116</v>
      </c>
      <c r="AI284" s="7">
        <v>168</v>
      </c>
      <c r="AJ284" s="7">
        <v>205</v>
      </c>
      <c r="AK284" s="7">
        <v>127</v>
      </c>
      <c r="AL284" s="7">
        <v>220</v>
      </c>
      <c r="AM284" s="30">
        <f t="shared" si="26"/>
        <v>168.41666666666666</v>
      </c>
      <c r="AN284" s="30">
        <f t="shared" si="27"/>
        <v>41.168077512322675</v>
      </c>
      <c r="AO284" s="30"/>
      <c r="AP284" s="29">
        <f t="shared" si="28"/>
        <v>1.1022033158813263</v>
      </c>
      <c r="AQ284" s="31">
        <f t="shared" si="29"/>
        <v>0.5635093485290339</v>
      </c>
      <c r="AR284" s="21" t="s">
        <v>106</v>
      </c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DM284" s="16"/>
      <c r="DN284" s="16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3"/>
      <c r="FW284" s="11"/>
    </row>
    <row r="285" spans="1:179" ht="18.75">
      <c r="A285" s="1" t="s">
        <v>829</v>
      </c>
      <c r="B285" s="2" t="s">
        <v>830</v>
      </c>
      <c r="C285" s="2" t="s">
        <v>494</v>
      </c>
      <c r="D285" s="2" t="str">
        <f>HYPERLINK("http://eros.fiehnlab.ucdavis.edu:8080/binbase-compound/bin/show/270066?db=rtx5","270066")</f>
        <v>270066</v>
      </c>
      <c r="E285" s="2" t="s">
        <v>36</v>
      </c>
      <c r="F285" s="2" t="s">
        <v>83</v>
      </c>
      <c r="G285" s="2" t="s">
        <v>83</v>
      </c>
      <c r="H285" s="7">
        <v>127</v>
      </c>
      <c r="I285" s="7">
        <v>231</v>
      </c>
      <c r="J285" s="7">
        <v>107591</v>
      </c>
      <c r="K285" s="7">
        <v>38114</v>
      </c>
      <c r="L285" s="7">
        <v>28289</v>
      </c>
      <c r="M285" s="7">
        <v>27994</v>
      </c>
      <c r="N285" s="7">
        <v>118</v>
      </c>
      <c r="O285" s="7">
        <v>27236</v>
      </c>
      <c r="P285" s="7">
        <v>180</v>
      </c>
      <c r="Q285" s="7">
        <v>31651</v>
      </c>
      <c r="R285" s="7">
        <v>112</v>
      </c>
      <c r="S285" s="7">
        <v>32867</v>
      </c>
      <c r="T285" s="7">
        <v>34574</v>
      </c>
      <c r="U285" s="7">
        <v>45347</v>
      </c>
      <c r="V285" s="7">
        <v>58081</v>
      </c>
      <c r="W285" s="24">
        <f t="shared" si="24"/>
        <v>28834.133333333335</v>
      </c>
      <c r="X285" s="25">
        <f t="shared" si="25"/>
        <v>28772.99223196907</v>
      </c>
      <c r="Y285" s="25"/>
      <c r="Z285" s="26"/>
      <c r="AA285" s="7">
        <v>44675</v>
      </c>
      <c r="AB285" s="7">
        <v>38827</v>
      </c>
      <c r="AC285" s="7">
        <v>34798</v>
      </c>
      <c r="AD285" s="7">
        <v>37419</v>
      </c>
      <c r="AE285" s="7">
        <v>40250</v>
      </c>
      <c r="AF285" s="7">
        <v>166</v>
      </c>
      <c r="AG285" s="7">
        <v>182</v>
      </c>
      <c r="AH285" s="7">
        <v>32237</v>
      </c>
      <c r="AI285" s="7">
        <v>35037</v>
      </c>
      <c r="AJ285" s="7">
        <v>39879</v>
      </c>
      <c r="AK285" s="7">
        <v>44357</v>
      </c>
      <c r="AL285" s="7">
        <v>34221</v>
      </c>
      <c r="AM285" s="30">
        <f t="shared" si="26"/>
        <v>31837.333333333332</v>
      </c>
      <c r="AN285" s="30">
        <f t="shared" si="27"/>
        <v>15276.178849516793</v>
      </c>
      <c r="AO285" s="30"/>
      <c r="AP285" s="29">
        <f t="shared" si="28"/>
        <v>1.1041543356022492</v>
      </c>
      <c r="AQ285" s="31">
        <f t="shared" si="29"/>
        <v>0.7472498808484811</v>
      </c>
      <c r="AR285" s="21" t="s">
        <v>829</v>
      </c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DM285" s="16"/>
      <c r="DN285" s="16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3"/>
      <c r="FW285" s="11"/>
    </row>
    <row r="286" spans="1:179" ht="18.75">
      <c r="A286" s="1" t="s">
        <v>537</v>
      </c>
      <c r="B286" s="2" t="s">
        <v>538</v>
      </c>
      <c r="C286" s="2" t="s">
        <v>475</v>
      </c>
      <c r="D286" s="2" t="str">
        <f>HYPERLINK("http://eros.fiehnlab.ucdavis.edu:8080/binbase-compound/bin/show/214086?db=rtx5","214086")</f>
        <v>214086</v>
      </c>
      <c r="E286" s="2" t="s">
        <v>1095</v>
      </c>
      <c r="F286" s="2" t="str">
        <f>HYPERLINK("http://www.genome.ad.jp/dbget-bin/www_bget?compound+C00041","C00041")</f>
        <v>C00041</v>
      </c>
      <c r="G286" s="2" t="str">
        <f>HYPERLINK("http://pubchem.ncbi.nlm.nih.gov/summary/summary.cgi?cid=5950","5950")</f>
        <v>5950</v>
      </c>
      <c r="H286" s="7">
        <v>405062</v>
      </c>
      <c r="I286" s="7">
        <v>276862</v>
      </c>
      <c r="J286" s="7">
        <v>171300</v>
      </c>
      <c r="K286" s="7">
        <v>222967</v>
      </c>
      <c r="L286" s="7">
        <v>187675</v>
      </c>
      <c r="M286" s="7">
        <v>401213</v>
      </c>
      <c r="N286" s="7">
        <v>169159</v>
      </c>
      <c r="O286" s="7">
        <v>370962</v>
      </c>
      <c r="P286" s="7">
        <v>268316</v>
      </c>
      <c r="Q286" s="7">
        <v>396125</v>
      </c>
      <c r="R286" s="7">
        <v>230416</v>
      </c>
      <c r="S286" s="7">
        <v>408546</v>
      </c>
      <c r="T286" s="7">
        <v>298920</v>
      </c>
      <c r="U286" s="7">
        <v>221716</v>
      </c>
      <c r="V286" s="7">
        <v>329305</v>
      </c>
      <c r="W286" s="24">
        <f t="shared" si="24"/>
        <v>290569.6</v>
      </c>
      <c r="X286" s="25">
        <f t="shared" si="25"/>
        <v>89286.6650448351</v>
      </c>
      <c r="Y286" s="25"/>
      <c r="Z286" s="26"/>
      <c r="AA286" s="7">
        <v>435715</v>
      </c>
      <c r="AB286" s="7">
        <v>331166</v>
      </c>
      <c r="AC286" s="7">
        <v>456704</v>
      </c>
      <c r="AD286" s="7">
        <v>285408</v>
      </c>
      <c r="AE286" s="7">
        <v>329208</v>
      </c>
      <c r="AF286" s="7">
        <v>261022</v>
      </c>
      <c r="AG286" s="7">
        <v>256302</v>
      </c>
      <c r="AH286" s="7">
        <v>342453</v>
      </c>
      <c r="AI286" s="7">
        <v>299485</v>
      </c>
      <c r="AJ286" s="7">
        <v>239474</v>
      </c>
      <c r="AK286" s="7">
        <v>216481</v>
      </c>
      <c r="AL286" s="7">
        <v>398529</v>
      </c>
      <c r="AM286" s="30">
        <f t="shared" si="26"/>
        <v>320995.5833333333</v>
      </c>
      <c r="AN286" s="30">
        <f t="shared" si="27"/>
        <v>77048.0310001004</v>
      </c>
      <c r="AO286" s="30"/>
      <c r="AP286" s="29">
        <f t="shared" si="28"/>
        <v>1.104711516047561</v>
      </c>
      <c r="AQ286" s="31">
        <f t="shared" si="29"/>
        <v>0.35929673981738597</v>
      </c>
      <c r="AR286" s="21" t="s">
        <v>537</v>
      </c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DM286" s="16"/>
      <c r="DN286" s="16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3"/>
      <c r="FW286" s="11"/>
    </row>
    <row r="287" spans="1:179" ht="18.75">
      <c r="A287" s="1" t="s">
        <v>952</v>
      </c>
      <c r="B287" s="2" t="s">
        <v>953</v>
      </c>
      <c r="C287" s="2" t="s">
        <v>673</v>
      </c>
      <c r="D287" s="2" t="str">
        <f>HYPERLINK("http://eros.fiehnlab.ucdavis.edu:8080/binbase-compound/bin/show/223973?db=rtx5","223973")</f>
        <v>223973</v>
      </c>
      <c r="E287" s="2" t="s">
        <v>147</v>
      </c>
      <c r="F287" s="2" t="s">
        <v>83</v>
      </c>
      <c r="G287" s="2" t="s">
        <v>83</v>
      </c>
      <c r="H287" s="7">
        <v>1025</v>
      </c>
      <c r="I287" s="7">
        <v>1144</v>
      </c>
      <c r="J287" s="7">
        <v>400</v>
      </c>
      <c r="K287" s="7">
        <v>205</v>
      </c>
      <c r="L287" s="7">
        <v>767</v>
      </c>
      <c r="M287" s="7">
        <v>1064</v>
      </c>
      <c r="N287" s="7">
        <v>793</v>
      </c>
      <c r="O287" s="7">
        <v>939</v>
      </c>
      <c r="P287" s="7">
        <v>1343</v>
      </c>
      <c r="Q287" s="7">
        <v>583</v>
      </c>
      <c r="R287" s="7">
        <v>1195</v>
      </c>
      <c r="S287" s="7">
        <v>1196</v>
      </c>
      <c r="T287" s="7">
        <v>2459</v>
      </c>
      <c r="U287" s="7">
        <v>982</v>
      </c>
      <c r="V287" s="7">
        <v>1180</v>
      </c>
      <c r="W287" s="24">
        <f t="shared" si="24"/>
        <v>1018.3333333333334</v>
      </c>
      <c r="X287" s="25">
        <f t="shared" si="25"/>
        <v>510.0898613643156</v>
      </c>
      <c r="Y287" s="25"/>
      <c r="Z287" s="26"/>
      <c r="AA287" s="7">
        <v>985</v>
      </c>
      <c r="AB287" s="7">
        <v>389</v>
      </c>
      <c r="AC287" s="7">
        <v>387</v>
      </c>
      <c r="AD287" s="7">
        <v>261</v>
      </c>
      <c r="AE287" s="7">
        <v>965</v>
      </c>
      <c r="AF287" s="7">
        <v>1139</v>
      </c>
      <c r="AG287" s="7">
        <v>1373</v>
      </c>
      <c r="AH287" s="7">
        <v>1415</v>
      </c>
      <c r="AI287" s="7">
        <v>1574</v>
      </c>
      <c r="AJ287" s="7">
        <v>1019</v>
      </c>
      <c r="AK287" s="7">
        <v>1317</v>
      </c>
      <c r="AL287" s="7">
        <v>2678</v>
      </c>
      <c r="AM287" s="30">
        <f t="shared" si="26"/>
        <v>1125.1666666666667</v>
      </c>
      <c r="AN287" s="30">
        <f t="shared" si="27"/>
        <v>652.641184075534</v>
      </c>
      <c r="AO287" s="30"/>
      <c r="AP287" s="29">
        <f t="shared" si="28"/>
        <v>1.104909983633388</v>
      </c>
      <c r="AQ287" s="31">
        <f t="shared" si="29"/>
        <v>0.6368558949578107</v>
      </c>
      <c r="AR287" s="21" t="s">
        <v>952</v>
      </c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DM287" s="16"/>
      <c r="DN287" s="16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3"/>
      <c r="FW287" s="11"/>
    </row>
    <row r="288" spans="1:179" ht="18.75">
      <c r="A288" s="1" t="s">
        <v>933</v>
      </c>
      <c r="B288" s="2" t="s">
        <v>934</v>
      </c>
      <c r="C288" s="2" t="s">
        <v>218</v>
      </c>
      <c r="D288" s="2" t="str">
        <f>HYPERLINK("http://eros.fiehnlab.ucdavis.edu:8080/binbase-compound/bin/show/226843?db=rtx5","226843")</f>
        <v>226843</v>
      </c>
      <c r="E288" s="2" t="s">
        <v>652</v>
      </c>
      <c r="F288" s="2" t="s">
        <v>83</v>
      </c>
      <c r="G288" s="2" t="s">
        <v>83</v>
      </c>
      <c r="H288" s="7">
        <v>7160</v>
      </c>
      <c r="I288" s="7">
        <v>6776</v>
      </c>
      <c r="J288" s="7">
        <v>10738</v>
      </c>
      <c r="K288" s="7">
        <v>18245</v>
      </c>
      <c r="L288" s="7">
        <v>14290</v>
      </c>
      <c r="M288" s="7">
        <v>22725</v>
      </c>
      <c r="N288" s="7">
        <v>21794</v>
      </c>
      <c r="O288" s="7">
        <v>9299</v>
      </c>
      <c r="P288" s="7">
        <v>3827</v>
      </c>
      <c r="Q288" s="7">
        <v>14714</v>
      </c>
      <c r="R288" s="7">
        <v>17879</v>
      </c>
      <c r="S288" s="7">
        <v>6952</v>
      </c>
      <c r="T288" s="7">
        <v>6972</v>
      </c>
      <c r="U288" s="7">
        <v>23544</v>
      </c>
      <c r="V288" s="7">
        <v>29862</v>
      </c>
      <c r="W288" s="24">
        <f t="shared" si="24"/>
        <v>14318.466666666667</v>
      </c>
      <c r="X288" s="25">
        <f t="shared" si="25"/>
        <v>7773.448975902033</v>
      </c>
      <c r="Y288" s="25"/>
      <c r="Z288" s="26"/>
      <c r="AA288" s="7">
        <v>8397</v>
      </c>
      <c r="AB288" s="7">
        <v>17748</v>
      </c>
      <c r="AC288" s="7">
        <v>9537</v>
      </c>
      <c r="AD288" s="7">
        <v>39797</v>
      </c>
      <c r="AE288" s="7">
        <v>17067</v>
      </c>
      <c r="AF288" s="7">
        <v>3924</v>
      </c>
      <c r="AG288" s="7">
        <v>3645</v>
      </c>
      <c r="AH288" s="7">
        <v>2539</v>
      </c>
      <c r="AI288" s="7">
        <v>23209</v>
      </c>
      <c r="AJ288" s="7">
        <v>42811</v>
      </c>
      <c r="AK288" s="7">
        <v>6117</v>
      </c>
      <c r="AL288" s="7">
        <v>15603</v>
      </c>
      <c r="AM288" s="30">
        <f t="shared" si="26"/>
        <v>15866.166666666666</v>
      </c>
      <c r="AN288" s="30">
        <f t="shared" si="27"/>
        <v>13545.067084859096</v>
      </c>
      <c r="AO288" s="30"/>
      <c r="AP288" s="29">
        <f t="shared" si="28"/>
        <v>1.1080911829478948</v>
      </c>
      <c r="AQ288" s="31">
        <f t="shared" si="29"/>
        <v>0.7120359745820339</v>
      </c>
      <c r="AR288" s="21" t="s">
        <v>933</v>
      </c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DM288" s="16"/>
      <c r="DN288" s="16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3"/>
      <c r="FW288" s="11"/>
    </row>
    <row r="289" spans="1:179" ht="18.75">
      <c r="A289" s="1" t="s">
        <v>248</v>
      </c>
      <c r="B289" s="2" t="s">
        <v>249</v>
      </c>
      <c r="C289" s="2" t="s">
        <v>250</v>
      </c>
      <c r="D289" s="2" t="str">
        <f>HYPERLINK("http://eros.fiehnlab.ucdavis.edu:8080/binbase-compound/bin/show/234595?db=rtx5","234595")</f>
        <v>234595</v>
      </c>
      <c r="E289" s="2" t="s">
        <v>169</v>
      </c>
      <c r="F289" s="2" t="str">
        <f>HYPERLINK("http://www.genome.ad.jp/dbget-bin/www_bget?compound+C00245","C00245")</f>
        <v>C00245</v>
      </c>
      <c r="G289" s="2" t="str">
        <f>HYPERLINK("http://pubchem.ncbi.nlm.nih.gov/summary/summary.cgi?cid=1123","1123")</f>
        <v>1123</v>
      </c>
      <c r="H289" s="7">
        <v>964</v>
      </c>
      <c r="I289" s="7">
        <v>1769</v>
      </c>
      <c r="J289" s="7">
        <v>3000</v>
      </c>
      <c r="K289" s="7">
        <v>1947</v>
      </c>
      <c r="L289" s="7">
        <v>502</v>
      </c>
      <c r="M289" s="7">
        <v>1929</v>
      </c>
      <c r="N289" s="7">
        <v>2632</v>
      </c>
      <c r="O289" s="7">
        <v>1413</v>
      </c>
      <c r="P289" s="7">
        <v>2306</v>
      </c>
      <c r="Q289" s="7">
        <v>2212</v>
      </c>
      <c r="R289" s="7">
        <v>1688</v>
      </c>
      <c r="S289" s="7">
        <v>3078</v>
      </c>
      <c r="T289" s="7">
        <v>1723</v>
      </c>
      <c r="U289" s="7">
        <v>1120</v>
      </c>
      <c r="V289" s="7">
        <v>2000</v>
      </c>
      <c r="W289" s="24">
        <f t="shared" si="24"/>
        <v>1885.5333333333333</v>
      </c>
      <c r="X289" s="25">
        <f t="shared" si="25"/>
        <v>715.8961284059767</v>
      </c>
      <c r="Y289" s="25"/>
      <c r="Z289" s="27"/>
      <c r="AA289" s="7">
        <v>2051</v>
      </c>
      <c r="AB289" s="7">
        <v>1822</v>
      </c>
      <c r="AC289" s="7">
        <v>1624</v>
      </c>
      <c r="AD289" s="7">
        <v>1603</v>
      </c>
      <c r="AE289" s="7">
        <v>1205</v>
      </c>
      <c r="AF289" s="7">
        <v>3900</v>
      </c>
      <c r="AG289" s="7">
        <v>893</v>
      </c>
      <c r="AH289" s="7">
        <v>2797</v>
      </c>
      <c r="AI289" s="7">
        <v>2866</v>
      </c>
      <c r="AJ289" s="7">
        <v>2334</v>
      </c>
      <c r="AK289" s="7">
        <v>1172</v>
      </c>
      <c r="AL289" s="7">
        <v>2812</v>
      </c>
      <c r="AM289" s="30">
        <f t="shared" si="26"/>
        <v>2089.9166666666665</v>
      </c>
      <c r="AN289" s="30">
        <f t="shared" si="27"/>
        <v>881.3921280187004</v>
      </c>
      <c r="AO289" s="30"/>
      <c r="AP289" s="29">
        <f t="shared" si="28"/>
        <v>1.1083955025987342</v>
      </c>
      <c r="AQ289" s="31">
        <f t="shared" si="29"/>
        <v>0.5118352301554842</v>
      </c>
      <c r="AR289" s="21" t="s">
        <v>248</v>
      </c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DM289" s="16"/>
      <c r="DN289" s="16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3"/>
      <c r="FW289" s="11"/>
    </row>
    <row r="290" spans="1:179" ht="18.75">
      <c r="A290" s="1" t="s">
        <v>410</v>
      </c>
      <c r="B290" s="2" t="s">
        <v>411</v>
      </c>
      <c r="C290" s="2" t="s">
        <v>361</v>
      </c>
      <c r="D290" s="2" t="str">
        <f>HYPERLINK("http://eros.fiehnlab.ucdavis.edu:8080/binbase-compound/bin/show/367905?db=rtx5","367905")</f>
        <v>367905</v>
      </c>
      <c r="E290" s="2" t="s">
        <v>1112</v>
      </c>
      <c r="F290" s="2" t="s">
        <v>83</v>
      </c>
      <c r="G290" s="2" t="s">
        <v>83</v>
      </c>
      <c r="H290" s="7">
        <v>25224</v>
      </c>
      <c r="I290" s="7">
        <v>54480</v>
      </c>
      <c r="J290" s="7">
        <v>23581</v>
      </c>
      <c r="K290" s="7">
        <v>49275</v>
      </c>
      <c r="L290" s="7">
        <v>25889</v>
      </c>
      <c r="M290" s="7">
        <v>63487</v>
      </c>
      <c r="N290" s="7">
        <v>43482</v>
      </c>
      <c r="O290" s="7">
        <v>86383</v>
      </c>
      <c r="P290" s="7">
        <v>65276</v>
      </c>
      <c r="Q290" s="7">
        <v>79350</v>
      </c>
      <c r="R290" s="7">
        <v>32439</v>
      </c>
      <c r="S290" s="7">
        <v>42231</v>
      </c>
      <c r="T290" s="7">
        <v>67307</v>
      </c>
      <c r="U290" s="7">
        <v>36169</v>
      </c>
      <c r="V290" s="7">
        <v>75504</v>
      </c>
      <c r="W290" s="24">
        <f t="shared" si="24"/>
        <v>51338.46666666667</v>
      </c>
      <c r="X290" s="25">
        <f t="shared" si="25"/>
        <v>20770.50012076422</v>
      </c>
      <c r="Y290" s="25"/>
      <c r="Z290" s="26"/>
      <c r="AA290" s="7">
        <v>56092</v>
      </c>
      <c r="AB290" s="7">
        <v>67808</v>
      </c>
      <c r="AC290" s="7">
        <v>56529</v>
      </c>
      <c r="AD290" s="7">
        <v>55431</v>
      </c>
      <c r="AE290" s="7">
        <v>54334</v>
      </c>
      <c r="AF290" s="7">
        <v>38144</v>
      </c>
      <c r="AG290" s="7">
        <v>47518</v>
      </c>
      <c r="AH290" s="7">
        <v>54611</v>
      </c>
      <c r="AI290" s="7">
        <v>51783</v>
      </c>
      <c r="AJ290" s="7">
        <v>52386</v>
      </c>
      <c r="AK290" s="7">
        <v>58914</v>
      </c>
      <c r="AL290" s="7">
        <v>89358</v>
      </c>
      <c r="AM290" s="30">
        <f t="shared" si="26"/>
        <v>56909</v>
      </c>
      <c r="AN290" s="30">
        <f t="shared" si="27"/>
        <v>12349.836730610137</v>
      </c>
      <c r="AO290" s="30"/>
      <c r="AP290" s="29">
        <f t="shared" si="28"/>
        <v>1.1085060325136318</v>
      </c>
      <c r="AQ290" s="31">
        <f t="shared" si="29"/>
        <v>0.42073765375479344</v>
      </c>
      <c r="AR290" s="21" t="s">
        <v>410</v>
      </c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DM290" s="16"/>
      <c r="DN290" s="16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3"/>
      <c r="FW290" s="11"/>
    </row>
    <row r="291" spans="1:179" ht="18.75">
      <c r="A291" s="1" t="s">
        <v>296</v>
      </c>
      <c r="B291" s="2" t="s">
        <v>297</v>
      </c>
      <c r="C291" s="2" t="s">
        <v>298</v>
      </c>
      <c r="D291" s="2" t="str">
        <f>HYPERLINK("http://eros.fiehnlab.ucdavis.edu:8080/binbase-compound/bin/show/199165?db=rtx5","199165")</f>
        <v>199165</v>
      </c>
      <c r="E291" s="2" t="s">
        <v>1101</v>
      </c>
      <c r="F291" s="2" t="str">
        <f>HYPERLINK("http://www.genome.ad.jp/dbget-bin/www_bget?compound+C00009","C00009")</f>
        <v>C00009</v>
      </c>
      <c r="G291" s="2" t="str">
        <f>HYPERLINK("http://pubchem.ncbi.nlm.nih.gov/summary/summary.cgi?cid= 1004"," 1004")</f>
        <v> 1004</v>
      </c>
      <c r="H291" s="7">
        <v>147761</v>
      </c>
      <c r="I291" s="7">
        <v>159640</v>
      </c>
      <c r="J291" s="7">
        <v>91786</v>
      </c>
      <c r="K291" s="7">
        <v>158678</v>
      </c>
      <c r="L291" s="7">
        <v>152724</v>
      </c>
      <c r="M291" s="7">
        <v>169317</v>
      </c>
      <c r="N291" s="7">
        <v>143103</v>
      </c>
      <c r="O291" s="7">
        <v>129628</v>
      </c>
      <c r="P291" s="7">
        <v>140450</v>
      </c>
      <c r="Q291" s="7">
        <v>121307</v>
      </c>
      <c r="R291" s="7">
        <v>150855</v>
      </c>
      <c r="S291" s="7">
        <v>159647</v>
      </c>
      <c r="T291" s="7">
        <v>145981</v>
      </c>
      <c r="U291" s="7">
        <v>134723</v>
      </c>
      <c r="V291" s="7">
        <v>294495</v>
      </c>
      <c r="W291" s="24">
        <f t="shared" si="24"/>
        <v>153339.66666666666</v>
      </c>
      <c r="X291" s="25">
        <f t="shared" si="25"/>
        <v>43403.919963962864</v>
      </c>
      <c r="Y291" s="25"/>
      <c r="Z291" s="26"/>
      <c r="AA291" s="7">
        <v>140043</v>
      </c>
      <c r="AB291" s="7">
        <v>164371</v>
      </c>
      <c r="AC291" s="7">
        <v>129977</v>
      </c>
      <c r="AD291" s="7">
        <v>245934</v>
      </c>
      <c r="AE291" s="7">
        <v>146744</v>
      </c>
      <c r="AF291" s="7">
        <v>130899</v>
      </c>
      <c r="AG291" s="7">
        <v>170197</v>
      </c>
      <c r="AH291" s="7">
        <v>162209</v>
      </c>
      <c r="AI291" s="7">
        <v>173379</v>
      </c>
      <c r="AJ291" s="7">
        <v>243900</v>
      </c>
      <c r="AK291" s="7">
        <v>156665</v>
      </c>
      <c r="AL291" s="7">
        <v>183193</v>
      </c>
      <c r="AM291" s="30">
        <f t="shared" si="26"/>
        <v>170625.91666666666</v>
      </c>
      <c r="AN291" s="30">
        <f t="shared" si="27"/>
        <v>38431.98532581078</v>
      </c>
      <c r="AO291" s="30"/>
      <c r="AP291" s="29">
        <f t="shared" si="28"/>
        <v>1.1127317567317871</v>
      </c>
      <c r="AQ291" s="31">
        <f t="shared" si="29"/>
        <v>0.29003299241452596</v>
      </c>
      <c r="AR291" s="21" t="s">
        <v>296</v>
      </c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DM291" s="16"/>
      <c r="DN291" s="16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3"/>
      <c r="FW291" s="11"/>
    </row>
    <row r="292" spans="1:179" ht="18.75">
      <c r="A292" s="1" t="s">
        <v>983</v>
      </c>
      <c r="B292" s="2" t="s">
        <v>984</v>
      </c>
      <c r="C292" s="2" t="s">
        <v>985</v>
      </c>
      <c r="D292" s="2" t="str">
        <f>HYPERLINK("http://eros.fiehnlab.ucdavis.edu:8080/binbase-compound/bin/show/213961?db=rtx5","213961")</f>
        <v>213961</v>
      </c>
      <c r="E292" s="2" t="s">
        <v>192</v>
      </c>
      <c r="F292" s="2" t="s">
        <v>83</v>
      </c>
      <c r="G292" s="2" t="s">
        <v>83</v>
      </c>
      <c r="H292" s="7">
        <v>1857</v>
      </c>
      <c r="I292" s="7">
        <v>919</v>
      </c>
      <c r="J292" s="7">
        <v>1062</v>
      </c>
      <c r="K292" s="7">
        <v>744</v>
      </c>
      <c r="L292" s="7">
        <v>561</v>
      </c>
      <c r="M292" s="7">
        <v>624</v>
      </c>
      <c r="N292" s="7">
        <v>604</v>
      </c>
      <c r="O292" s="7">
        <v>601</v>
      </c>
      <c r="P292" s="7">
        <v>683</v>
      </c>
      <c r="Q292" s="7">
        <v>545</v>
      </c>
      <c r="R292" s="7">
        <v>1336</v>
      </c>
      <c r="S292" s="7">
        <v>1435</v>
      </c>
      <c r="T292" s="7">
        <v>627</v>
      </c>
      <c r="U292" s="7">
        <v>787</v>
      </c>
      <c r="V292" s="7">
        <v>956</v>
      </c>
      <c r="W292" s="24">
        <f t="shared" si="24"/>
        <v>889.4</v>
      </c>
      <c r="X292" s="25">
        <f t="shared" si="25"/>
        <v>384.80863518674533</v>
      </c>
      <c r="Y292" s="25"/>
      <c r="Z292" s="26"/>
      <c r="AA292" s="7">
        <v>837</v>
      </c>
      <c r="AB292" s="7">
        <v>1352</v>
      </c>
      <c r="AC292" s="7">
        <v>985</v>
      </c>
      <c r="AD292" s="7">
        <v>556</v>
      </c>
      <c r="AE292" s="7">
        <v>917</v>
      </c>
      <c r="AF292" s="7">
        <v>711</v>
      </c>
      <c r="AG292" s="7">
        <v>1126</v>
      </c>
      <c r="AH292" s="7">
        <v>1648</v>
      </c>
      <c r="AI292" s="7">
        <v>886</v>
      </c>
      <c r="AJ292" s="7">
        <v>677</v>
      </c>
      <c r="AK292" s="7">
        <v>1459</v>
      </c>
      <c r="AL292" s="7">
        <v>771</v>
      </c>
      <c r="AM292" s="30">
        <f t="shared" si="26"/>
        <v>993.75</v>
      </c>
      <c r="AN292" s="30">
        <f t="shared" si="27"/>
        <v>337.6391632282229</v>
      </c>
      <c r="AO292" s="30"/>
      <c r="AP292" s="29">
        <f t="shared" si="28"/>
        <v>1.1173262873847538</v>
      </c>
      <c r="AQ292" s="31">
        <f t="shared" si="29"/>
        <v>0.46705299633725206</v>
      </c>
      <c r="AR292" s="21" t="s">
        <v>983</v>
      </c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DM292" s="16"/>
      <c r="DN292" s="16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3"/>
      <c r="FW292" s="11"/>
    </row>
    <row r="293" spans="1:179" ht="18.75">
      <c r="A293" s="1" t="s">
        <v>1039</v>
      </c>
      <c r="B293" s="2" t="s">
        <v>1040</v>
      </c>
      <c r="C293" s="2" t="s">
        <v>310</v>
      </c>
      <c r="D293" s="2" t="str">
        <f>HYPERLINK("http://eros.fiehnlab.ucdavis.edu:8080/binbase-compound/bin/show/199609?db=rtx5","199609")</f>
        <v>199609</v>
      </c>
      <c r="E293" s="2" t="s">
        <v>661</v>
      </c>
      <c r="F293" s="2" t="s">
        <v>83</v>
      </c>
      <c r="G293" s="2" t="s">
        <v>83</v>
      </c>
      <c r="H293" s="7">
        <v>11314</v>
      </c>
      <c r="I293" s="7">
        <v>9413</v>
      </c>
      <c r="J293" s="7">
        <v>2406</v>
      </c>
      <c r="K293" s="7">
        <v>6081</v>
      </c>
      <c r="L293" s="7">
        <v>5595</v>
      </c>
      <c r="M293" s="7">
        <v>3910</v>
      </c>
      <c r="N293" s="7">
        <v>7465</v>
      </c>
      <c r="O293" s="7">
        <v>3334</v>
      </c>
      <c r="P293" s="7">
        <v>5329</v>
      </c>
      <c r="Q293" s="7">
        <v>2351</v>
      </c>
      <c r="R293" s="7">
        <v>6253</v>
      </c>
      <c r="S293" s="7">
        <v>8606</v>
      </c>
      <c r="T293" s="7">
        <v>6265</v>
      </c>
      <c r="U293" s="7">
        <v>7602</v>
      </c>
      <c r="V293" s="7">
        <v>1178</v>
      </c>
      <c r="W293" s="24">
        <f t="shared" si="24"/>
        <v>5806.8</v>
      </c>
      <c r="X293" s="25">
        <f t="shared" si="25"/>
        <v>2835.30767289901</v>
      </c>
      <c r="Y293" s="25"/>
      <c r="Z293" s="26"/>
      <c r="AA293" s="7">
        <v>4491</v>
      </c>
      <c r="AB293" s="7">
        <v>1900</v>
      </c>
      <c r="AC293" s="7">
        <v>3141</v>
      </c>
      <c r="AD293" s="7">
        <v>1503</v>
      </c>
      <c r="AE293" s="7">
        <v>5440</v>
      </c>
      <c r="AF293" s="7">
        <v>10222</v>
      </c>
      <c r="AG293" s="7">
        <v>20137</v>
      </c>
      <c r="AH293" s="7">
        <v>7989</v>
      </c>
      <c r="AI293" s="7">
        <v>6993</v>
      </c>
      <c r="AJ293" s="7">
        <v>3277</v>
      </c>
      <c r="AK293" s="7">
        <v>4862</v>
      </c>
      <c r="AL293" s="7">
        <v>8059</v>
      </c>
      <c r="AM293" s="30">
        <f t="shared" si="26"/>
        <v>6501.166666666667</v>
      </c>
      <c r="AN293" s="30">
        <f t="shared" si="27"/>
        <v>5048.447391090261</v>
      </c>
      <c r="AO293" s="30"/>
      <c r="AP293" s="29">
        <f t="shared" si="28"/>
        <v>1.1195781956786297</v>
      </c>
      <c r="AQ293" s="31">
        <f t="shared" si="29"/>
        <v>0.6549936777181362</v>
      </c>
      <c r="AR293" s="21" t="s">
        <v>1039</v>
      </c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DM293" s="16"/>
      <c r="DN293" s="16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3"/>
      <c r="FW293" s="11"/>
    </row>
    <row r="294" spans="1:179" ht="18.75">
      <c r="A294" s="1" t="s">
        <v>813</v>
      </c>
      <c r="B294" s="2" t="s">
        <v>814</v>
      </c>
      <c r="C294" s="2" t="s">
        <v>402</v>
      </c>
      <c r="D294" s="2" t="str">
        <f>HYPERLINK("http://eros.fiehnlab.ucdavis.edu:8080/binbase-compound/bin/show/281112?db=rtx5","281112")</f>
        <v>281112</v>
      </c>
      <c r="E294" s="2" t="s">
        <v>148</v>
      </c>
      <c r="F294" s="2" t="s">
        <v>83</v>
      </c>
      <c r="G294" s="2" t="s">
        <v>83</v>
      </c>
      <c r="H294" s="7">
        <v>1125</v>
      </c>
      <c r="I294" s="7">
        <v>3086</v>
      </c>
      <c r="J294" s="7">
        <v>1077</v>
      </c>
      <c r="K294" s="7">
        <v>2008</v>
      </c>
      <c r="L294" s="7">
        <v>619</v>
      </c>
      <c r="M294" s="7">
        <v>1477</v>
      </c>
      <c r="N294" s="7">
        <v>784</v>
      </c>
      <c r="O294" s="7">
        <v>3842</v>
      </c>
      <c r="P294" s="7">
        <v>1584</v>
      </c>
      <c r="Q294" s="7">
        <v>2485</v>
      </c>
      <c r="R294" s="7">
        <v>1872</v>
      </c>
      <c r="S294" s="7">
        <v>1992</v>
      </c>
      <c r="T294" s="7">
        <v>2769</v>
      </c>
      <c r="U294" s="7">
        <v>1135</v>
      </c>
      <c r="V294" s="7">
        <v>1426</v>
      </c>
      <c r="W294" s="24">
        <f t="shared" si="24"/>
        <v>1818.7333333333333</v>
      </c>
      <c r="X294" s="25">
        <f t="shared" si="25"/>
        <v>904.3644545572689</v>
      </c>
      <c r="Y294" s="25"/>
      <c r="Z294" s="26"/>
      <c r="AA294" s="7">
        <v>910</v>
      </c>
      <c r="AB294" s="7">
        <v>568</v>
      </c>
      <c r="AC294" s="7">
        <v>2511</v>
      </c>
      <c r="AD294" s="7">
        <v>572</v>
      </c>
      <c r="AE294" s="7">
        <v>1079</v>
      </c>
      <c r="AF294" s="7">
        <v>902</v>
      </c>
      <c r="AG294" s="7">
        <v>7830</v>
      </c>
      <c r="AH294" s="7">
        <v>2379</v>
      </c>
      <c r="AI294" s="7">
        <v>1038</v>
      </c>
      <c r="AJ294" s="7">
        <v>1913</v>
      </c>
      <c r="AK294" s="7">
        <v>2455</v>
      </c>
      <c r="AL294" s="7">
        <v>2376</v>
      </c>
      <c r="AM294" s="30">
        <f t="shared" si="26"/>
        <v>2044.4166666666667</v>
      </c>
      <c r="AN294" s="30">
        <f t="shared" si="27"/>
        <v>1976.7547996346912</v>
      </c>
      <c r="AO294" s="30"/>
      <c r="AP294" s="29">
        <f t="shared" si="28"/>
        <v>1.1240881932480482</v>
      </c>
      <c r="AQ294" s="31">
        <f t="shared" si="29"/>
        <v>0.6962631971833552</v>
      </c>
      <c r="AR294" s="21" t="s">
        <v>813</v>
      </c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DM294" s="16"/>
      <c r="DN294" s="16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3"/>
      <c r="FW294" s="11"/>
    </row>
    <row r="295" spans="1:179" ht="18.75">
      <c r="A295" s="1" t="s">
        <v>1049</v>
      </c>
      <c r="B295" s="2" t="s">
        <v>1050</v>
      </c>
      <c r="C295" s="2" t="s">
        <v>428</v>
      </c>
      <c r="D295" s="2" t="str">
        <f>HYPERLINK("http://eros.fiehnlab.ucdavis.edu:8080/binbase-compound/bin/show/199177?db=rtx5","199177")</f>
        <v>199177</v>
      </c>
      <c r="E295" s="2" t="s">
        <v>137</v>
      </c>
      <c r="F295" s="2" t="s">
        <v>83</v>
      </c>
      <c r="G295" s="2" t="s">
        <v>83</v>
      </c>
      <c r="H295" s="7">
        <v>2421</v>
      </c>
      <c r="I295" s="7">
        <v>2339</v>
      </c>
      <c r="J295" s="7">
        <v>2059</v>
      </c>
      <c r="K295" s="7">
        <v>1822</v>
      </c>
      <c r="L295" s="7">
        <v>2868</v>
      </c>
      <c r="M295" s="7">
        <v>2498</v>
      </c>
      <c r="N295" s="7">
        <v>2216</v>
      </c>
      <c r="O295" s="7">
        <v>3368</v>
      </c>
      <c r="P295" s="7">
        <v>2385</v>
      </c>
      <c r="Q295" s="7">
        <v>1969</v>
      </c>
      <c r="R295" s="7">
        <v>2234</v>
      </c>
      <c r="S295" s="7">
        <v>3654</v>
      </c>
      <c r="T295" s="7">
        <v>5890</v>
      </c>
      <c r="U295" s="7">
        <v>2035</v>
      </c>
      <c r="V295" s="7">
        <v>3922</v>
      </c>
      <c r="W295" s="24">
        <f t="shared" si="24"/>
        <v>2778.6666666666665</v>
      </c>
      <c r="X295" s="25">
        <f t="shared" si="25"/>
        <v>1066.3380371738642</v>
      </c>
      <c r="Y295" s="25"/>
      <c r="Z295" s="26"/>
      <c r="AA295" s="7">
        <v>6993</v>
      </c>
      <c r="AB295" s="7">
        <v>1496</v>
      </c>
      <c r="AC295" s="7">
        <v>2178</v>
      </c>
      <c r="AD295" s="7">
        <v>2480</v>
      </c>
      <c r="AE295" s="7">
        <v>2170</v>
      </c>
      <c r="AF295" s="7">
        <v>2818</v>
      </c>
      <c r="AG295" s="7">
        <v>1935</v>
      </c>
      <c r="AH295" s="7">
        <v>7353</v>
      </c>
      <c r="AI295" s="7">
        <v>2724</v>
      </c>
      <c r="AJ295" s="7">
        <v>2618</v>
      </c>
      <c r="AK295" s="7">
        <v>2050</v>
      </c>
      <c r="AL295" s="7">
        <v>3002</v>
      </c>
      <c r="AM295" s="30">
        <f t="shared" si="26"/>
        <v>3151.4166666666665</v>
      </c>
      <c r="AN295" s="30">
        <f t="shared" si="27"/>
        <v>1926.0531220056937</v>
      </c>
      <c r="AO295" s="30"/>
      <c r="AP295" s="29">
        <f t="shared" si="28"/>
        <v>1.1341470729366603</v>
      </c>
      <c r="AQ295" s="31">
        <f t="shared" si="29"/>
        <v>0.5286800782583001</v>
      </c>
      <c r="AR295" s="21" t="s">
        <v>1049</v>
      </c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DM295" s="16"/>
      <c r="DN295" s="16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3"/>
      <c r="FW295" s="11"/>
    </row>
    <row r="296" spans="1:179" ht="18.75">
      <c r="A296" s="1" t="s">
        <v>267</v>
      </c>
      <c r="B296" s="2" t="s">
        <v>268</v>
      </c>
      <c r="C296" s="2" t="s">
        <v>265</v>
      </c>
      <c r="D296" s="2" t="str">
        <f>HYPERLINK("http://eros.fiehnlab.ucdavis.edu:8080/binbase-compound/bin/show/227962?db=rtx5","227962")</f>
        <v>227962</v>
      </c>
      <c r="E296" s="2" t="s">
        <v>1119</v>
      </c>
      <c r="F296" s="2" t="str">
        <f>HYPERLINK("http://www.genome.ad.jp/dbget-bin/www_bget?compound+C00065","C00065")</f>
        <v>C00065</v>
      </c>
      <c r="G296" s="2" t="str">
        <f>HYPERLINK("http://pubchem.ncbi.nlm.nih.gov/summary/summary.cgi?cid=5951","5951")</f>
        <v>5951</v>
      </c>
      <c r="H296" s="7">
        <v>59332</v>
      </c>
      <c r="I296" s="7">
        <v>46331</v>
      </c>
      <c r="J296" s="7">
        <v>26482</v>
      </c>
      <c r="K296" s="7">
        <v>53750</v>
      </c>
      <c r="L296" s="7">
        <v>75428</v>
      </c>
      <c r="M296" s="7">
        <v>50412</v>
      </c>
      <c r="N296" s="7">
        <v>73155</v>
      </c>
      <c r="O296" s="7">
        <v>49357</v>
      </c>
      <c r="P296" s="7">
        <v>50650</v>
      </c>
      <c r="Q296" s="7">
        <v>66743</v>
      </c>
      <c r="R296" s="7">
        <v>66247</v>
      </c>
      <c r="S296" s="7">
        <v>63148</v>
      </c>
      <c r="T296" s="7">
        <v>47770</v>
      </c>
      <c r="U296" s="7">
        <v>41745</v>
      </c>
      <c r="V296" s="7">
        <v>73196</v>
      </c>
      <c r="W296" s="24">
        <f t="shared" si="24"/>
        <v>56249.73333333333</v>
      </c>
      <c r="X296" s="25">
        <f t="shared" si="25"/>
        <v>13611.700095698485</v>
      </c>
      <c r="Y296" s="25"/>
      <c r="Z296" s="26"/>
      <c r="AA296" s="7">
        <v>50150</v>
      </c>
      <c r="AB296" s="7">
        <v>63441</v>
      </c>
      <c r="AC296" s="7">
        <v>59371</v>
      </c>
      <c r="AD296" s="7">
        <v>90709</v>
      </c>
      <c r="AE296" s="7">
        <v>45418</v>
      </c>
      <c r="AF296" s="7">
        <v>75743</v>
      </c>
      <c r="AG296" s="7">
        <v>55083</v>
      </c>
      <c r="AH296" s="7">
        <v>63302</v>
      </c>
      <c r="AI296" s="7">
        <v>85324</v>
      </c>
      <c r="AJ296" s="7">
        <v>59644</v>
      </c>
      <c r="AK296" s="7">
        <v>51061</v>
      </c>
      <c r="AL296" s="7">
        <v>66923</v>
      </c>
      <c r="AM296" s="30">
        <f t="shared" si="26"/>
        <v>63847.416666666664</v>
      </c>
      <c r="AN296" s="30">
        <f t="shared" si="27"/>
        <v>13946.300098842326</v>
      </c>
      <c r="AO296" s="30"/>
      <c r="AP296" s="29">
        <f t="shared" si="28"/>
        <v>1.1350705662604623</v>
      </c>
      <c r="AQ296" s="31">
        <f t="shared" si="29"/>
        <v>0.16633073353035277</v>
      </c>
      <c r="AR296" s="21" t="s">
        <v>267</v>
      </c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DM296" s="16"/>
      <c r="DN296" s="16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3"/>
      <c r="FW296" s="11"/>
    </row>
    <row r="297" spans="1:179" ht="18.75">
      <c r="A297" s="1" t="s">
        <v>809</v>
      </c>
      <c r="B297" s="2" t="s">
        <v>810</v>
      </c>
      <c r="C297" s="2" t="s">
        <v>289</v>
      </c>
      <c r="D297" s="2" t="str">
        <f>HYPERLINK("http://eros.fiehnlab.ucdavis.edu:8080/binbase-compound/bin/show/281187?db=rtx5","281187")</f>
        <v>281187</v>
      </c>
      <c r="E297" s="2" t="s">
        <v>80</v>
      </c>
      <c r="F297" s="2" t="s">
        <v>83</v>
      </c>
      <c r="G297" s="2" t="s">
        <v>83</v>
      </c>
      <c r="H297" s="7">
        <v>402</v>
      </c>
      <c r="I297" s="7">
        <v>2100</v>
      </c>
      <c r="J297" s="7">
        <v>1797</v>
      </c>
      <c r="K297" s="7">
        <v>1056</v>
      </c>
      <c r="L297" s="7">
        <v>1024</v>
      </c>
      <c r="M297" s="7">
        <v>2427</v>
      </c>
      <c r="N297" s="7">
        <v>1514</v>
      </c>
      <c r="O297" s="7">
        <v>3392</v>
      </c>
      <c r="P297" s="7">
        <v>2367</v>
      </c>
      <c r="Q297" s="7">
        <v>6778</v>
      </c>
      <c r="R297" s="7">
        <v>1969</v>
      </c>
      <c r="S297" s="7">
        <v>1562</v>
      </c>
      <c r="T297" s="7">
        <v>3658</v>
      </c>
      <c r="U297" s="7">
        <v>2189</v>
      </c>
      <c r="V297" s="7">
        <v>3289</v>
      </c>
      <c r="W297" s="24">
        <f t="shared" si="24"/>
        <v>2368.266666666667</v>
      </c>
      <c r="X297" s="25">
        <f t="shared" si="25"/>
        <v>1520.6528892300864</v>
      </c>
      <c r="Y297" s="25"/>
      <c r="Z297" s="26"/>
      <c r="AA297" s="7">
        <v>1003</v>
      </c>
      <c r="AB297" s="7">
        <v>2252</v>
      </c>
      <c r="AC297" s="7">
        <v>3860</v>
      </c>
      <c r="AD297" s="7">
        <v>2779</v>
      </c>
      <c r="AE297" s="7">
        <v>3642</v>
      </c>
      <c r="AF297" s="7">
        <v>601</v>
      </c>
      <c r="AG297" s="7">
        <v>2312</v>
      </c>
      <c r="AH297" s="7">
        <v>3203</v>
      </c>
      <c r="AI297" s="7">
        <v>4017</v>
      </c>
      <c r="AJ297" s="7">
        <v>4465</v>
      </c>
      <c r="AK297" s="7">
        <v>1642</v>
      </c>
      <c r="AL297" s="7">
        <v>2655</v>
      </c>
      <c r="AM297" s="30">
        <f t="shared" si="26"/>
        <v>2702.5833333333335</v>
      </c>
      <c r="AN297" s="30">
        <f t="shared" si="27"/>
        <v>1209.8119657303125</v>
      </c>
      <c r="AO297" s="30"/>
      <c r="AP297" s="29">
        <f t="shared" si="28"/>
        <v>1.1411651278009234</v>
      </c>
      <c r="AQ297" s="31">
        <f t="shared" si="29"/>
        <v>0.5409251973955504</v>
      </c>
      <c r="AR297" s="21" t="s">
        <v>809</v>
      </c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DM297" s="16"/>
      <c r="DN297" s="16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3"/>
      <c r="FW297" s="11"/>
    </row>
    <row r="298" spans="1:179" ht="18.75">
      <c r="A298" s="1" t="s">
        <v>419</v>
      </c>
      <c r="B298" s="2" t="s">
        <v>420</v>
      </c>
      <c r="C298" s="2" t="s">
        <v>280</v>
      </c>
      <c r="D298" s="2" t="str">
        <f>HYPERLINK("http://eros.fiehnlab.ucdavis.edu:8080/binbase-compound/bin/show/227957?db=rtx5","227957")</f>
        <v>227957</v>
      </c>
      <c r="E298" s="2" t="s">
        <v>1100</v>
      </c>
      <c r="F298" s="2" t="str">
        <f>HYPERLINK("http://www.genome.ad.jp/dbget-bin/www_bget?compound+C00037","C00037")</f>
        <v>C00037</v>
      </c>
      <c r="G298" s="2" t="str">
        <f>HYPERLINK("http://pubchem.ncbi.nlm.nih.gov/summary/summary.cgi?cid=750","750")</f>
        <v>750</v>
      </c>
      <c r="H298" s="7">
        <v>289159</v>
      </c>
      <c r="I298" s="7">
        <v>156275</v>
      </c>
      <c r="J298" s="7">
        <v>214104</v>
      </c>
      <c r="K298" s="7">
        <v>142695</v>
      </c>
      <c r="L298" s="7">
        <v>130144</v>
      </c>
      <c r="M298" s="7">
        <v>149360</v>
      </c>
      <c r="N298" s="7">
        <v>217926</v>
      </c>
      <c r="O298" s="7">
        <v>156574</v>
      </c>
      <c r="P298" s="7">
        <v>163279</v>
      </c>
      <c r="Q298" s="7">
        <v>161457</v>
      </c>
      <c r="R298" s="7">
        <v>171922</v>
      </c>
      <c r="S298" s="7">
        <v>252386</v>
      </c>
      <c r="T298" s="7">
        <v>181210</v>
      </c>
      <c r="U298" s="7">
        <v>154528</v>
      </c>
      <c r="V298" s="7">
        <v>176358</v>
      </c>
      <c r="W298" s="24">
        <f t="shared" si="24"/>
        <v>181158.46666666667</v>
      </c>
      <c r="X298" s="25">
        <f t="shared" si="25"/>
        <v>43929.11512371244</v>
      </c>
      <c r="Y298" s="25"/>
      <c r="Z298" s="26"/>
      <c r="AA298" s="7">
        <v>269148</v>
      </c>
      <c r="AB298" s="7">
        <v>181671</v>
      </c>
      <c r="AC298" s="7">
        <v>178756</v>
      </c>
      <c r="AD298" s="7">
        <v>200321</v>
      </c>
      <c r="AE298" s="7">
        <v>146483</v>
      </c>
      <c r="AF298" s="7">
        <v>255377</v>
      </c>
      <c r="AG298" s="7">
        <v>181942</v>
      </c>
      <c r="AH298" s="7">
        <v>151518</v>
      </c>
      <c r="AI298" s="7">
        <v>302821</v>
      </c>
      <c r="AJ298" s="7">
        <v>222274</v>
      </c>
      <c r="AK298" s="7">
        <v>208157</v>
      </c>
      <c r="AL298" s="7">
        <v>184290</v>
      </c>
      <c r="AM298" s="30">
        <f t="shared" si="26"/>
        <v>206896.5</v>
      </c>
      <c r="AN298" s="30">
        <f t="shared" si="27"/>
        <v>47660.709134273464</v>
      </c>
      <c r="AO298" s="30"/>
      <c r="AP298" s="29">
        <f t="shared" si="28"/>
        <v>1.142074691881178</v>
      </c>
      <c r="AQ298" s="31">
        <f t="shared" si="29"/>
        <v>0.15754206365349757</v>
      </c>
      <c r="AR298" s="21" t="s">
        <v>419</v>
      </c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DM298" s="16"/>
      <c r="DN298" s="16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3"/>
      <c r="FW298" s="11"/>
    </row>
    <row r="299" spans="1:179" ht="18.75">
      <c r="A299" s="1" t="s">
        <v>356</v>
      </c>
      <c r="B299" s="2" t="s">
        <v>357</v>
      </c>
      <c r="C299" s="2" t="s">
        <v>358</v>
      </c>
      <c r="D299" s="2" t="str">
        <f>HYPERLINK("http://eros.fiehnlab.ucdavis.edu:8080/binbase-compound/bin/show/247180?db=rtx5","247180")</f>
        <v>247180</v>
      </c>
      <c r="E299" s="2" t="s">
        <v>629</v>
      </c>
      <c r="F299" s="2" t="str">
        <f>HYPERLINK("http://www.genome.ad.jp/dbget-bin/www_bget?compound+C00149","C00149")</f>
        <v>C00149</v>
      </c>
      <c r="G299" s="2" t="str">
        <f>HYPERLINK("http://pubchem.ncbi.nlm.nih.gov/summary/summary.cgi?cid=222656","222656")</f>
        <v>222656</v>
      </c>
      <c r="H299" s="7">
        <v>1576</v>
      </c>
      <c r="I299" s="7">
        <v>768</v>
      </c>
      <c r="J299" s="7">
        <v>560</v>
      </c>
      <c r="K299" s="7">
        <v>705</v>
      </c>
      <c r="L299" s="7">
        <v>973</v>
      </c>
      <c r="M299" s="7">
        <v>728</v>
      </c>
      <c r="N299" s="7">
        <v>588</v>
      </c>
      <c r="O299" s="7">
        <v>847</v>
      </c>
      <c r="P299" s="7">
        <v>599</v>
      </c>
      <c r="Q299" s="7">
        <v>614</v>
      </c>
      <c r="R299" s="7">
        <v>896</v>
      </c>
      <c r="S299" s="7">
        <v>773</v>
      </c>
      <c r="T299" s="7">
        <v>705</v>
      </c>
      <c r="U299" s="7">
        <v>455</v>
      </c>
      <c r="V299" s="7">
        <v>985</v>
      </c>
      <c r="W299" s="24">
        <f t="shared" si="24"/>
        <v>784.8</v>
      </c>
      <c r="X299" s="25">
        <f t="shared" si="25"/>
        <v>266.7050805665314</v>
      </c>
      <c r="Y299" s="25"/>
      <c r="Z299" s="26"/>
      <c r="AA299" s="7">
        <v>764</v>
      </c>
      <c r="AB299" s="7">
        <v>917</v>
      </c>
      <c r="AC299" s="7">
        <v>585</v>
      </c>
      <c r="AD299" s="7">
        <v>1209</v>
      </c>
      <c r="AE299" s="7">
        <v>927</v>
      </c>
      <c r="AF299" s="7">
        <v>680</v>
      </c>
      <c r="AG299" s="7">
        <v>1063</v>
      </c>
      <c r="AH299" s="7">
        <v>892</v>
      </c>
      <c r="AI299" s="7">
        <v>998</v>
      </c>
      <c r="AJ299" s="7">
        <v>933</v>
      </c>
      <c r="AK299" s="7">
        <v>740</v>
      </c>
      <c r="AL299" s="7">
        <v>1064</v>
      </c>
      <c r="AM299" s="30">
        <f t="shared" si="26"/>
        <v>897.6666666666666</v>
      </c>
      <c r="AN299" s="30">
        <f t="shared" si="27"/>
        <v>178.9811230947062</v>
      </c>
      <c r="AO299" s="30"/>
      <c r="AP299" s="29">
        <f t="shared" si="28"/>
        <v>1.1438158341828066</v>
      </c>
      <c r="AQ299" s="31">
        <f t="shared" si="29"/>
        <v>0.2211191725670102</v>
      </c>
      <c r="AR299" s="21" t="s">
        <v>356</v>
      </c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DM299" s="16"/>
      <c r="DN299" s="16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3"/>
      <c r="FW299" s="11"/>
    </row>
    <row r="300" spans="1:179" ht="18.75">
      <c r="A300" s="1" t="s">
        <v>1082</v>
      </c>
      <c r="B300" s="2" t="s">
        <v>434</v>
      </c>
      <c r="C300" s="2" t="s">
        <v>316</v>
      </c>
      <c r="D300" s="2" t="str">
        <f>HYPERLINK("http://eros.fiehnlab.ucdavis.edu:8080/binbase-compound/bin/show/410985?db=rtx5","410985")</f>
        <v>410985</v>
      </c>
      <c r="E300" s="2" t="s">
        <v>1096</v>
      </c>
      <c r="F300" s="2" t="str">
        <f>HYPERLINK("http://www.genome.ad.jp/dbget-bin/www_bget?compound+C00064","C00064")</f>
        <v>C00064</v>
      </c>
      <c r="G300" s="2" t="str">
        <f>HYPERLINK("http://pubchem.ncbi.nlm.nih.gov/summary/summary.cgi?cid=5961","5961")</f>
        <v>5961</v>
      </c>
      <c r="H300" s="7">
        <v>123383</v>
      </c>
      <c r="I300" s="7">
        <v>211722</v>
      </c>
      <c r="J300" s="7">
        <v>190253</v>
      </c>
      <c r="K300" s="7">
        <v>281555</v>
      </c>
      <c r="L300" s="7">
        <v>174617</v>
      </c>
      <c r="M300" s="7">
        <v>355471</v>
      </c>
      <c r="N300" s="7">
        <v>240880</v>
      </c>
      <c r="O300" s="7">
        <v>600151</v>
      </c>
      <c r="P300" s="7">
        <v>294304</v>
      </c>
      <c r="Q300" s="7">
        <v>407965</v>
      </c>
      <c r="R300" s="7">
        <v>115985</v>
      </c>
      <c r="S300" s="7">
        <v>291930</v>
      </c>
      <c r="T300" s="7">
        <v>345308</v>
      </c>
      <c r="U300" s="7">
        <v>263830</v>
      </c>
      <c r="V300" s="7">
        <v>287167</v>
      </c>
      <c r="W300" s="24">
        <f t="shared" si="24"/>
        <v>278968.06666666665</v>
      </c>
      <c r="X300" s="25">
        <f t="shared" si="25"/>
        <v>121379.30067735525</v>
      </c>
      <c r="Y300" s="25"/>
      <c r="Z300" s="27"/>
      <c r="AA300" s="7">
        <v>284053</v>
      </c>
      <c r="AB300" s="7">
        <v>391541</v>
      </c>
      <c r="AC300" s="7">
        <v>357252</v>
      </c>
      <c r="AD300" s="7">
        <v>387869</v>
      </c>
      <c r="AE300" s="7">
        <v>402954</v>
      </c>
      <c r="AF300" s="7">
        <v>203304</v>
      </c>
      <c r="AG300" s="7">
        <v>226645</v>
      </c>
      <c r="AH300" s="7">
        <v>247141</v>
      </c>
      <c r="AI300" s="7">
        <v>324605</v>
      </c>
      <c r="AJ300" s="7">
        <v>283707</v>
      </c>
      <c r="AK300" s="7">
        <v>329974</v>
      </c>
      <c r="AL300" s="7">
        <v>409576</v>
      </c>
      <c r="AM300" s="30">
        <f t="shared" si="26"/>
        <v>320718.4166666667</v>
      </c>
      <c r="AN300" s="30">
        <f t="shared" si="27"/>
        <v>71593.96968569397</v>
      </c>
      <c r="AO300" s="30"/>
      <c r="AP300" s="29">
        <f t="shared" si="28"/>
        <v>1.1496599610803724</v>
      </c>
      <c r="AQ300" s="31">
        <f t="shared" si="29"/>
        <v>0.3029873105593233</v>
      </c>
      <c r="AR300" s="21" t="s">
        <v>1082</v>
      </c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DM300" s="16"/>
      <c r="DN300" s="16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3"/>
      <c r="FW300" s="11"/>
    </row>
    <row r="301" spans="1:179" ht="18.75">
      <c r="A301" s="1" t="s">
        <v>61</v>
      </c>
      <c r="B301" s="2" t="s">
        <v>414</v>
      </c>
      <c r="C301" s="2" t="s">
        <v>412</v>
      </c>
      <c r="D301" s="2" t="str">
        <f>HYPERLINK("http://eros.fiehnlab.ucdavis.edu:8080/binbase-compound/bin/show/202598?db=rtx5","202598")</f>
        <v>202598</v>
      </c>
      <c r="E301" s="2" t="s">
        <v>1122</v>
      </c>
      <c r="F301" s="2" t="str">
        <f>HYPERLINK("http://www.genome.ad.jp/dbget-bin/www_bget?compound+C01586","C01586")</f>
        <v>C01586</v>
      </c>
      <c r="G301" s="2" t="str">
        <f>HYPERLINK("http://pubchem.ncbi.nlm.nih.gov/summary/summary.cgi?cid=464","464")</f>
        <v>464</v>
      </c>
      <c r="H301" s="7">
        <v>4182</v>
      </c>
      <c r="I301" s="7">
        <v>5190</v>
      </c>
      <c r="J301" s="7">
        <v>4526</v>
      </c>
      <c r="K301" s="7">
        <v>1116</v>
      </c>
      <c r="L301" s="7">
        <v>1996</v>
      </c>
      <c r="M301" s="7">
        <v>6129</v>
      </c>
      <c r="N301" s="7">
        <v>2321</v>
      </c>
      <c r="O301" s="7">
        <v>1623</v>
      </c>
      <c r="P301" s="7">
        <v>3255</v>
      </c>
      <c r="Q301" s="7">
        <v>1505</v>
      </c>
      <c r="R301" s="7">
        <v>1827</v>
      </c>
      <c r="S301" s="7">
        <v>4447</v>
      </c>
      <c r="T301" s="7">
        <v>5013</v>
      </c>
      <c r="U301" s="7">
        <v>3756</v>
      </c>
      <c r="V301" s="7">
        <v>2991</v>
      </c>
      <c r="W301" s="24">
        <f t="shared" si="24"/>
        <v>3325.133333333333</v>
      </c>
      <c r="X301" s="25">
        <f t="shared" si="25"/>
        <v>1559.1912219694752</v>
      </c>
      <c r="Y301" s="25"/>
      <c r="Z301" s="26"/>
      <c r="AA301" s="7">
        <v>7378</v>
      </c>
      <c r="AB301" s="7">
        <v>1781</v>
      </c>
      <c r="AC301" s="7">
        <v>4446</v>
      </c>
      <c r="AD301" s="7">
        <v>1940</v>
      </c>
      <c r="AE301" s="7">
        <v>1751</v>
      </c>
      <c r="AF301" s="7">
        <v>4150</v>
      </c>
      <c r="AG301" s="7">
        <v>2348</v>
      </c>
      <c r="AH301" s="7">
        <v>4193</v>
      </c>
      <c r="AI301" s="7">
        <v>3450</v>
      </c>
      <c r="AJ301" s="7">
        <v>2299</v>
      </c>
      <c r="AK301" s="7">
        <v>7565</v>
      </c>
      <c r="AL301" s="7">
        <v>4658</v>
      </c>
      <c r="AM301" s="30">
        <f t="shared" si="26"/>
        <v>3829.9166666666665</v>
      </c>
      <c r="AN301" s="30">
        <f t="shared" si="27"/>
        <v>2013.932492248271</v>
      </c>
      <c r="AO301" s="30"/>
      <c r="AP301" s="29">
        <f t="shared" si="28"/>
        <v>1.1518084487840086</v>
      </c>
      <c r="AQ301" s="31">
        <f t="shared" si="29"/>
        <v>0.4692881076448866</v>
      </c>
      <c r="AR301" s="21" t="s">
        <v>413</v>
      </c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DM301" s="16"/>
      <c r="DN301" s="16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3"/>
      <c r="FW301" s="11"/>
    </row>
    <row r="302" spans="1:179" ht="18.75">
      <c r="A302" s="1" t="s">
        <v>1079</v>
      </c>
      <c r="B302" s="2" t="s">
        <v>244</v>
      </c>
      <c r="C302" s="2" t="s">
        <v>245</v>
      </c>
      <c r="D302" s="2" t="str">
        <f>HYPERLINK("http://eros.fiehnlab.ucdavis.edu:8080/binbase-compound/bin/show/199262?db=rtx5","199262")</f>
        <v>199262</v>
      </c>
      <c r="E302" s="2" t="s">
        <v>1143</v>
      </c>
      <c r="F302" s="2" t="str">
        <f>HYPERLINK("http://www.genome.ad.jp/dbget-bin/www_bget?compound+C01620","C01620")</f>
        <v>C01620</v>
      </c>
      <c r="G302" s="2" t="str">
        <f>HYPERLINK("http://pubchem.ncbi.nlm.nih.gov/summary/summary.cgi?cid=439535","439535")</f>
        <v>439535</v>
      </c>
      <c r="H302" s="7">
        <v>5315</v>
      </c>
      <c r="I302" s="7">
        <v>5269</v>
      </c>
      <c r="J302" s="7">
        <v>4119</v>
      </c>
      <c r="K302" s="7">
        <v>5254</v>
      </c>
      <c r="L302" s="7">
        <v>5465</v>
      </c>
      <c r="M302" s="7">
        <v>5774</v>
      </c>
      <c r="N302" s="7">
        <v>4898</v>
      </c>
      <c r="O302" s="7">
        <v>4975</v>
      </c>
      <c r="P302" s="7">
        <v>2953</v>
      </c>
      <c r="Q302" s="7">
        <v>4990</v>
      </c>
      <c r="R302" s="7">
        <v>5916</v>
      </c>
      <c r="S302" s="7">
        <v>3395</v>
      </c>
      <c r="T302" s="7">
        <v>2404</v>
      </c>
      <c r="U302" s="7">
        <v>4961</v>
      </c>
      <c r="V302" s="7">
        <v>6637</v>
      </c>
      <c r="W302" s="24">
        <f t="shared" si="24"/>
        <v>4821.666666666667</v>
      </c>
      <c r="X302" s="25">
        <f t="shared" si="25"/>
        <v>1146.0318910214035</v>
      </c>
      <c r="Y302" s="25"/>
      <c r="Z302" s="26"/>
      <c r="AA302" s="7">
        <v>5424</v>
      </c>
      <c r="AB302" s="7">
        <v>8246</v>
      </c>
      <c r="AC302" s="7">
        <v>1554</v>
      </c>
      <c r="AD302" s="7">
        <v>5456</v>
      </c>
      <c r="AE302" s="7">
        <v>9571</v>
      </c>
      <c r="AF302" s="7">
        <v>3905</v>
      </c>
      <c r="AG302" s="7">
        <v>8323</v>
      </c>
      <c r="AH302" s="7">
        <v>5744</v>
      </c>
      <c r="AI302" s="7">
        <v>4855</v>
      </c>
      <c r="AJ302" s="7">
        <v>5421</v>
      </c>
      <c r="AK302" s="7">
        <v>3497</v>
      </c>
      <c r="AL302" s="7">
        <v>4984</v>
      </c>
      <c r="AM302" s="30">
        <f t="shared" si="26"/>
        <v>5581.666666666667</v>
      </c>
      <c r="AN302" s="30">
        <f t="shared" si="27"/>
        <v>2233.7407000705157</v>
      </c>
      <c r="AO302" s="30"/>
      <c r="AP302" s="29">
        <f t="shared" si="28"/>
        <v>1.1576218458347736</v>
      </c>
      <c r="AQ302" s="31">
        <f t="shared" si="29"/>
        <v>0.26255953261865517</v>
      </c>
      <c r="AR302" s="21" t="s">
        <v>1079</v>
      </c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DM302" s="16"/>
      <c r="DN302" s="16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3"/>
      <c r="FW302" s="11"/>
    </row>
    <row r="303" spans="1:179" ht="18.75">
      <c r="A303" s="1" t="s">
        <v>843</v>
      </c>
      <c r="B303" s="2" t="s">
        <v>844</v>
      </c>
      <c r="C303" s="2" t="s">
        <v>845</v>
      </c>
      <c r="D303" s="2" t="str">
        <f>HYPERLINK("http://eros.fiehnlab.ucdavis.edu:8080/binbase-compound/bin/show/267884?db=rtx5","267884")</f>
        <v>267884</v>
      </c>
      <c r="E303" s="2" t="s">
        <v>0</v>
      </c>
      <c r="F303" s="2" t="s">
        <v>83</v>
      </c>
      <c r="G303" s="2" t="s">
        <v>83</v>
      </c>
      <c r="H303" s="7">
        <v>1462</v>
      </c>
      <c r="I303" s="7">
        <v>980</v>
      </c>
      <c r="J303" s="7">
        <v>6376</v>
      </c>
      <c r="K303" s="7">
        <v>902</v>
      </c>
      <c r="L303" s="7">
        <v>1192</v>
      </c>
      <c r="M303" s="7">
        <v>1232</v>
      </c>
      <c r="N303" s="7">
        <v>1054</v>
      </c>
      <c r="O303" s="7">
        <v>2055</v>
      </c>
      <c r="P303" s="7">
        <v>845</v>
      </c>
      <c r="Q303" s="7">
        <v>1688</v>
      </c>
      <c r="R303" s="7">
        <v>1599</v>
      </c>
      <c r="S303" s="7">
        <v>1447</v>
      </c>
      <c r="T303" s="7">
        <v>1097</v>
      </c>
      <c r="U303" s="7">
        <v>1613</v>
      </c>
      <c r="V303" s="7">
        <v>2483</v>
      </c>
      <c r="W303" s="24">
        <f t="shared" si="24"/>
        <v>1735</v>
      </c>
      <c r="X303" s="25">
        <f t="shared" si="25"/>
        <v>1359.3203133499162</v>
      </c>
      <c r="Y303" s="25"/>
      <c r="Z303" s="26"/>
      <c r="AA303" s="7">
        <v>1312</v>
      </c>
      <c r="AB303" s="7">
        <v>1802</v>
      </c>
      <c r="AC303" s="7">
        <v>943</v>
      </c>
      <c r="AD303" s="7">
        <v>3589</v>
      </c>
      <c r="AE303" s="7">
        <v>1989</v>
      </c>
      <c r="AF303" s="7">
        <v>2319</v>
      </c>
      <c r="AG303" s="7">
        <v>2670</v>
      </c>
      <c r="AH303" s="7">
        <v>1641</v>
      </c>
      <c r="AI303" s="7">
        <v>2157</v>
      </c>
      <c r="AJ303" s="7">
        <v>2438</v>
      </c>
      <c r="AK303" s="7">
        <v>2056</v>
      </c>
      <c r="AL303" s="7">
        <v>1217</v>
      </c>
      <c r="AM303" s="30">
        <f t="shared" si="26"/>
        <v>2011.0833333333333</v>
      </c>
      <c r="AN303" s="30">
        <f t="shared" si="27"/>
        <v>717.6745854536445</v>
      </c>
      <c r="AO303" s="30"/>
      <c r="AP303" s="29">
        <f t="shared" si="28"/>
        <v>1.1591258405379443</v>
      </c>
      <c r="AQ303" s="31">
        <f t="shared" si="29"/>
        <v>0.5313850481534635</v>
      </c>
      <c r="AR303" s="21" t="s">
        <v>843</v>
      </c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DM303" s="16"/>
      <c r="DN303" s="16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3"/>
      <c r="FW303" s="11"/>
    </row>
    <row r="304" spans="1:179" ht="18.75">
      <c r="A304" s="1" t="s">
        <v>94</v>
      </c>
      <c r="B304" s="2" t="s">
        <v>550</v>
      </c>
      <c r="C304" s="2" t="s">
        <v>551</v>
      </c>
      <c r="D304" s="2" t="str">
        <f>HYPERLINK("http://eros.fiehnlab.ucdavis.edu:8080/binbase-compound/bin/show/300330?db=rtx5","300330")</f>
        <v>300330</v>
      </c>
      <c r="E304" s="2" t="s">
        <v>575</v>
      </c>
      <c r="F304" s="2" t="str">
        <f>HYPERLINK("http://www.genome.ad.jp/dbget-bin/www_bget?compound+n/a","n/a")</f>
        <v>n/a</v>
      </c>
      <c r="G304" s="2" t="str">
        <f>HYPERLINK("http://pubchem.ncbi.nlm.nih.gov/summary/summary.cgi?cid=80642","80642")</f>
        <v>80642</v>
      </c>
      <c r="H304" s="7">
        <v>123</v>
      </c>
      <c r="I304" s="7">
        <v>152</v>
      </c>
      <c r="J304" s="7">
        <v>449</v>
      </c>
      <c r="K304" s="7">
        <v>140</v>
      </c>
      <c r="L304" s="7">
        <v>127</v>
      </c>
      <c r="M304" s="7">
        <v>122</v>
      </c>
      <c r="N304" s="7">
        <v>133</v>
      </c>
      <c r="O304" s="7">
        <v>115</v>
      </c>
      <c r="P304" s="7">
        <v>158</v>
      </c>
      <c r="Q304" s="7">
        <v>190</v>
      </c>
      <c r="R304" s="7">
        <v>164</v>
      </c>
      <c r="S304" s="7">
        <v>151</v>
      </c>
      <c r="T304" s="7">
        <v>162</v>
      </c>
      <c r="U304" s="7">
        <v>170</v>
      </c>
      <c r="V304" s="7">
        <v>226</v>
      </c>
      <c r="W304" s="24">
        <f t="shared" si="24"/>
        <v>172.13333333333333</v>
      </c>
      <c r="X304" s="25">
        <f t="shared" si="25"/>
        <v>81.89441518257053</v>
      </c>
      <c r="Y304" s="25"/>
      <c r="Z304" s="26"/>
      <c r="AA304" s="7">
        <v>180</v>
      </c>
      <c r="AB304" s="7">
        <v>204</v>
      </c>
      <c r="AC304" s="7">
        <v>149</v>
      </c>
      <c r="AD304" s="7">
        <v>170</v>
      </c>
      <c r="AE304" s="7">
        <v>260</v>
      </c>
      <c r="AF304" s="7">
        <v>245</v>
      </c>
      <c r="AG304" s="7">
        <v>164</v>
      </c>
      <c r="AH304" s="7">
        <v>173</v>
      </c>
      <c r="AI304" s="7">
        <v>168</v>
      </c>
      <c r="AJ304" s="7">
        <v>196</v>
      </c>
      <c r="AK304" s="7">
        <v>258</v>
      </c>
      <c r="AL304" s="7">
        <v>228</v>
      </c>
      <c r="AM304" s="30">
        <f t="shared" si="26"/>
        <v>199.58333333333334</v>
      </c>
      <c r="AN304" s="30">
        <f t="shared" si="27"/>
        <v>39.025535540751086</v>
      </c>
      <c r="AO304" s="30"/>
      <c r="AP304" s="29">
        <f t="shared" si="28"/>
        <v>1.1594694035631294</v>
      </c>
      <c r="AQ304" s="31">
        <f t="shared" si="29"/>
        <v>0.29689332615472136</v>
      </c>
      <c r="AR304" s="21" t="s">
        <v>94</v>
      </c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DM304" s="16"/>
      <c r="DN304" s="16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3"/>
      <c r="FW304" s="11"/>
    </row>
    <row r="305" spans="1:179" ht="18.75">
      <c r="A305" s="1" t="s">
        <v>664</v>
      </c>
      <c r="B305" s="2" t="s">
        <v>665</v>
      </c>
      <c r="C305" s="2" t="s">
        <v>533</v>
      </c>
      <c r="D305" s="2" t="str">
        <f>HYPERLINK("http://eros.fiehnlab.ucdavis.edu:8080/binbase-compound/bin/show/419574?db=rtx5","419574")</f>
        <v>419574</v>
      </c>
      <c r="E305" s="2" t="s">
        <v>54</v>
      </c>
      <c r="F305" s="2" t="s">
        <v>83</v>
      </c>
      <c r="G305" s="2" t="s">
        <v>83</v>
      </c>
      <c r="H305" s="7">
        <v>270</v>
      </c>
      <c r="I305" s="7">
        <v>322</v>
      </c>
      <c r="J305" s="7">
        <v>350</v>
      </c>
      <c r="K305" s="7">
        <v>131</v>
      </c>
      <c r="L305" s="7">
        <v>217</v>
      </c>
      <c r="M305" s="7">
        <v>254</v>
      </c>
      <c r="N305" s="7">
        <v>454</v>
      </c>
      <c r="O305" s="7">
        <v>232</v>
      </c>
      <c r="P305" s="7">
        <v>334</v>
      </c>
      <c r="Q305" s="7">
        <v>312</v>
      </c>
      <c r="R305" s="7">
        <v>454</v>
      </c>
      <c r="S305" s="7">
        <v>353</v>
      </c>
      <c r="T305" s="7">
        <v>515</v>
      </c>
      <c r="U305" s="7">
        <v>164</v>
      </c>
      <c r="V305" s="7">
        <v>361</v>
      </c>
      <c r="W305" s="24">
        <f t="shared" si="24"/>
        <v>314.8666666666667</v>
      </c>
      <c r="X305" s="25">
        <f t="shared" si="25"/>
        <v>107.81655496170117</v>
      </c>
      <c r="Y305" s="25"/>
      <c r="Z305" s="26"/>
      <c r="AA305" s="7">
        <v>603</v>
      </c>
      <c r="AB305" s="7">
        <v>347</v>
      </c>
      <c r="AC305" s="7">
        <v>181</v>
      </c>
      <c r="AD305" s="7">
        <v>305</v>
      </c>
      <c r="AE305" s="7">
        <v>281</v>
      </c>
      <c r="AF305" s="7">
        <v>403</v>
      </c>
      <c r="AG305" s="7">
        <v>225</v>
      </c>
      <c r="AH305" s="7">
        <v>281</v>
      </c>
      <c r="AI305" s="7">
        <v>414</v>
      </c>
      <c r="AJ305" s="7">
        <v>289</v>
      </c>
      <c r="AK305" s="7">
        <v>466</v>
      </c>
      <c r="AL305" s="7">
        <v>589</v>
      </c>
      <c r="AM305" s="30">
        <f t="shared" si="26"/>
        <v>365.3333333333333</v>
      </c>
      <c r="AN305" s="30">
        <f t="shared" si="27"/>
        <v>134.20901834847243</v>
      </c>
      <c r="AO305" s="30"/>
      <c r="AP305" s="29">
        <f t="shared" si="28"/>
        <v>1.160279483379208</v>
      </c>
      <c r="AQ305" s="31">
        <f t="shared" si="29"/>
        <v>0.2884681457079961</v>
      </c>
      <c r="AR305" s="21" t="s">
        <v>664</v>
      </c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DM305" s="16"/>
      <c r="DN305" s="16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3"/>
      <c r="FW305" s="11"/>
    </row>
    <row r="306" spans="1:179" ht="18.75">
      <c r="A306" s="1" t="s">
        <v>424</v>
      </c>
      <c r="B306" s="2" t="s">
        <v>425</v>
      </c>
      <c r="C306" s="2" t="s">
        <v>265</v>
      </c>
      <c r="D306" s="2" t="str">
        <f>HYPERLINK("http://eros.fiehnlab.ucdavis.edu:8080/binbase-compound/bin/show/225851?db=rtx5","225851")</f>
        <v>225851</v>
      </c>
      <c r="E306" s="2" t="s">
        <v>577</v>
      </c>
      <c r="F306" s="2" t="str">
        <f>HYPERLINK("http://www.genome.ad.jp/dbget-bin/www_bget?compound+C05401","C05401")</f>
        <v>C05401</v>
      </c>
      <c r="G306" s="2" t="str">
        <f>HYPERLINK("http://pubchem.ncbi.nlm.nih.gov/summary/summary.cgi?cid=656504","656504")</f>
        <v>656504</v>
      </c>
      <c r="H306" s="7">
        <v>591</v>
      </c>
      <c r="I306" s="7">
        <v>538</v>
      </c>
      <c r="J306" s="7">
        <v>948</v>
      </c>
      <c r="K306" s="7">
        <v>559</v>
      </c>
      <c r="L306" s="7">
        <v>352</v>
      </c>
      <c r="M306" s="7">
        <v>632</v>
      </c>
      <c r="N306" s="7">
        <v>566</v>
      </c>
      <c r="O306" s="7">
        <v>385</v>
      </c>
      <c r="P306" s="7">
        <v>868</v>
      </c>
      <c r="Q306" s="7">
        <v>627</v>
      </c>
      <c r="R306" s="7">
        <v>594</v>
      </c>
      <c r="S306" s="7">
        <v>986</v>
      </c>
      <c r="T306" s="7">
        <v>829</v>
      </c>
      <c r="U306" s="7">
        <v>604</v>
      </c>
      <c r="V306" s="7">
        <v>704</v>
      </c>
      <c r="W306" s="24">
        <f t="shared" si="24"/>
        <v>652.2</v>
      </c>
      <c r="X306" s="25">
        <f t="shared" si="25"/>
        <v>185.28055946128222</v>
      </c>
      <c r="Y306" s="25"/>
      <c r="Z306" s="26"/>
      <c r="AA306" s="7">
        <v>424</v>
      </c>
      <c r="AB306" s="7">
        <v>585</v>
      </c>
      <c r="AC306" s="7">
        <v>443</v>
      </c>
      <c r="AD306" s="7">
        <v>392</v>
      </c>
      <c r="AE306" s="7">
        <v>661</v>
      </c>
      <c r="AF306" s="7">
        <v>1283</v>
      </c>
      <c r="AG306" s="7">
        <v>1317</v>
      </c>
      <c r="AH306" s="7">
        <v>1145</v>
      </c>
      <c r="AI306" s="7">
        <v>565</v>
      </c>
      <c r="AJ306" s="7">
        <v>423</v>
      </c>
      <c r="AK306" s="7">
        <v>680</v>
      </c>
      <c r="AL306" s="7">
        <v>1166</v>
      </c>
      <c r="AM306" s="30">
        <f t="shared" si="26"/>
        <v>757</v>
      </c>
      <c r="AN306" s="30">
        <f t="shared" si="27"/>
        <v>362.31076565441845</v>
      </c>
      <c r="AO306" s="30"/>
      <c r="AP306" s="29">
        <f t="shared" si="28"/>
        <v>1.160686905857099</v>
      </c>
      <c r="AQ306" s="31">
        <f t="shared" si="29"/>
        <v>0.3387754490638687</v>
      </c>
      <c r="AR306" s="21" t="s">
        <v>424</v>
      </c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DM306" s="16"/>
      <c r="DN306" s="16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3"/>
      <c r="FW306" s="11"/>
    </row>
    <row r="307" spans="1:179" ht="18.75">
      <c r="A307" s="1" t="s">
        <v>490</v>
      </c>
      <c r="B307" s="2" t="s">
        <v>491</v>
      </c>
      <c r="C307" s="2" t="s">
        <v>395</v>
      </c>
      <c r="D307" s="2" t="str">
        <f>HYPERLINK("http://eros.fiehnlab.ucdavis.edu:8080/binbase-compound/bin/show/208840?db=rtx5","208840")</f>
        <v>208840</v>
      </c>
      <c r="E307" s="2" t="s">
        <v>626</v>
      </c>
      <c r="F307" s="2" t="str">
        <f>HYPERLINK("http://www.genome.ad.jp/dbget-bin/www_bget?compound+n/a","n/a")</f>
        <v>n/a</v>
      </c>
      <c r="G307" s="2" t="str">
        <f>HYPERLINK("http://pubchem.ncbi.nlm.nih.gov/summary/summary.cgi?cid=119054","119054")</f>
        <v>119054</v>
      </c>
      <c r="H307" s="7">
        <v>1900</v>
      </c>
      <c r="I307" s="7">
        <v>1319</v>
      </c>
      <c r="J307" s="7">
        <v>1054</v>
      </c>
      <c r="K307" s="7">
        <v>1631</v>
      </c>
      <c r="L307" s="7">
        <v>1538</v>
      </c>
      <c r="M307" s="7">
        <v>1451</v>
      </c>
      <c r="N307" s="7">
        <v>1521</v>
      </c>
      <c r="O307" s="7">
        <v>1392</v>
      </c>
      <c r="P307" s="7">
        <v>1395</v>
      </c>
      <c r="Q307" s="7">
        <v>961</v>
      </c>
      <c r="R307" s="7">
        <v>2305</v>
      </c>
      <c r="S307" s="7">
        <v>3018</v>
      </c>
      <c r="T307" s="7">
        <v>3784</v>
      </c>
      <c r="U307" s="7">
        <v>1249</v>
      </c>
      <c r="V307" s="7">
        <v>3535</v>
      </c>
      <c r="W307" s="24">
        <f t="shared" si="24"/>
        <v>1870.2</v>
      </c>
      <c r="X307" s="25">
        <f t="shared" si="25"/>
        <v>888.170044851451</v>
      </c>
      <c r="Y307" s="25"/>
      <c r="Z307" s="26"/>
      <c r="AA307" s="7">
        <v>1473</v>
      </c>
      <c r="AB307" s="7">
        <v>2119</v>
      </c>
      <c r="AC307" s="7">
        <v>714</v>
      </c>
      <c r="AD307" s="7">
        <v>2012</v>
      </c>
      <c r="AE307" s="7">
        <v>2767</v>
      </c>
      <c r="AF307" s="7">
        <v>2105</v>
      </c>
      <c r="AG307" s="7">
        <v>1263</v>
      </c>
      <c r="AH307" s="7">
        <v>2113</v>
      </c>
      <c r="AI307" s="7">
        <v>2899</v>
      </c>
      <c r="AJ307" s="7">
        <v>3073</v>
      </c>
      <c r="AK307" s="7">
        <v>1947</v>
      </c>
      <c r="AL307" s="7">
        <v>3605</v>
      </c>
      <c r="AM307" s="30">
        <f t="shared" si="26"/>
        <v>2174.1666666666665</v>
      </c>
      <c r="AN307" s="30">
        <f t="shared" si="27"/>
        <v>813.2671296950492</v>
      </c>
      <c r="AO307" s="30"/>
      <c r="AP307" s="29">
        <f t="shared" si="28"/>
        <v>1.1625316365451108</v>
      </c>
      <c r="AQ307" s="31">
        <f t="shared" si="29"/>
        <v>0.36798410459089925</v>
      </c>
      <c r="AR307" s="21" t="s">
        <v>490</v>
      </c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DM307" s="16"/>
      <c r="DN307" s="16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3"/>
      <c r="FW307" s="11"/>
    </row>
    <row r="308" spans="1:179" ht="18.75">
      <c r="A308" s="1" t="s">
        <v>745</v>
      </c>
      <c r="B308" s="2" t="s">
        <v>746</v>
      </c>
      <c r="C308" s="2" t="s">
        <v>240</v>
      </c>
      <c r="D308" s="2" t="str">
        <f>HYPERLINK("http://eros.fiehnlab.ucdavis.edu:8080/binbase-compound/bin/show/305055?db=rtx5","305055")</f>
        <v>305055</v>
      </c>
      <c r="E308" s="2" t="s">
        <v>648</v>
      </c>
      <c r="F308" s="2" t="s">
        <v>83</v>
      </c>
      <c r="G308" s="2" t="s">
        <v>83</v>
      </c>
      <c r="H308" s="7">
        <v>7417</v>
      </c>
      <c r="I308" s="7">
        <v>19055</v>
      </c>
      <c r="J308" s="7">
        <v>63553</v>
      </c>
      <c r="K308" s="7">
        <v>34094</v>
      </c>
      <c r="L308" s="7">
        <v>5419</v>
      </c>
      <c r="M308" s="7">
        <v>3609</v>
      </c>
      <c r="N308" s="7">
        <v>42078</v>
      </c>
      <c r="O308" s="7">
        <v>279</v>
      </c>
      <c r="P308" s="7">
        <v>11238</v>
      </c>
      <c r="Q308" s="7">
        <v>46219</v>
      </c>
      <c r="R308" s="7">
        <v>32254</v>
      </c>
      <c r="S308" s="7">
        <v>6820</v>
      </c>
      <c r="T308" s="7">
        <v>5333</v>
      </c>
      <c r="U308" s="7">
        <v>4066</v>
      </c>
      <c r="V308" s="7">
        <v>9180</v>
      </c>
      <c r="W308" s="24">
        <f t="shared" si="24"/>
        <v>19374.266666666666</v>
      </c>
      <c r="X308" s="25">
        <f t="shared" si="25"/>
        <v>19421.36150688083</v>
      </c>
      <c r="Y308" s="25"/>
      <c r="Z308" s="26"/>
      <c r="AA308" s="7">
        <v>55829</v>
      </c>
      <c r="AB308" s="7">
        <v>53515</v>
      </c>
      <c r="AC308" s="7">
        <v>44117</v>
      </c>
      <c r="AD308" s="7">
        <v>11646</v>
      </c>
      <c r="AE308" s="7">
        <v>59524</v>
      </c>
      <c r="AF308" s="7">
        <v>9461</v>
      </c>
      <c r="AG308" s="7">
        <v>9992</v>
      </c>
      <c r="AH308" s="7">
        <v>2803</v>
      </c>
      <c r="AI308" s="7">
        <v>4923</v>
      </c>
      <c r="AJ308" s="7">
        <v>11547</v>
      </c>
      <c r="AK308" s="7">
        <v>3941</v>
      </c>
      <c r="AL308" s="7">
        <v>3838</v>
      </c>
      <c r="AM308" s="30">
        <f t="shared" si="26"/>
        <v>22594.666666666668</v>
      </c>
      <c r="AN308" s="30">
        <f t="shared" si="27"/>
        <v>23089.92059253771</v>
      </c>
      <c r="AO308" s="30"/>
      <c r="AP308" s="29">
        <f t="shared" si="28"/>
        <v>1.166220484904375</v>
      </c>
      <c r="AQ308" s="31">
        <f t="shared" si="29"/>
        <v>0.6970583543990838</v>
      </c>
      <c r="AR308" s="21" t="s">
        <v>745</v>
      </c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DM308" s="16"/>
      <c r="DN308" s="16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3"/>
      <c r="FW308" s="11"/>
    </row>
    <row r="309" spans="1:179" ht="18.75">
      <c r="A309" s="1" t="s">
        <v>487</v>
      </c>
      <c r="B309" s="2" t="s">
        <v>488</v>
      </c>
      <c r="C309" s="2" t="s">
        <v>489</v>
      </c>
      <c r="D309" s="2" t="str">
        <f>HYPERLINK("http://eros.fiehnlab.ucdavis.edu:8080/binbase-compound/bin/show/199603?db=rtx5","199603")</f>
        <v>199603</v>
      </c>
      <c r="E309" s="2" t="s">
        <v>1133</v>
      </c>
      <c r="F309" s="2" t="str">
        <f>HYPERLINK("http://www.genome.ad.jp/dbget-bin/www_bget?compound+C00791","C00791")</f>
        <v>C00791</v>
      </c>
      <c r="G309" s="2" t="str">
        <f>HYPERLINK("http://pubchem.ncbi.nlm.nih.gov/summary/summary.cgi?cid=588","588")</f>
        <v>588</v>
      </c>
      <c r="H309" s="7">
        <v>5261</v>
      </c>
      <c r="I309" s="7">
        <v>9917</v>
      </c>
      <c r="J309" s="7">
        <v>1915</v>
      </c>
      <c r="K309" s="7">
        <v>3605</v>
      </c>
      <c r="L309" s="7">
        <v>3174</v>
      </c>
      <c r="M309" s="7">
        <v>4825</v>
      </c>
      <c r="N309" s="7">
        <v>2612</v>
      </c>
      <c r="O309" s="7">
        <v>21089</v>
      </c>
      <c r="P309" s="7">
        <v>11576</v>
      </c>
      <c r="Q309" s="7">
        <v>10514</v>
      </c>
      <c r="R309" s="7">
        <v>2422</v>
      </c>
      <c r="S309" s="7">
        <v>9409</v>
      </c>
      <c r="T309" s="7">
        <v>13680</v>
      </c>
      <c r="U309" s="7">
        <v>2128</v>
      </c>
      <c r="V309" s="7">
        <v>11561</v>
      </c>
      <c r="W309" s="24">
        <f t="shared" si="24"/>
        <v>7579.2</v>
      </c>
      <c r="X309" s="25">
        <f t="shared" si="25"/>
        <v>5543.454173295615</v>
      </c>
      <c r="Y309" s="25"/>
      <c r="Z309" s="26"/>
      <c r="AA309" s="7">
        <v>10051</v>
      </c>
      <c r="AB309" s="7">
        <v>6647</v>
      </c>
      <c r="AC309" s="7">
        <v>13288</v>
      </c>
      <c r="AD309" s="7">
        <v>6070</v>
      </c>
      <c r="AE309" s="7">
        <v>5756</v>
      </c>
      <c r="AF309" s="7">
        <v>8959</v>
      </c>
      <c r="AG309" s="7">
        <v>8807</v>
      </c>
      <c r="AH309" s="7">
        <v>15350</v>
      </c>
      <c r="AI309" s="7">
        <v>3566</v>
      </c>
      <c r="AJ309" s="7">
        <v>4303</v>
      </c>
      <c r="AK309" s="7">
        <v>11100</v>
      </c>
      <c r="AL309" s="7">
        <v>12582</v>
      </c>
      <c r="AM309" s="30">
        <f t="shared" si="26"/>
        <v>8873.25</v>
      </c>
      <c r="AN309" s="30">
        <f t="shared" si="27"/>
        <v>3731.1480350008774</v>
      </c>
      <c r="AO309" s="30"/>
      <c r="AP309" s="29">
        <f t="shared" si="28"/>
        <v>1.17073701709943</v>
      </c>
      <c r="AQ309" s="31">
        <f t="shared" si="29"/>
        <v>0.4955084288111369</v>
      </c>
      <c r="AR309" s="21" t="s">
        <v>487</v>
      </c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DM309" s="16"/>
      <c r="DN309" s="16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3"/>
      <c r="FW309" s="11"/>
    </row>
    <row r="310" spans="1:179" ht="18.75">
      <c r="A310" s="1" t="s">
        <v>1016</v>
      </c>
      <c r="B310" s="2" t="s">
        <v>1017</v>
      </c>
      <c r="C310" s="2" t="s">
        <v>265</v>
      </c>
      <c r="D310" s="2" t="str">
        <f>HYPERLINK("http://eros.fiehnlab.ucdavis.edu:8080/binbase-compound/bin/show/202571?db=rtx5","202571")</f>
        <v>202571</v>
      </c>
      <c r="E310" s="2" t="s">
        <v>23</v>
      </c>
      <c r="F310" s="2" t="s">
        <v>83</v>
      </c>
      <c r="G310" s="2" t="s">
        <v>83</v>
      </c>
      <c r="H310" s="7">
        <v>93839</v>
      </c>
      <c r="I310" s="7">
        <v>106271</v>
      </c>
      <c r="J310" s="7">
        <v>317272</v>
      </c>
      <c r="K310" s="7">
        <v>152452</v>
      </c>
      <c r="L310" s="7">
        <v>123906</v>
      </c>
      <c r="M310" s="7">
        <v>204024</v>
      </c>
      <c r="N310" s="7">
        <v>110889</v>
      </c>
      <c r="O310" s="7">
        <v>171649</v>
      </c>
      <c r="P310" s="7">
        <v>231861</v>
      </c>
      <c r="Q310" s="7">
        <v>139486</v>
      </c>
      <c r="R310" s="7">
        <v>96724</v>
      </c>
      <c r="S310" s="7">
        <v>118127</v>
      </c>
      <c r="T310" s="7">
        <v>93254</v>
      </c>
      <c r="U310" s="7">
        <v>427377</v>
      </c>
      <c r="V310" s="7">
        <v>234969</v>
      </c>
      <c r="W310" s="24">
        <f t="shared" si="24"/>
        <v>174806.66666666666</v>
      </c>
      <c r="X310" s="25">
        <f t="shared" si="25"/>
        <v>95417.62466177429</v>
      </c>
      <c r="Y310" s="25"/>
      <c r="Z310" s="26"/>
      <c r="AA310" s="7">
        <v>142771</v>
      </c>
      <c r="AB310" s="7">
        <v>378515</v>
      </c>
      <c r="AC310" s="7">
        <v>236587</v>
      </c>
      <c r="AD310" s="7">
        <v>126840</v>
      </c>
      <c r="AE310" s="7">
        <v>398205</v>
      </c>
      <c r="AF310" s="7">
        <v>151053</v>
      </c>
      <c r="AG310" s="7">
        <v>113803</v>
      </c>
      <c r="AH310" s="7">
        <v>170704</v>
      </c>
      <c r="AI310" s="7">
        <v>122743</v>
      </c>
      <c r="AJ310" s="7">
        <v>64700</v>
      </c>
      <c r="AK310" s="7">
        <v>469587</v>
      </c>
      <c r="AL310" s="7">
        <v>84895</v>
      </c>
      <c r="AM310" s="30">
        <f t="shared" si="26"/>
        <v>205033.58333333334</v>
      </c>
      <c r="AN310" s="30">
        <f t="shared" si="27"/>
        <v>135411.81941259332</v>
      </c>
      <c r="AO310" s="30"/>
      <c r="AP310" s="29">
        <f t="shared" si="28"/>
        <v>1.1729162694023876</v>
      </c>
      <c r="AQ310" s="31">
        <f t="shared" si="29"/>
        <v>0.5026523367820899</v>
      </c>
      <c r="AR310" s="21" t="s">
        <v>1016</v>
      </c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DM310" s="16"/>
      <c r="DN310" s="16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3"/>
      <c r="FW310" s="11"/>
    </row>
    <row r="311" spans="1:179" ht="18.75">
      <c r="A311" s="1" t="s">
        <v>818</v>
      </c>
      <c r="B311" s="2" t="s">
        <v>819</v>
      </c>
      <c r="C311" s="2" t="s">
        <v>239</v>
      </c>
      <c r="D311" s="2" t="str">
        <f>HYPERLINK("http://eros.fiehnlab.ucdavis.edu:8080/binbase-compound/bin/show/280564?db=rtx5","280564")</f>
        <v>280564</v>
      </c>
      <c r="E311" s="2" t="s">
        <v>193</v>
      </c>
      <c r="F311" s="2" t="s">
        <v>83</v>
      </c>
      <c r="G311" s="2" t="s">
        <v>83</v>
      </c>
      <c r="H311" s="7">
        <v>351</v>
      </c>
      <c r="I311" s="7">
        <v>701</v>
      </c>
      <c r="J311" s="7">
        <v>510</v>
      </c>
      <c r="K311" s="7">
        <v>472</v>
      </c>
      <c r="L311" s="7">
        <v>567</v>
      </c>
      <c r="M311" s="7">
        <v>1161</v>
      </c>
      <c r="N311" s="7">
        <v>1016</v>
      </c>
      <c r="O311" s="7">
        <v>2613</v>
      </c>
      <c r="P311" s="7">
        <v>1808</v>
      </c>
      <c r="Q311" s="7">
        <v>1864</v>
      </c>
      <c r="R311" s="7">
        <v>559</v>
      </c>
      <c r="S311" s="7">
        <v>645</v>
      </c>
      <c r="T311" s="7">
        <v>759</v>
      </c>
      <c r="U311" s="7">
        <v>929</v>
      </c>
      <c r="V311" s="7">
        <v>467</v>
      </c>
      <c r="W311" s="24">
        <f t="shared" si="24"/>
        <v>961.4666666666667</v>
      </c>
      <c r="X311" s="25">
        <f t="shared" si="25"/>
        <v>648.6098174080432</v>
      </c>
      <c r="Y311" s="25"/>
      <c r="Z311" s="26"/>
      <c r="AA311" s="7">
        <v>1101</v>
      </c>
      <c r="AB311" s="7">
        <v>847</v>
      </c>
      <c r="AC311" s="7">
        <v>1277</v>
      </c>
      <c r="AD311" s="7">
        <v>1934</v>
      </c>
      <c r="AE311" s="7">
        <v>1673</v>
      </c>
      <c r="AF311" s="7">
        <v>769</v>
      </c>
      <c r="AG311" s="7">
        <v>815</v>
      </c>
      <c r="AH311" s="7">
        <v>494</v>
      </c>
      <c r="AI311" s="7">
        <v>1221</v>
      </c>
      <c r="AJ311" s="7">
        <v>1317</v>
      </c>
      <c r="AK311" s="7">
        <v>758</v>
      </c>
      <c r="AL311" s="7">
        <v>1348</v>
      </c>
      <c r="AM311" s="30">
        <f t="shared" si="26"/>
        <v>1129.5</v>
      </c>
      <c r="AN311" s="30">
        <f t="shared" si="27"/>
        <v>416.3697002337313</v>
      </c>
      <c r="AO311" s="30"/>
      <c r="AP311" s="29">
        <f t="shared" si="28"/>
        <v>1.1747677159894605</v>
      </c>
      <c r="AQ311" s="31">
        <f t="shared" si="29"/>
        <v>0.4445086122585391</v>
      </c>
      <c r="AR311" s="21" t="s">
        <v>818</v>
      </c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DM311" s="16"/>
      <c r="DN311" s="16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3"/>
      <c r="FW311" s="11"/>
    </row>
    <row r="312" spans="1:179" ht="18.75">
      <c r="A312" s="1" t="s">
        <v>903</v>
      </c>
      <c r="B312" s="2" t="s">
        <v>904</v>
      </c>
      <c r="C312" s="2" t="s">
        <v>905</v>
      </c>
      <c r="D312" s="2" t="str">
        <f>HYPERLINK("http://eros.fiehnlab.ucdavis.edu:8080/binbase-compound/bin/show/226927?db=rtx5","226927")</f>
        <v>226927</v>
      </c>
      <c r="E312" s="2" t="s">
        <v>7</v>
      </c>
      <c r="F312" s="2" t="s">
        <v>83</v>
      </c>
      <c r="G312" s="2" t="s">
        <v>83</v>
      </c>
      <c r="H312" s="7">
        <v>463</v>
      </c>
      <c r="I312" s="7">
        <v>598</v>
      </c>
      <c r="J312" s="7">
        <v>586</v>
      </c>
      <c r="K312" s="7">
        <v>413</v>
      </c>
      <c r="L312" s="7">
        <v>440</v>
      </c>
      <c r="M312" s="7">
        <v>443</v>
      </c>
      <c r="N312" s="7">
        <v>431</v>
      </c>
      <c r="O312" s="7">
        <v>792</v>
      </c>
      <c r="P312" s="7">
        <v>285</v>
      </c>
      <c r="Q312" s="7">
        <v>1320</v>
      </c>
      <c r="R312" s="7">
        <v>298</v>
      </c>
      <c r="S312" s="7">
        <v>625</v>
      </c>
      <c r="T312" s="7">
        <v>1183</v>
      </c>
      <c r="U312" s="7">
        <v>363</v>
      </c>
      <c r="V312" s="7">
        <v>1009</v>
      </c>
      <c r="W312" s="24">
        <f t="shared" si="24"/>
        <v>616.6</v>
      </c>
      <c r="X312" s="25">
        <f t="shared" si="25"/>
        <v>320.52095986734736</v>
      </c>
      <c r="Y312" s="25"/>
      <c r="Z312" s="26"/>
      <c r="AA312" s="7">
        <v>738</v>
      </c>
      <c r="AB312" s="7">
        <v>838</v>
      </c>
      <c r="AC312" s="7">
        <v>1117</v>
      </c>
      <c r="AD312" s="7">
        <v>423</v>
      </c>
      <c r="AE312" s="7">
        <v>552</v>
      </c>
      <c r="AF312" s="7">
        <v>508</v>
      </c>
      <c r="AG312" s="7">
        <v>458</v>
      </c>
      <c r="AH312" s="7">
        <v>824</v>
      </c>
      <c r="AI312" s="7">
        <v>522</v>
      </c>
      <c r="AJ312" s="7">
        <v>755</v>
      </c>
      <c r="AK312" s="7">
        <v>1147</v>
      </c>
      <c r="AL312" s="7">
        <v>836</v>
      </c>
      <c r="AM312" s="30">
        <f t="shared" si="26"/>
        <v>726.5</v>
      </c>
      <c r="AN312" s="30">
        <f t="shared" si="27"/>
        <v>242.7870372457011</v>
      </c>
      <c r="AO312" s="30"/>
      <c r="AP312" s="29">
        <f t="shared" si="28"/>
        <v>1.1782354849172882</v>
      </c>
      <c r="AQ312" s="31">
        <f t="shared" si="29"/>
        <v>0.3354172947189181</v>
      </c>
      <c r="AR312" s="21" t="s">
        <v>903</v>
      </c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DM312" s="16"/>
      <c r="DN312" s="16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3"/>
      <c r="FW312" s="11"/>
    </row>
    <row r="313" spans="1:179" ht="18.75">
      <c r="A313" s="1" t="s">
        <v>485</v>
      </c>
      <c r="B313" s="2" t="s">
        <v>486</v>
      </c>
      <c r="C313" s="2" t="s">
        <v>484</v>
      </c>
      <c r="D313" s="2" t="str">
        <f>HYPERLINK("http://eros.fiehnlab.ucdavis.edu:8080/binbase-compound/bin/show/223529?db=rtx5","223529")</f>
        <v>223529</v>
      </c>
      <c r="E313" s="2" t="s">
        <v>164</v>
      </c>
      <c r="F313" s="2" t="str">
        <f>HYPERLINK("http://www.genome.ad.jp/dbget-bin/www_bget?compound+C00097","C00097")</f>
        <v>C00097</v>
      </c>
      <c r="G313" s="2" t="str">
        <f>HYPERLINK("http://pubchem.ncbi.nlm.nih.gov/summary/summary.cgi?cid=594","594")</f>
        <v>594</v>
      </c>
      <c r="H313" s="7">
        <v>778</v>
      </c>
      <c r="I313" s="7">
        <v>736</v>
      </c>
      <c r="J313" s="7">
        <v>940</v>
      </c>
      <c r="K313" s="7">
        <v>1693</v>
      </c>
      <c r="L313" s="7">
        <v>792</v>
      </c>
      <c r="M313" s="7">
        <v>3440</v>
      </c>
      <c r="N313" s="7">
        <v>1405</v>
      </c>
      <c r="O313" s="7">
        <v>5200</v>
      </c>
      <c r="P313" s="7">
        <v>2121</v>
      </c>
      <c r="Q313" s="7">
        <v>5385</v>
      </c>
      <c r="R313" s="7">
        <v>2670</v>
      </c>
      <c r="S313" s="7">
        <v>2160</v>
      </c>
      <c r="T313" s="7">
        <v>3668</v>
      </c>
      <c r="U313" s="7">
        <v>2190</v>
      </c>
      <c r="V313" s="7">
        <v>2006</v>
      </c>
      <c r="W313" s="24">
        <f t="shared" si="24"/>
        <v>2345.6</v>
      </c>
      <c r="X313" s="25">
        <f t="shared" si="25"/>
        <v>1497.8521193457552</v>
      </c>
      <c r="Y313" s="25"/>
      <c r="Z313" s="26"/>
      <c r="AA313" s="7">
        <v>889</v>
      </c>
      <c r="AB313" s="7">
        <v>1460</v>
      </c>
      <c r="AC313" s="7">
        <v>6380</v>
      </c>
      <c r="AD313" s="7">
        <v>4401</v>
      </c>
      <c r="AE313" s="7">
        <v>2303</v>
      </c>
      <c r="AF313" s="7">
        <v>1124</v>
      </c>
      <c r="AG313" s="7">
        <v>1071</v>
      </c>
      <c r="AH313" s="7">
        <v>1387</v>
      </c>
      <c r="AI313" s="7">
        <v>2251</v>
      </c>
      <c r="AJ313" s="7">
        <v>6844</v>
      </c>
      <c r="AK313" s="7">
        <v>2200</v>
      </c>
      <c r="AL313" s="7">
        <v>2878</v>
      </c>
      <c r="AM313" s="30">
        <f t="shared" si="26"/>
        <v>2765.6666666666665</v>
      </c>
      <c r="AN313" s="30">
        <f t="shared" si="27"/>
        <v>2042.2000762695</v>
      </c>
      <c r="AO313" s="30"/>
      <c r="AP313" s="29">
        <f t="shared" si="28"/>
        <v>1.179087085038654</v>
      </c>
      <c r="AQ313" s="31">
        <f t="shared" si="29"/>
        <v>0.5429000522191603</v>
      </c>
      <c r="AR313" s="21" t="s">
        <v>485</v>
      </c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DM313" s="16"/>
      <c r="DN313" s="16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3"/>
      <c r="FW313" s="11"/>
    </row>
    <row r="314" spans="1:179" ht="18.75">
      <c r="A314" s="1" t="s">
        <v>542</v>
      </c>
      <c r="B314" s="2" t="s">
        <v>543</v>
      </c>
      <c r="C314" s="2" t="s">
        <v>544</v>
      </c>
      <c r="D314" s="2" t="str">
        <f>HYPERLINK("http://eros.fiehnlab.ucdavis.edu:8080/binbase-compound/bin/show/362124?db=rtx5","362124")</f>
        <v>362124</v>
      </c>
      <c r="E314" s="2" t="s">
        <v>605</v>
      </c>
      <c r="F314" s="2" t="str">
        <f>HYPERLINK("http://www.genome.ad.jp/dbget-bin/www_bget?compound+C00020","C00020")</f>
        <v>C00020</v>
      </c>
      <c r="G314" s="2" t="str">
        <f>HYPERLINK("http://pubchem.ncbi.nlm.nih.gov/summary/summary.cgi?cid=6083","6083")</f>
        <v>6083</v>
      </c>
      <c r="H314" s="7">
        <v>150</v>
      </c>
      <c r="I314" s="7">
        <v>301</v>
      </c>
      <c r="J314" s="7">
        <v>506</v>
      </c>
      <c r="K314" s="7">
        <v>245</v>
      </c>
      <c r="L314" s="7">
        <v>203</v>
      </c>
      <c r="M314" s="7">
        <v>198</v>
      </c>
      <c r="N314" s="7">
        <v>160</v>
      </c>
      <c r="O314" s="7">
        <v>165</v>
      </c>
      <c r="P314" s="7">
        <v>228</v>
      </c>
      <c r="Q314" s="7">
        <v>216</v>
      </c>
      <c r="R314" s="7">
        <v>172</v>
      </c>
      <c r="S314" s="7">
        <v>206</v>
      </c>
      <c r="T314" s="7">
        <v>251</v>
      </c>
      <c r="U314" s="7">
        <v>185</v>
      </c>
      <c r="V314" s="7">
        <v>335</v>
      </c>
      <c r="W314" s="24">
        <f t="shared" si="24"/>
        <v>234.73333333333332</v>
      </c>
      <c r="X314" s="25">
        <f t="shared" si="25"/>
        <v>91.03175793304749</v>
      </c>
      <c r="Y314" s="25"/>
      <c r="Z314" s="26"/>
      <c r="AA314" s="7">
        <v>230</v>
      </c>
      <c r="AB314" s="7">
        <v>210</v>
      </c>
      <c r="AC314" s="7">
        <v>157</v>
      </c>
      <c r="AD314" s="7">
        <v>242</v>
      </c>
      <c r="AE314" s="7">
        <v>183</v>
      </c>
      <c r="AF314" s="7">
        <v>499</v>
      </c>
      <c r="AG314" s="7">
        <v>377</v>
      </c>
      <c r="AH314" s="7">
        <v>470</v>
      </c>
      <c r="AI314" s="7">
        <v>288</v>
      </c>
      <c r="AJ314" s="7">
        <v>190</v>
      </c>
      <c r="AK314" s="7">
        <v>178</v>
      </c>
      <c r="AL314" s="7">
        <v>304</v>
      </c>
      <c r="AM314" s="30">
        <f t="shared" si="26"/>
        <v>277.3333333333333</v>
      </c>
      <c r="AN314" s="30">
        <f t="shared" si="27"/>
        <v>115.17207153041078</v>
      </c>
      <c r="AO314" s="30"/>
      <c r="AP314" s="29">
        <f t="shared" si="28"/>
        <v>1.1814825333712013</v>
      </c>
      <c r="AQ314" s="31">
        <f t="shared" si="29"/>
        <v>0.2928184235186964</v>
      </c>
      <c r="AR314" s="21" t="s">
        <v>542</v>
      </c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DM314" s="16"/>
      <c r="DN314" s="16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3"/>
      <c r="FW314" s="11"/>
    </row>
    <row r="315" spans="1:179" ht="18.75">
      <c r="A315" s="1" t="s">
        <v>815</v>
      </c>
      <c r="B315" s="2" t="s">
        <v>816</v>
      </c>
      <c r="C315" s="2" t="s">
        <v>817</v>
      </c>
      <c r="D315" s="2" t="str">
        <f>HYPERLINK("http://eros.fiehnlab.ucdavis.edu:8080/binbase-compound/bin/show/281108?db=rtx5","281108")</f>
        <v>281108</v>
      </c>
      <c r="E315" s="2" t="s">
        <v>75</v>
      </c>
      <c r="F315" s="2" t="s">
        <v>83</v>
      </c>
      <c r="G315" s="2" t="s">
        <v>83</v>
      </c>
      <c r="H315" s="7">
        <v>84</v>
      </c>
      <c r="I315" s="7">
        <v>435</v>
      </c>
      <c r="J315" s="7">
        <v>377</v>
      </c>
      <c r="K315" s="7">
        <v>1827</v>
      </c>
      <c r="L315" s="7">
        <v>649</v>
      </c>
      <c r="M315" s="7">
        <v>3433</v>
      </c>
      <c r="N315" s="7">
        <v>1176</v>
      </c>
      <c r="O315" s="7">
        <v>5234</v>
      </c>
      <c r="P315" s="7">
        <v>1942</v>
      </c>
      <c r="Q315" s="7">
        <v>6086</v>
      </c>
      <c r="R315" s="7">
        <v>895</v>
      </c>
      <c r="S315" s="7">
        <v>1743</v>
      </c>
      <c r="T315" s="7">
        <v>4073</v>
      </c>
      <c r="U315" s="7">
        <v>1001</v>
      </c>
      <c r="V315" s="7">
        <v>1917</v>
      </c>
      <c r="W315" s="24">
        <f t="shared" si="24"/>
        <v>2058.133333333333</v>
      </c>
      <c r="X315" s="25">
        <f t="shared" si="25"/>
        <v>1832.9936819572615</v>
      </c>
      <c r="Y315" s="25"/>
      <c r="Z315" s="26"/>
      <c r="AA315" s="7">
        <v>1558</v>
      </c>
      <c r="AB315" s="7">
        <v>2849</v>
      </c>
      <c r="AC315" s="7">
        <v>6026</v>
      </c>
      <c r="AD315" s="7">
        <v>1505</v>
      </c>
      <c r="AE315" s="7">
        <v>1548</v>
      </c>
      <c r="AF315" s="7">
        <v>125</v>
      </c>
      <c r="AG315" s="7">
        <v>286</v>
      </c>
      <c r="AH315" s="7">
        <v>2629</v>
      </c>
      <c r="AI315" s="7">
        <v>4091</v>
      </c>
      <c r="AJ315" s="7">
        <v>1566</v>
      </c>
      <c r="AK315" s="7">
        <v>3145</v>
      </c>
      <c r="AL315" s="7">
        <v>4478</v>
      </c>
      <c r="AM315" s="30">
        <f t="shared" si="26"/>
        <v>2483.8333333333335</v>
      </c>
      <c r="AN315" s="30">
        <f t="shared" si="27"/>
        <v>1748.4081504631752</v>
      </c>
      <c r="AO315" s="30"/>
      <c r="AP315" s="29">
        <f t="shared" si="28"/>
        <v>1.2068379113760044</v>
      </c>
      <c r="AQ315" s="31">
        <f t="shared" si="29"/>
        <v>0.5461229687129343</v>
      </c>
      <c r="AR315" s="21" t="s">
        <v>815</v>
      </c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DM315" s="16"/>
      <c r="DN315" s="16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3"/>
      <c r="FW315" s="11"/>
    </row>
    <row r="316" spans="1:179" ht="18.75">
      <c r="A316" s="1" t="s">
        <v>915</v>
      </c>
      <c r="B316" s="2" t="s">
        <v>916</v>
      </c>
      <c r="C316" s="2" t="s">
        <v>313</v>
      </c>
      <c r="D316" s="2" t="str">
        <f>HYPERLINK("http://eros.fiehnlab.ucdavis.edu:8080/binbase-compound/bin/show/226903?db=rtx5","226903")</f>
        <v>226903</v>
      </c>
      <c r="E316" s="2" t="s">
        <v>116</v>
      </c>
      <c r="F316" s="2" t="s">
        <v>83</v>
      </c>
      <c r="G316" s="2" t="s">
        <v>83</v>
      </c>
      <c r="H316" s="7">
        <v>692</v>
      </c>
      <c r="I316" s="7">
        <v>1108</v>
      </c>
      <c r="J316" s="7">
        <v>1287</v>
      </c>
      <c r="K316" s="7">
        <v>1489</v>
      </c>
      <c r="L316" s="7">
        <v>1428</v>
      </c>
      <c r="M316" s="7">
        <v>1110</v>
      </c>
      <c r="N316" s="7">
        <v>1051</v>
      </c>
      <c r="O316" s="7">
        <v>2399</v>
      </c>
      <c r="P316" s="7">
        <v>577</v>
      </c>
      <c r="Q316" s="7">
        <v>3749</v>
      </c>
      <c r="R316" s="7">
        <v>1210</v>
      </c>
      <c r="S316" s="7">
        <v>1633</v>
      </c>
      <c r="T316" s="7">
        <v>2952</v>
      </c>
      <c r="U316" s="7">
        <v>1021</v>
      </c>
      <c r="V316" s="7">
        <v>2819</v>
      </c>
      <c r="W316" s="24">
        <f t="shared" si="24"/>
        <v>1635</v>
      </c>
      <c r="X316" s="25">
        <f t="shared" si="25"/>
        <v>919.4312683082173</v>
      </c>
      <c r="Y316" s="25"/>
      <c r="Z316" s="26"/>
      <c r="AA316" s="7">
        <v>2515</v>
      </c>
      <c r="AB316" s="7">
        <v>2774</v>
      </c>
      <c r="AC316" s="7">
        <v>3302</v>
      </c>
      <c r="AD316" s="7">
        <v>1002</v>
      </c>
      <c r="AE316" s="7">
        <v>2087</v>
      </c>
      <c r="AF316" s="7">
        <v>899</v>
      </c>
      <c r="AG316" s="7">
        <v>755</v>
      </c>
      <c r="AH316" s="7">
        <v>2632</v>
      </c>
      <c r="AI316" s="7">
        <v>1591</v>
      </c>
      <c r="AJ316" s="7">
        <v>1357</v>
      </c>
      <c r="AK316" s="7">
        <v>3012</v>
      </c>
      <c r="AL316" s="7">
        <v>2143</v>
      </c>
      <c r="AM316" s="30">
        <f t="shared" si="26"/>
        <v>2005.75</v>
      </c>
      <c r="AN316" s="30">
        <f t="shared" si="27"/>
        <v>871.240194936349</v>
      </c>
      <c r="AO316" s="30"/>
      <c r="AP316" s="29">
        <f t="shared" si="28"/>
        <v>1.2267584097859328</v>
      </c>
      <c r="AQ316" s="31">
        <f t="shared" si="29"/>
        <v>0.29689573806001474</v>
      </c>
      <c r="AR316" s="21" t="s">
        <v>915</v>
      </c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DM316" s="16"/>
      <c r="DN316" s="16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3"/>
      <c r="FW316" s="11"/>
    </row>
    <row r="317" spans="1:179" ht="18.75">
      <c r="A317" s="1" t="s">
        <v>802</v>
      </c>
      <c r="B317" s="2" t="s">
        <v>803</v>
      </c>
      <c r="C317" s="2" t="s">
        <v>561</v>
      </c>
      <c r="D317" s="2" t="str">
        <f>HYPERLINK("http://eros.fiehnlab.ucdavis.edu:8080/binbase-compound/bin/show/281363?db=rtx5","281363")</f>
        <v>281363</v>
      </c>
      <c r="E317" s="2" t="s">
        <v>144</v>
      </c>
      <c r="F317" s="2" t="s">
        <v>83</v>
      </c>
      <c r="G317" s="2" t="s">
        <v>83</v>
      </c>
      <c r="H317" s="7">
        <v>149</v>
      </c>
      <c r="I317" s="7">
        <v>759</v>
      </c>
      <c r="J317" s="7">
        <v>620</v>
      </c>
      <c r="K317" s="7">
        <v>251</v>
      </c>
      <c r="L317" s="7">
        <v>545</v>
      </c>
      <c r="M317" s="7">
        <v>1101</v>
      </c>
      <c r="N317" s="7">
        <v>948</v>
      </c>
      <c r="O317" s="7">
        <v>1223</v>
      </c>
      <c r="P317" s="7">
        <v>1256</v>
      </c>
      <c r="Q317" s="7">
        <v>2494</v>
      </c>
      <c r="R317" s="7">
        <v>963</v>
      </c>
      <c r="S317" s="7">
        <v>1117</v>
      </c>
      <c r="T317" s="7">
        <v>1935</v>
      </c>
      <c r="U317" s="7">
        <v>918</v>
      </c>
      <c r="V317" s="7">
        <v>893</v>
      </c>
      <c r="W317" s="24">
        <f t="shared" si="24"/>
        <v>1011.4666666666667</v>
      </c>
      <c r="X317" s="25">
        <f t="shared" si="25"/>
        <v>595.2429115995618</v>
      </c>
      <c r="Y317" s="25"/>
      <c r="Z317" s="26"/>
      <c r="AA317" s="7">
        <v>379</v>
      </c>
      <c r="AB317" s="7">
        <v>870</v>
      </c>
      <c r="AC317" s="7">
        <v>1563</v>
      </c>
      <c r="AD317" s="7">
        <v>1261</v>
      </c>
      <c r="AE317" s="7">
        <v>1183</v>
      </c>
      <c r="AF317" s="7">
        <v>180</v>
      </c>
      <c r="AG317" s="7">
        <v>764</v>
      </c>
      <c r="AH317" s="7">
        <v>1555</v>
      </c>
      <c r="AI317" s="7">
        <v>2000</v>
      </c>
      <c r="AJ317" s="7">
        <v>1801</v>
      </c>
      <c r="AK317" s="7">
        <v>1599</v>
      </c>
      <c r="AL317" s="7">
        <v>2017</v>
      </c>
      <c r="AM317" s="30">
        <f t="shared" si="26"/>
        <v>1264.3333333333333</v>
      </c>
      <c r="AN317" s="30">
        <f t="shared" si="27"/>
        <v>607.0395124676562</v>
      </c>
      <c r="AO317" s="30"/>
      <c r="AP317" s="29">
        <f t="shared" si="28"/>
        <v>1.2499999999999998</v>
      </c>
      <c r="AQ317" s="31">
        <f t="shared" si="29"/>
        <v>0.2872644513755927</v>
      </c>
      <c r="AR317" s="21" t="s">
        <v>802</v>
      </c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DM317" s="16"/>
      <c r="DN317" s="16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3"/>
      <c r="FW317" s="11"/>
    </row>
    <row r="318" spans="1:179" ht="18.75">
      <c r="A318" s="1" t="s">
        <v>327</v>
      </c>
      <c r="B318" s="2" t="s">
        <v>328</v>
      </c>
      <c r="C318" s="2" t="s">
        <v>240</v>
      </c>
      <c r="D318" s="2" t="str">
        <f>HYPERLINK("http://eros.fiehnlab.ucdavis.edu:8080/binbase-compound/bin/show/205663?db=rtx5","205663")</f>
        <v>205663</v>
      </c>
      <c r="E318" s="2" t="s">
        <v>1126</v>
      </c>
      <c r="F318" s="2" t="str">
        <f>HYPERLINK("http://www.genome.ad.jp/dbget-bin/www_bget?compound+C02721","C02721")</f>
        <v>C02721</v>
      </c>
      <c r="G318" s="2" t="str">
        <f>HYPERLINK("http://pubchem.ncbi.nlm.nih.gov/summary/summary.cgi?cid=5288725","5288725")</f>
        <v>5288725</v>
      </c>
      <c r="H318" s="7">
        <v>17130</v>
      </c>
      <c r="I318" s="7">
        <v>15419</v>
      </c>
      <c r="J318" s="7">
        <v>10357</v>
      </c>
      <c r="K318" s="7">
        <v>17981</v>
      </c>
      <c r="L318" s="7">
        <v>22806</v>
      </c>
      <c r="M318" s="7">
        <v>18270</v>
      </c>
      <c r="N318" s="7">
        <v>20578</v>
      </c>
      <c r="O318" s="7">
        <v>17430</v>
      </c>
      <c r="P318" s="7">
        <v>13581</v>
      </c>
      <c r="Q318" s="7">
        <v>23130</v>
      </c>
      <c r="R318" s="7">
        <v>16083</v>
      </c>
      <c r="S318" s="7">
        <v>14729</v>
      </c>
      <c r="T318" s="7">
        <v>12171</v>
      </c>
      <c r="U318" s="7">
        <v>16258</v>
      </c>
      <c r="V318" s="7">
        <v>30571</v>
      </c>
      <c r="W318" s="24">
        <f t="shared" si="24"/>
        <v>17766.266666666666</v>
      </c>
      <c r="X318" s="25">
        <f t="shared" si="25"/>
        <v>5002.977391609159</v>
      </c>
      <c r="Y318" s="25"/>
      <c r="Z318" s="26"/>
      <c r="AA318" s="7">
        <v>18382</v>
      </c>
      <c r="AB318" s="7">
        <v>25051</v>
      </c>
      <c r="AC318" s="7">
        <v>29094</v>
      </c>
      <c r="AD318" s="7">
        <v>29196</v>
      </c>
      <c r="AE318" s="7">
        <v>26164</v>
      </c>
      <c r="AF318" s="7">
        <v>15827</v>
      </c>
      <c r="AG318" s="7">
        <v>17442</v>
      </c>
      <c r="AH318" s="7">
        <v>16726</v>
      </c>
      <c r="AI318" s="7">
        <v>31277</v>
      </c>
      <c r="AJ318" s="7">
        <v>22621</v>
      </c>
      <c r="AK318" s="7">
        <v>11914</v>
      </c>
      <c r="AL318" s="7">
        <v>23543</v>
      </c>
      <c r="AM318" s="30">
        <f t="shared" si="26"/>
        <v>22269.75</v>
      </c>
      <c r="AN318" s="30">
        <f t="shared" si="27"/>
        <v>6166.0690015453265</v>
      </c>
      <c r="AO318" s="30"/>
      <c r="AP318" s="29">
        <f t="shared" si="28"/>
        <v>1.2534850690822308</v>
      </c>
      <c r="AQ318" s="31">
        <f t="shared" si="29"/>
        <v>0.04626598334886617</v>
      </c>
      <c r="AR318" s="21" t="s">
        <v>327</v>
      </c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DM318" s="16"/>
      <c r="DN318" s="16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3"/>
      <c r="FW318" s="11"/>
    </row>
    <row r="319" spans="1:179" ht="18.75">
      <c r="A319" s="1" t="s">
        <v>231</v>
      </c>
      <c r="B319" s="2" t="s">
        <v>232</v>
      </c>
      <c r="C319" s="2" t="s">
        <v>233</v>
      </c>
      <c r="D319" s="2" t="str">
        <f>HYPERLINK("http://eros.fiehnlab.ucdavis.edu:8080/binbase-compound/bin/show/199804?db=rtx5","199804")</f>
        <v>199804</v>
      </c>
      <c r="E319" s="2" t="s">
        <v>579</v>
      </c>
      <c r="F319" s="2" t="str">
        <f>HYPERLINK("http://www.genome.ad.jp/dbget-bin/www_bget?compound+C01157","C01157")</f>
        <v>C01157</v>
      </c>
      <c r="G319" s="2" t="str">
        <f>HYPERLINK("http://pubchem.ncbi.nlm.nih.gov/summary/summary.cgi?cid=5810","5810")</f>
        <v>5810</v>
      </c>
      <c r="H319" s="7">
        <v>1337</v>
      </c>
      <c r="I319" s="7">
        <v>1245</v>
      </c>
      <c r="J319" s="7">
        <v>716</v>
      </c>
      <c r="K319" s="7">
        <v>522</v>
      </c>
      <c r="L319" s="7">
        <v>665</v>
      </c>
      <c r="M319" s="7">
        <v>1044</v>
      </c>
      <c r="N319" s="7">
        <v>697</v>
      </c>
      <c r="O319" s="7">
        <v>1320</v>
      </c>
      <c r="P319" s="7">
        <v>1315</v>
      </c>
      <c r="Q319" s="7">
        <v>615</v>
      </c>
      <c r="R319" s="7">
        <v>850</v>
      </c>
      <c r="S319" s="7">
        <v>943</v>
      </c>
      <c r="T319" s="7">
        <v>1304</v>
      </c>
      <c r="U319" s="7">
        <v>600</v>
      </c>
      <c r="V319" s="7">
        <v>991</v>
      </c>
      <c r="W319" s="24">
        <f t="shared" si="24"/>
        <v>944.2666666666667</v>
      </c>
      <c r="X319" s="25">
        <f t="shared" si="25"/>
        <v>301.2126602031639</v>
      </c>
      <c r="Y319" s="25"/>
      <c r="Z319" s="26"/>
      <c r="AA319" s="7">
        <v>726</v>
      </c>
      <c r="AB319" s="7">
        <v>480</v>
      </c>
      <c r="AC319" s="7">
        <v>845</v>
      </c>
      <c r="AD319" s="7">
        <v>1118</v>
      </c>
      <c r="AE319" s="7">
        <v>545</v>
      </c>
      <c r="AF319" s="7">
        <v>1253</v>
      </c>
      <c r="AG319" s="7">
        <v>3070</v>
      </c>
      <c r="AH319" s="7">
        <v>1619</v>
      </c>
      <c r="AI319" s="7">
        <v>1021</v>
      </c>
      <c r="AJ319" s="7">
        <v>1553</v>
      </c>
      <c r="AK319" s="7">
        <v>1033</v>
      </c>
      <c r="AL319" s="7">
        <v>1078</v>
      </c>
      <c r="AM319" s="30">
        <f t="shared" si="26"/>
        <v>1195.0833333333333</v>
      </c>
      <c r="AN319" s="30">
        <f t="shared" si="27"/>
        <v>686.1786751586094</v>
      </c>
      <c r="AO319" s="30"/>
      <c r="AP319" s="29">
        <f t="shared" si="28"/>
        <v>1.265620587404688</v>
      </c>
      <c r="AQ319" s="31">
        <f t="shared" si="29"/>
        <v>0.2140225881057941</v>
      </c>
      <c r="AR319" s="21" t="s">
        <v>231</v>
      </c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DM319" s="16"/>
      <c r="DN319" s="16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3"/>
      <c r="FW319" s="11"/>
    </row>
    <row r="320" spans="1:179" ht="18.75">
      <c r="A320" s="1" t="s">
        <v>674</v>
      </c>
      <c r="B320" s="2" t="s">
        <v>675</v>
      </c>
      <c r="C320" s="2" t="s">
        <v>676</v>
      </c>
      <c r="D320" s="2" t="str">
        <f>HYPERLINK("http://eros.fiehnlab.ucdavis.edu:8080/binbase-compound/bin/show/415114?db=rtx5","415114")</f>
        <v>415114</v>
      </c>
      <c r="E320" s="2" t="s">
        <v>656</v>
      </c>
      <c r="F320" s="2" t="s">
        <v>83</v>
      </c>
      <c r="G320" s="2" t="s">
        <v>83</v>
      </c>
      <c r="H320" s="7">
        <v>4330</v>
      </c>
      <c r="I320" s="7">
        <v>6446</v>
      </c>
      <c r="J320" s="7">
        <v>12759</v>
      </c>
      <c r="K320" s="7">
        <v>5512</v>
      </c>
      <c r="L320" s="7">
        <v>9682</v>
      </c>
      <c r="M320" s="7">
        <v>9773</v>
      </c>
      <c r="N320" s="7">
        <v>6520</v>
      </c>
      <c r="O320" s="7">
        <v>11089</v>
      </c>
      <c r="P320" s="7">
        <v>5589</v>
      </c>
      <c r="Q320" s="7">
        <v>5364</v>
      </c>
      <c r="R320" s="7">
        <v>6691</v>
      </c>
      <c r="S320" s="7">
        <v>6855</v>
      </c>
      <c r="T320" s="7">
        <v>10636</v>
      </c>
      <c r="U320" s="7">
        <v>6950</v>
      </c>
      <c r="V320" s="7">
        <v>6828</v>
      </c>
      <c r="W320" s="24">
        <f t="shared" si="24"/>
        <v>7668.266666666666</v>
      </c>
      <c r="X320" s="25">
        <f t="shared" si="25"/>
        <v>2478.288766371628</v>
      </c>
      <c r="Y320" s="25"/>
      <c r="Z320" s="26"/>
      <c r="AA320" s="7">
        <v>18836</v>
      </c>
      <c r="AB320" s="7">
        <v>7059</v>
      </c>
      <c r="AC320" s="7">
        <v>5746</v>
      </c>
      <c r="AD320" s="7">
        <v>4842</v>
      </c>
      <c r="AE320" s="7">
        <v>6845</v>
      </c>
      <c r="AF320" s="7">
        <v>6253</v>
      </c>
      <c r="AG320" s="7">
        <v>5312</v>
      </c>
      <c r="AH320" s="7">
        <v>13689</v>
      </c>
      <c r="AI320" s="7">
        <v>14541</v>
      </c>
      <c r="AJ320" s="7">
        <v>4874</v>
      </c>
      <c r="AK320" s="7">
        <v>15384</v>
      </c>
      <c r="AL320" s="7">
        <v>14047</v>
      </c>
      <c r="AM320" s="30">
        <f t="shared" si="26"/>
        <v>9785.666666666666</v>
      </c>
      <c r="AN320" s="30">
        <f t="shared" si="27"/>
        <v>5069.668383154023</v>
      </c>
      <c r="AO320" s="30"/>
      <c r="AP320" s="29">
        <f t="shared" si="28"/>
        <v>1.2761249826123244</v>
      </c>
      <c r="AQ320" s="31">
        <f t="shared" si="29"/>
        <v>0.1669233880516541</v>
      </c>
      <c r="AR320" s="21" t="s">
        <v>674</v>
      </c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DM320" s="16"/>
      <c r="DN320" s="16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3"/>
      <c r="FW320" s="11"/>
    </row>
    <row r="321" spans="1:179" ht="18.75">
      <c r="A321" s="1" t="s">
        <v>1011</v>
      </c>
      <c r="B321" s="2" t="s">
        <v>1012</v>
      </c>
      <c r="C321" s="2" t="s">
        <v>85</v>
      </c>
      <c r="D321" s="2" t="str">
        <f>HYPERLINK("http://eros.fiehnlab.ucdavis.edu:8080/binbase-compound/bin/show/204157?db=rtx5","204157")</f>
        <v>204157</v>
      </c>
      <c r="E321" s="2" t="s">
        <v>13</v>
      </c>
      <c r="F321" s="2" t="s">
        <v>83</v>
      </c>
      <c r="G321" s="2" t="s">
        <v>83</v>
      </c>
      <c r="H321" s="7">
        <v>1301</v>
      </c>
      <c r="I321" s="7">
        <v>809</v>
      </c>
      <c r="J321" s="7">
        <v>4450</v>
      </c>
      <c r="K321" s="7">
        <v>1244</v>
      </c>
      <c r="L321" s="7">
        <v>1020</v>
      </c>
      <c r="M321" s="7">
        <v>2267</v>
      </c>
      <c r="N321" s="7">
        <v>1071</v>
      </c>
      <c r="O321" s="7">
        <v>1467</v>
      </c>
      <c r="P321" s="7">
        <v>4034</v>
      </c>
      <c r="Q321" s="7">
        <v>1031</v>
      </c>
      <c r="R321" s="7">
        <v>1357</v>
      </c>
      <c r="S321" s="7">
        <v>1988</v>
      </c>
      <c r="T321" s="7">
        <v>3103</v>
      </c>
      <c r="U321" s="7">
        <v>1434</v>
      </c>
      <c r="V321" s="7">
        <v>1585</v>
      </c>
      <c r="W321" s="24">
        <f t="shared" si="24"/>
        <v>1877.4</v>
      </c>
      <c r="X321" s="25">
        <f t="shared" si="25"/>
        <v>1122.2864289348904</v>
      </c>
      <c r="Y321" s="25"/>
      <c r="Z321" s="26"/>
      <c r="AA321" s="7">
        <v>1083</v>
      </c>
      <c r="AB321" s="7">
        <v>1387</v>
      </c>
      <c r="AC321" s="7">
        <v>941</v>
      </c>
      <c r="AD321" s="7">
        <v>2002</v>
      </c>
      <c r="AE321" s="7">
        <v>1269</v>
      </c>
      <c r="AF321" s="7">
        <v>1463</v>
      </c>
      <c r="AG321" s="7">
        <v>873</v>
      </c>
      <c r="AH321" s="7">
        <v>1187</v>
      </c>
      <c r="AI321" s="7">
        <v>1633</v>
      </c>
      <c r="AJ321" s="7">
        <v>3710</v>
      </c>
      <c r="AK321" s="7">
        <v>9582</v>
      </c>
      <c r="AL321" s="7">
        <v>3849</v>
      </c>
      <c r="AM321" s="30">
        <f t="shared" si="26"/>
        <v>2414.9166666666665</v>
      </c>
      <c r="AN321" s="30">
        <f t="shared" si="27"/>
        <v>2467.8001782350552</v>
      </c>
      <c r="AO321" s="30"/>
      <c r="AP321" s="29">
        <f t="shared" si="28"/>
        <v>1.2863090799332408</v>
      </c>
      <c r="AQ321" s="31">
        <f t="shared" si="29"/>
        <v>0.4576892286572243</v>
      </c>
      <c r="AR321" s="21" t="s">
        <v>1011</v>
      </c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DM321" s="16"/>
      <c r="DN321" s="16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3"/>
      <c r="FW321" s="11"/>
    </row>
    <row r="322" spans="1:179" ht="18.75">
      <c r="A322" s="1" t="s">
        <v>476</v>
      </c>
      <c r="B322" s="2" t="s">
        <v>477</v>
      </c>
      <c r="C322" s="2" t="s">
        <v>428</v>
      </c>
      <c r="D322" s="2" t="str">
        <f>HYPERLINK("http://eros.fiehnlab.ucdavis.edu:8080/binbase-compound/bin/show/275091?db=rtx5","275091")</f>
        <v>275091</v>
      </c>
      <c r="E322" s="2" t="s">
        <v>639</v>
      </c>
      <c r="F322" s="2" t="str">
        <f>HYPERLINK("http://www.genome.ad.jp/dbget-bin/www_bget?compound+C11457","C11457")</f>
        <v>C11457</v>
      </c>
      <c r="G322" s="2" t="str">
        <f>HYPERLINK("http://pubchem.ncbi.nlm.nih.gov/summary/summary.cgi?cid=91","91")</f>
        <v>91</v>
      </c>
      <c r="H322" s="7">
        <v>2421</v>
      </c>
      <c r="I322" s="7">
        <v>2524</v>
      </c>
      <c r="J322" s="7">
        <v>1534</v>
      </c>
      <c r="K322" s="7">
        <v>1528</v>
      </c>
      <c r="L322" s="7">
        <v>3026</v>
      </c>
      <c r="M322" s="7">
        <v>2394</v>
      </c>
      <c r="N322" s="7">
        <v>2216</v>
      </c>
      <c r="O322" s="7">
        <v>2902</v>
      </c>
      <c r="P322" s="7">
        <v>2385</v>
      </c>
      <c r="Q322" s="7">
        <v>1093</v>
      </c>
      <c r="R322" s="7">
        <v>2234</v>
      </c>
      <c r="S322" s="7">
        <v>3654</v>
      </c>
      <c r="T322" s="7">
        <v>5606</v>
      </c>
      <c r="U322" s="7">
        <v>1563</v>
      </c>
      <c r="V322" s="7">
        <v>3389</v>
      </c>
      <c r="W322" s="24">
        <f t="shared" si="24"/>
        <v>2564.6</v>
      </c>
      <c r="X322" s="25">
        <f t="shared" si="25"/>
        <v>1103.992870059792</v>
      </c>
      <c r="Y322" s="25"/>
      <c r="Z322" s="26"/>
      <c r="AA322" s="7">
        <v>6782</v>
      </c>
      <c r="AB322" s="7">
        <v>1482</v>
      </c>
      <c r="AC322" s="7">
        <v>2178</v>
      </c>
      <c r="AD322" s="7">
        <v>2165</v>
      </c>
      <c r="AE322" s="7">
        <v>1847</v>
      </c>
      <c r="AF322" s="7">
        <v>3054</v>
      </c>
      <c r="AG322" s="7">
        <v>2244</v>
      </c>
      <c r="AH322" s="7">
        <v>7042</v>
      </c>
      <c r="AI322" s="7">
        <v>2354</v>
      </c>
      <c r="AJ322" s="7">
        <v>2618</v>
      </c>
      <c r="AK322" s="7">
        <v>6071</v>
      </c>
      <c r="AL322" s="7">
        <v>2178</v>
      </c>
      <c r="AM322" s="30">
        <f t="shared" si="26"/>
        <v>3334.5833333333335</v>
      </c>
      <c r="AN322" s="30">
        <f t="shared" si="27"/>
        <v>2034.8999286689677</v>
      </c>
      <c r="AO322" s="30"/>
      <c r="AP322" s="29">
        <f t="shared" si="28"/>
        <v>1.3002352543606541</v>
      </c>
      <c r="AQ322" s="31">
        <f t="shared" si="29"/>
        <v>0.2206381637398173</v>
      </c>
      <c r="AR322" s="21" t="s">
        <v>476</v>
      </c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DM322" s="16"/>
      <c r="DN322" s="16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3"/>
      <c r="FW322" s="11"/>
    </row>
    <row r="323" spans="1:179" ht="18.75">
      <c r="A323" s="1" t="s">
        <v>937</v>
      </c>
      <c r="B323" s="2" t="s">
        <v>938</v>
      </c>
      <c r="C323" s="2" t="s">
        <v>402</v>
      </c>
      <c r="D323" s="2" t="str">
        <f>HYPERLINK("http://eros.fiehnlab.ucdavis.edu:8080/binbase-compound/bin/show/226841?db=rtx5","226841")</f>
        <v>226841</v>
      </c>
      <c r="E323" s="2" t="s">
        <v>646</v>
      </c>
      <c r="F323" s="2" t="s">
        <v>83</v>
      </c>
      <c r="G323" s="2" t="s">
        <v>83</v>
      </c>
      <c r="H323" s="7">
        <v>447</v>
      </c>
      <c r="I323" s="7">
        <v>7537</v>
      </c>
      <c r="J323" s="7">
        <v>15066</v>
      </c>
      <c r="K323" s="7">
        <v>18654</v>
      </c>
      <c r="L323" s="7">
        <v>14486</v>
      </c>
      <c r="M323" s="7">
        <v>17456</v>
      </c>
      <c r="N323" s="7">
        <v>10847</v>
      </c>
      <c r="O323" s="7">
        <v>18592</v>
      </c>
      <c r="P323" s="7">
        <v>18360</v>
      </c>
      <c r="Q323" s="7">
        <v>18361</v>
      </c>
      <c r="R323" s="7">
        <v>12281</v>
      </c>
      <c r="S323" s="7">
        <v>22373</v>
      </c>
      <c r="T323" s="7">
        <v>30514</v>
      </c>
      <c r="U323" s="7">
        <v>13348</v>
      </c>
      <c r="V323" s="7">
        <v>15308</v>
      </c>
      <c r="W323" s="24">
        <f t="shared" si="24"/>
        <v>15575.333333333334</v>
      </c>
      <c r="X323" s="25">
        <f t="shared" si="25"/>
        <v>6762.138838168489</v>
      </c>
      <c r="Y323" s="25"/>
      <c r="Z323" s="26"/>
      <c r="AA323" s="7">
        <v>21878</v>
      </c>
      <c r="AB323" s="7">
        <v>24388</v>
      </c>
      <c r="AC323" s="7">
        <v>18806</v>
      </c>
      <c r="AD323" s="7">
        <v>13550</v>
      </c>
      <c r="AE323" s="7">
        <v>28565</v>
      </c>
      <c r="AF323" s="7">
        <v>1160</v>
      </c>
      <c r="AG323" s="7">
        <v>5346</v>
      </c>
      <c r="AH323" s="7">
        <v>21524</v>
      </c>
      <c r="AI323" s="7">
        <v>18648</v>
      </c>
      <c r="AJ323" s="7">
        <v>11494</v>
      </c>
      <c r="AK323" s="7">
        <v>42640</v>
      </c>
      <c r="AL323" s="7">
        <v>36252</v>
      </c>
      <c r="AM323" s="30">
        <f t="shared" si="26"/>
        <v>20354.25</v>
      </c>
      <c r="AN323" s="30">
        <f t="shared" si="27"/>
        <v>11910.83467134784</v>
      </c>
      <c r="AO323" s="30"/>
      <c r="AP323" s="29">
        <f t="shared" si="28"/>
        <v>1.3068259641313187</v>
      </c>
      <c r="AQ323" s="31">
        <f t="shared" si="29"/>
        <v>0.20039911755944384</v>
      </c>
      <c r="AR323" s="21" t="s">
        <v>937</v>
      </c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DM323" s="16"/>
      <c r="DN323" s="16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3"/>
      <c r="FW323" s="11"/>
    </row>
    <row r="324" spans="1:179" ht="18.75">
      <c r="A324" s="1" t="s">
        <v>835</v>
      </c>
      <c r="B324" s="2" t="s">
        <v>836</v>
      </c>
      <c r="C324" s="2" t="s">
        <v>440</v>
      </c>
      <c r="D324" s="2" t="str">
        <f>HYPERLINK("http://eros.fiehnlab.ucdavis.edu:8080/binbase-compound/bin/show/268365?db=rtx5","268365")</f>
        <v>268365</v>
      </c>
      <c r="E324" s="2" t="s">
        <v>181</v>
      </c>
      <c r="F324" s="2" t="s">
        <v>83</v>
      </c>
      <c r="G324" s="2" t="s">
        <v>83</v>
      </c>
      <c r="H324" s="7">
        <v>438</v>
      </c>
      <c r="I324" s="7">
        <v>282</v>
      </c>
      <c r="J324" s="7">
        <v>2078</v>
      </c>
      <c r="K324" s="7">
        <v>1115</v>
      </c>
      <c r="L324" s="7">
        <v>598</v>
      </c>
      <c r="M324" s="7">
        <v>947</v>
      </c>
      <c r="N324" s="7">
        <v>678</v>
      </c>
      <c r="O324" s="7">
        <v>1161</v>
      </c>
      <c r="P324" s="7">
        <v>175</v>
      </c>
      <c r="Q324" s="7">
        <v>1300</v>
      </c>
      <c r="R324" s="7">
        <v>487</v>
      </c>
      <c r="S324" s="7">
        <v>1345</v>
      </c>
      <c r="T324" s="7">
        <v>840</v>
      </c>
      <c r="U324" s="7">
        <v>986</v>
      </c>
      <c r="V324" s="7">
        <v>2515</v>
      </c>
      <c r="W324" s="24">
        <f t="shared" si="24"/>
        <v>996.3333333333334</v>
      </c>
      <c r="X324" s="25">
        <f t="shared" si="25"/>
        <v>642.2245564850202</v>
      </c>
      <c r="Y324" s="25"/>
      <c r="Z324" s="26"/>
      <c r="AA324" s="7">
        <v>1069</v>
      </c>
      <c r="AB324" s="7">
        <v>1564</v>
      </c>
      <c r="AC324" s="7">
        <v>1302</v>
      </c>
      <c r="AD324" s="7">
        <v>3327</v>
      </c>
      <c r="AE324" s="7">
        <v>1628</v>
      </c>
      <c r="AF324" s="7">
        <v>364</v>
      </c>
      <c r="AG324" s="7">
        <v>327</v>
      </c>
      <c r="AH324" s="7">
        <v>579</v>
      </c>
      <c r="AI324" s="7">
        <v>826</v>
      </c>
      <c r="AJ324" s="7">
        <v>2820</v>
      </c>
      <c r="AK324" s="7">
        <v>1212</v>
      </c>
      <c r="AL324" s="7">
        <v>1018</v>
      </c>
      <c r="AM324" s="30">
        <f t="shared" si="26"/>
        <v>1336.3333333333333</v>
      </c>
      <c r="AN324" s="30">
        <f t="shared" si="27"/>
        <v>918.9194576767704</v>
      </c>
      <c r="AO324" s="30"/>
      <c r="AP324" s="29">
        <f t="shared" si="28"/>
        <v>1.3412512546002007</v>
      </c>
      <c r="AQ324" s="31">
        <f t="shared" si="29"/>
        <v>0.26880284565670287</v>
      </c>
      <c r="AR324" s="21" t="s">
        <v>835</v>
      </c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DM324" s="16"/>
      <c r="DN324" s="16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3"/>
      <c r="FW324" s="11"/>
    </row>
    <row r="325" spans="1:179" ht="18.75">
      <c r="A325" s="1" t="s">
        <v>400</v>
      </c>
      <c r="B325" s="2" t="s">
        <v>401</v>
      </c>
      <c r="C325" s="2" t="s">
        <v>402</v>
      </c>
      <c r="D325" s="2" t="str">
        <f>HYPERLINK("http://eros.fiehnlab.ucdavis.edu:8080/binbase-compound/bin/show/281106?db=rtx5","281106")</f>
        <v>281106</v>
      </c>
      <c r="E325" s="2" t="s">
        <v>1118</v>
      </c>
      <c r="F325" s="2" t="s">
        <v>83</v>
      </c>
      <c r="G325" s="2" t="str">
        <f>HYPERLINK("http://pubchem.ncbi.nlm.nih.gov/summary/summary.cgi?cid=8897","8897")</f>
        <v>8897</v>
      </c>
      <c r="H325" s="7">
        <v>5256</v>
      </c>
      <c r="I325" s="7">
        <v>13494</v>
      </c>
      <c r="J325" s="7">
        <v>22424</v>
      </c>
      <c r="K325" s="7">
        <v>14307</v>
      </c>
      <c r="L325" s="7">
        <v>16240</v>
      </c>
      <c r="M325" s="7">
        <v>37790</v>
      </c>
      <c r="N325" s="7">
        <v>25224</v>
      </c>
      <c r="O325" s="7">
        <v>52893</v>
      </c>
      <c r="P325" s="7">
        <v>18460</v>
      </c>
      <c r="Q325" s="7">
        <v>96731</v>
      </c>
      <c r="R325" s="7">
        <v>28130</v>
      </c>
      <c r="S325" s="7">
        <v>19972</v>
      </c>
      <c r="T325" s="7">
        <v>44381</v>
      </c>
      <c r="U325" s="7">
        <v>26258</v>
      </c>
      <c r="V325" s="7">
        <v>42494</v>
      </c>
      <c r="W325" s="24">
        <f t="shared" si="24"/>
        <v>30936.933333333334</v>
      </c>
      <c r="X325" s="25">
        <f t="shared" si="25"/>
        <v>22423.368975457808</v>
      </c>
      <c r="Y325" s="25"/>
      <c r="Z325" s="26"/>
      <c r="AA325" s="7">
        <v>14590</v>
      </c>
      <c r="AB325" s="7">
        <v>31406</v>
      </c>
      <c r="AC325" s="7">
        <v>60403</v>
      </c>
      <c r="AD325" s="7">
        <v>77929</v>
      </c>
      <c r="AE325" s="7">
        <v>50143</v>
      </c>
      <c r="AF325" s="7">
        <v>3836</v>
      </c>
      <c r="AG325" s="7">
        <v>16478</v>
      </c>
      <c r="AH325" s="7">
        <v>31687</v>
      </c>
      <c r="AI325" s="7">
        <v>44331</v>
      </c>
      <c r="AJ325" s="7">
        <v>85854</v>
      </c>
      <c r="AK325" s="7">
        <v>45254</v>
      </c>
      <c r="AL325" s="7">
        <v>62696</v>
      </c>
      <c r="AM325" s="30">
        <f t="shared" si="26"/>
        <v>43717.25</v>
      </c>
      <c r="AN325" s="30">
        <f t="shared" si="27"/>
        <v>25416.11268154336</v>
      </c>
      <c r="AO325" s="30"/>
      <c r="AP325" s="29">
        <f t="shared" si="28"/>
        <v>1.4131087114861631</v>
      </c>
      <c r="AQ325" s="31">
        <f t="shared" si="29"/>
        <v>0.17760121959445838</v>
      </c>
      <c r="AR325" s="21" t="s">
        <v>400</v>
      </c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DM325" s="16"/>
      <c r="DN325" s="16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3"/>
      <c r="FW325" s="11"/>
    </row>
    <row r="326" spans="1:179" ht="18.75">
      <c r="A326" s="1" t="s">
        <v>804</v>
      </c>
      <c r="B326" s="2" t="s">
        <v>805</v>
      </c>
      <c r="C326" s="2" t="s">
        <v>280</v>
      </c>
      <c r="D326" s="2" t="str">
        <f>HYPERLINK("http://eros.fiehnlab.ucdavis.edu:8080/binbase-compound/bin/show/281268?db=rtx5","281268")</f>
        <v>281268</v>
      </c>
      <c r="E326" s="2" t="s">
        <v>141</v>
      </c>
      <c r="F326" s="2" t="s">
        <v>83</v>
      </c>
      <c r="G326" s="2" t="s">
        <v>83</v>
      </c>
      <c r="H326" s="7">
        <v>2172</v>
      </c>
      <c r="I326" s="7">
        <v>2581</v>
      </c>
      <c r="J326" s="7">
        <v>502</v>
      </c>
      <c r="K326" s="7">
        <v>337</v>
      </c>
      <c r="L326" s="7">
        <v>539</v>
      </c>
      <c r="M326" s="7">
        <v>705</v>
      </c>
      <c r="N326" s="7">
        <v>557</v>
      </c>
      <c r="O326" s="7">
        <v>2584</v>
      </c>
      <c r="P326" s="7">
        <v>323</v>
      </c>
      <c r="Q326" s="7">
        <v>1115</v>
      </c>
      <c r="R326" s="7">
        <v>467</v>
      </c>
      <c r="S326" s="7">
        <v>707</v>
      </c>
      <c r="T326" s="7">
        <v>1363</v>
      </c>
      <c r="U326" s="7">
        <v>575</v>
      </c>
      <c r="V326" s="7">
        <v>1724</v>
      </c>
      <c r="W326" s="24">
        <f t="shared" si="24"/>
        <v>1083.4</v>
      </c>
      <c r="X326" s="25">
        <f t="shared" si="25"/>
        <v>807.9647092717425</v>
      </c>
      <c r="Y326" s="25"/>
      <c r="Z326" s="26"/>
      <c r="AA326" s="7">
        <v>951</v>
      </c>
      <c r="AB326" s="7">
        <v>1018</v>
      </c>
      <c r="AC326" s="7">
        <v>843</v>
      </c>
      <c r="AD326" s="7">
        <v>2062</v>
      </c>
      <c r="AE326" s="7">
        <v>1304</v>
      </c>
      <c r="AF326" s="7">
        <v>3150</v>
      </c>
      <c r="AG326" s="7">
        <v>1836</v>
      </c>
      <c r="AH326" s="7">
        <v>1094</v>
      </c>
      <c r="AI326" s="7">
        <v>1533</v>
      </c>
      <c r="AJ326" s="7">
        <v>2088</v>
      </c>
      <c r="AK326" s="7">
        <v>1269</v>
      </c>
      <c r="AL326" s="7">
        <v>1582</v>
      </c>
      <c r="AM326" s="30">
        <f t="shared" si="26"/>
        <v>1560.8333333333333</v>
      </c>
      <c r="AN326" s="30">
        <f t="shared" si="27"/>
        <v>652.4342994903895</v>
      </c>
      <c r="AO326" s="30"/>
      <c r="AP326" s="29">
        <f t="shared" si="28"/>
        <v>1.440680573503169</v>
      </c>
      <c r="AQ326" s="31">
        <f t="shared" si="29"/>
        <v>0.10983593179933428</v>
      </c>
      <c r="AR326" s="21" t="s">
        <v>804</v>
      </c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DM326" s="16"/>
      <c r="DN326" s="16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3"/>
      <c r="FW326" s="11"/>
    </row>
    <row r="327" spans="1:179" ht="18.75">
      <c r="A327" s="1" t="s">
        <v>973</v>
      </c>
      <c r="B327" s="2" t="s">
        <v>974</v>
      </c>
      <c r="C327" s="2" t="s">
        <v>456</v>
      </c>
      <c r="D327" s="2" t="str">
        <f>HYPERLINK("http://eros.fiehnlab.ucdavis.edu:8080/binbase-compound/bin/show/217893?db=rtx5","217893")</f>
        <v>217893</v>
      </c>
      <c r="E327" s="2" t="s">
        <v>40</v>
      </c>
      <c r="F327" s="2" t="s">
        <v>83</v>
      </c>
      <c r="G327" s="2" t="s">
        <v>83</v>
      </c>
      <c r="H327" s="7">
        <v>384</v>
      </c>
      <c r="I327" s="7">
        <v>496</v>
      </c>
      <c r="J327" s="7">
        <v>845</v>
      </c>
      <c r="K327" s="7">
        <v>380</v>
      </c>
      <c r="L327" s="7">
        <v>316</v>
      </c>
      <c r="M327" s="7">
        <v>470</v>
      </c>
      <c r="N327" s="7">
        <v>425</v>
      </c>
      <c r="O327" s="7">
        <v>366</v>
      </c>
      <c r="P327" s="7">
        <v>309</v>
      </c>
      <c r="Q327" s="7">
        <v>351</v>
      </c>
      <c r="R327" s="7">
        <v>435</v>
      </c>
      <c r="S327" s="7">
        <v>335</v>
      </c>
      <c r="T327" s="7">
        <v>424</v>
      </c>
      <c r="U327" s="7">
        <v>434</v>
      </c>
      <c r="V327" s="7">
        <v>978</v>
      </c>
      <c r="W327" s="24">
        <f>AVERAGE(H327:V327)</f>
        <v>463.2</v>
      </c>
      <c r="X327" s="25">
        <f t="shared" si="25"/>
        <v>191.54790523521783</v>
      </c>
      <c r="Y327" s="25"/>
      <c r="Z327" s="26"/>
      <c r="AA327" s="7">
        <v>361</v>
      </c>
      <c r="AB327" s="7">
        <v>448</v>
      </c>
      <c r="AC327" s="7">
        <v>351</v>
      </c>
      <c r="AD327" s="7">
        <v>393</v>
      </c>
      <c r="AE327" s="7">
        <v>1680</v>
      </c>
      <c r="AF327" s="7">
        <v>1392</v>
      </c>
      <c r="AG327" s="7">
        <v>542</v>
      </c>
      <c r="AH327" s="7">
        <v>751</v>
      </c>
      <c r="AI327" s="7">
        <v>377</v>
      </c>
      <c r="AJ327" s="7">
        <v>422</v>
      </c>
      <c r="AK327" s="7">
        <v>1260</v>
      </c>
      <c r="AL327" s="7">
        <v>435</v>
      </c>
      <c r="AM327" s="30">
        <f>AVERAGE(AA327:AL327)</f>
        <v>701</v>
      </c>
      <c r="AN327" s="30">
        <f t="shared" si="27"/>
        <v>469.6933235440101</v>
      </c>
      <c r="AO327" s="30"/>
      <c r="AP327" s="29">
        <f t="shared" si="28"/>
        <v>1.513385146804836</v>
      </c>
      <c r="AQ327" s="31">
        <f t="shared" si="29"/>
        <v>0.08552020486905615</v>
      </c>
      <c r="AR327" s="21" t="s">
        <v>973</v>
      </c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DM327" s="16"/>
      <c r="DN327" s="16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3"/>
      <c r="FW327" s="11"/>
    </row>
    <row r="328" spans="23:177" ht="15">
      <c r="W328" s="14"/>
      <c r="AM328" s="28"/>
      <c r="AN328" s="28"/>
      <c r="AO328" s="28"/>
      <c r="AP328" s="28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</row>
    <row r="329" spans="23:177" ht="15">
      <c r="W329" s="14"/>
      <c r="AM329" s="28"/>
      <c r="AN329" s="28"/>
      <c r="AO329" s="28"/>
      <c r="AP329" s="28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</row>
    <row r="330" spans="23:42" ht="15">
      <c r="W330" s="14"/>
      <c r="AM330" s="28"/>
      <c r="AN330" s="28"/>
      <c r="AO330" s="28"/>
      <c r="AP330" s="28"/>
    </row>
    <row r="331" spans="23:42" ht="15">
      <c r="W331" s="14"/>
      <c r="AM331" s="28"/>
      <c r="AN331" s="28"/>
      <c r="AO331" s="28"/>
      <c r="AP331" s="28"/>
    </row>
    <row r="332" spans="23:42" ht="15">
      <c r="W332" s="14"/>
      <c r="AM332" s="28"/>
      <c r="AN332" s="28"/>
      <c r="AO332" s="28"/>
      <c r="AP332" s="28"/>
    </row>
    <row r="333" spans="23:42" ht="15">
      <c r="W333" s="14"/>
      <c r="AM333" s="28"/>
      <c r="AN333" s="28"/>
      <c r="AO333" s="28"/>
      <c r="AP333" s="28"/>
    </row>
    <row r="334" spans="23:42" ht="15">
      <c r="W334" s="14"/>
      <c r="AM334" s="28"/>
      <c r="AN334" s="28"/>
      <c r="AO334" s="28"/>
      <c r="AP334" s="28"/>
    </row>
    <row r="335" spans="23:42" ht="15">
      <c r="W335" s="14"/>
      <c r="AM335" s="28"/>
      <c r="AN335" s="28"/>
      <c r="AO335" s="28"/>
      <c r="AP335" s="28"/>
    </row>
    <row r="336" spans="23:42" ht="15">
      <c r="W336" s="14"/>
      <c r="AM336" s="28"/>
      <c r="AN336" s="28"/>
      <c r="AO336" s="28"/>
      <c r="AP336" s="28"/>
    </row>
    <row r="337" spans="23:42" ht="15">
      <c r="W337" s="14"/>
      <c r="AM337" s="28"/>
      <c r="AN337" s="28"/>
      <c r="AO337" s="28"/>
      <c r="AP337" s="28"/>
    </row>
    <row r="338" spans="23:42" ht="15">
      <c r="W338" s="14"/>
      <c r="AM338" s="28"/>
      <c r="AN338" s="28"/>
      <c r="AO338" s="28"/>
      <c r="AP338" s="28"/>
    </row>
    <row r="339" spans="23:42" ht="15">
      <c r="W339" s="14"/>
      <c r="AM339" s="28"/>
      <c r="AN339" s="28"/>
      <c r="AO339" s="28"/>
      <c r="AP339" s="28"/>
    </row>
    <row r="340" spans="23:42" ht="15">
      <c r="W340" s="14"/>
      <c r="AM340" s="28"/>
      <c r="AN340" s="28"/>
      <c r="AO340" s="28"/>
      <c r="AP340" s="28"/>
    </row>
    <row r="341" spans="23:42" ht="15">
      <c r="W341" s="14"/>
      <c r="AM341" s="28"/>
      <c r="AN341" s="28"/>
      <c r="AO341" s="28"/>
      <c r="AP341" s="28"/>
    </row>
    <row r="342" spans="23:42" ht="15">
      <c r="W342" s="14"/>
      <c r="AM342" s="28"/>
      <c r="AN342" s="28"/>
      <c r="AO342" s="28"/>
      <c r="AP342" s="28"/>
    </row>
    <row r="343" spans="23:42" ht="15">
      <c r="W343" s="14"/>
      <c r="AM343" s="28"/>
      <c r="AN343" s="28"/>
      <c r="AO343" s="28"/>
      <c r="AP343" s="28"/>
    </row>
    <row r="344" spans="23:42" ht="15">
      <c r="W344" s="14"/>
      <c r="AM344" s="28"/>
      <c r="AN344" s="28"/>
      <c r="AO344" s="28"/>
      <c r="AP344" s="28"/>
    </row>
    <row r="345" spans="23:42" ht="15">
      <c r="W345" s="14"/>
      <c r="AM345" s="28"/>
      <c r="AN345" s="28"/>
      <c r="AO345" s="28"/>
      <c r="AP345" s="28"/>
    </row>
    <row r="346" spans="23:42" ht="15">
      <c r="W346" s="14"/>
      <c r="AM346" s="28"/>
      <c r="AN346" s="28"/>
      <c r="AO346" s="28"/>
      <c r="AP346" s="28"/>
    </row>
    <row r="347" spans="23:42" ht="15">
      <c r="W347" s="14"/>
      <c r="AM347" s="28"/>
      <c r="AN347" s="28"/>
      <c r="AO347" s="28"/>
      <c r="AP347" s="28"/>
    </row>
    <row r="348" spans="23:42" ht="15">
      <c r="W348" s="14"/>
      <c r="AM348" s="28"/>
      <c r="AN348" s="28"/>
      <c r="AO348" s="28"/>
      <c r="AP348" s="28"/>
    </row>
    <row r="349" spans="23:42" ht="15">
      <c r="W349" s="14"/>
      <c r="AM349" s="28"/>
      <c r="AN349" s="28"/>
      <c r="AO349" s="28"/>
      <c r="AP349" s="28"/>
    </row>
    <row r="350" spans="23:42" ht="15">
      <c r="W350" s="14"/>
      <c r="AM350" s="28"/>
      <c r="AN350" s="28"/>
      <c r="AO350" s="28"/>
      <c r="AP350" s="28"/>
    </row>
    <row r="351" spans="23:42" ht="15">
      <c r="W351" s="14"/>
      <c r="AM351" s="28"/>
      <c r="AN351" s="28"/>
      <c r="AO351" s="28"/>
      <c r="AP351" s="28"/>
    </row>
    <row r="352" spans="23:42" ht="15">
      <c r="W352" s="14"/>
      <c r="AM352" s="28"/>
      <c r="AN352" s="28"/>
      <c r="AO352" s="28"/>
      <c r="AP352" s="28"/>
    </row>
    <row r="353" spans="23:42" ht="15">
      <c r="W353" s="14"/>
      <c r="AM353" s="28"/>
      <c r="AN353" s="28"/>
      <c r="AO353" s="28"/>
      <c r="AP353" s="28"/>
    </row>
    <row r="354" spans="23:42" ht="15">
      <c r="W354" s="14"/>
      <c r="AM354" s="28"/>
      <c r="AN354" s="28"/>
      <c r="AO354" s="28"/>
      <c r="AP354" s="28"/>
    </row>
    <row r="355" spans="23:42" ht="15">
      <c r="W355" s="14"/>
      <c r="AM355" s="28"/>
      <c r="AN355" s="28"/>
      <c r="AO355" s="28"/>
      <c r="AP355" s="28"/>
    </row>
    <row r="356" spans="23:42" ht="15">
      <c r="W356" s="14"/>
      <c r="AM356" s="28"/>
      <c r="AN356" s="28"/>
      <c r="AO356" s="28"/>
      <c r="AP356" s="28"/>
    </row>
    <row r="357" spans="23:42" ht="15">
      <c r="W357" s="14"/>
      <c r="AM357" s="28"/>
      <c r="AN357" s="28"/>
      <c r="AO357" s="28"/>
      <c r="AP357" s="28"/>
    </row>
    <row r="358" spans="23:42" ht="15">
      <c r="W358" s="14"/>
      <c r="AM358" s="28"/>
      <c r="AN358" s="28"/>
      <c r="AO358" s="28"/>
      <c r="AP358" s="28"/>
    </row>
    <row r="359" spans="23:42" ht="15">
      <c r="W359" s="14"/>
      <c r="AM359" s="28"/>
      <c r="AN359" s="28"/>
      <c r="AO359" s="28"/>
      <c r="AP359" s="28"/>
    </row>
    <row r="360" spans="23:42" ht="15">
      <c r="W360" s="14"/>
      <c r="AM360" s="28"/>
      <c r="AN360" s="28"/>
      <c r="AO360" s="28"/>
      <c r="AP360" s="28"/>
    </row>
    <row r="361" spans="23:42" ht="15">
      <c r="W361" s="14"/>
      <c r="AM361" s="28"/>
      <c r="AN361" s="28"/>
      <c r="AO361" s="28"/>
      <c r="AP361" s="28"/>
    </row>
    <row r="362" spans="23:42" ht="15">
      <c r="W362" s="14"/>
      <c r="AM362" s="28"/>
      <c r="AN362" s="28"/>
      <c r="AO362" s="28"/>
      <c r="AP362" s="28"/>
    </row>
    <row r="363" spans="23:42" ht="15">
      <c r="W363" s="14"/>
      <c r="AM363" s="28"/>
      <c r="AN363" s="28"/>
      <c r="AO363" s="28"/>
      <c r="AP363" s="28"/>
    </row>
    <row r="364" spans="23:42" ht="15">
      <c r="W364" s="14"/>
      <c r="AM364" s="28"/>
      <c r="AN364" s="28"/>
      <c r="AO364" s="28"/>
      <c r="AP364" s="28"/>
    </row>
    <row r="365" spans="23:42" ht="15">
      <c r="W365" s="14"/>
      <c r="AM365" s="28"/>
      <c r="AN365" s="28"/>
      <c r="AO365" s="28"/>
      <c r="AP365" s="28"/>
    </row>
    <row r="366" spans="23:42" ht="15">
      <c r="W366" s="14"/>
      <c r="AM366" s="28"/>
      <c r="AN366" s="28"/>
      <c r="AO366" s="28"/>
      <c r="AP366" s="28"/>
    </row>
    <row r="367" spans="23:42" ht="15">
      <c r="W367" s="14"/>
      <c r="AM367" s="28"/>
      <c r="AN367" s="28"/>
      <c r="AO367" s="28"/>
      <c r="AP367" s="28"/>
    </row>
    <row r="368" spans="23:42" ht="15">
      <c r="W368" s="14"/>
      <c r="AM368" s="28"/>
      <c r="AN368" s="28"/>
      <c r="AO368" s="28"/>
      <c r="AP368" s="28"/>
    </row>
    <row r="369" spans="23:42" ht="15">
      <c r="W369" s="14"/>
      <c r="AM369" s="28"/>
      <c r="AN369" s="28"/>
      <c r="AO369" s="28"/>
      <c r="AP369" s="28"/>
    </row>
    <row r="370" spans="23:42" ht="15">
      <c r="W370" s="14"/>
      <c r="AM370" s="28"/>
      <c r="AN370" s="28"/>
      <c r="AO370" s="28"/>
      <c r="AP370" s="28"/>
    </row>
    <row r="371" spans="23:42" ht="15">
      <c r="W371" s="14"/>
      <c r="AM371" s="28"/>
      <c r="AN371" s="28"/>
      <c r="AO371" s="28"/>
      <c r="AP371" s="28"/>
    </row>
    <row r="372" spans="23:42" ht="15">
      <c r="W372" s="14"/>
      <c r="AM372" s="28"/>
      <c r="AN372" s="28"/>
      <c r="AO372" s="28"/>
      <c r="AP372" s="28"/>
    </row>
    <row r="373" spans="23:42" ht="15">
      <c r="W373" s="14"/>
      <c r="AM373" s="28"/>
      <c r="AN373" s="28"/>
      <c r="AO373" s="28"/>
      <c r="AP373" s="28"/>
    </row>
    <row r="374" spans="23:42" ht="15">
      <c r="W374" s="14"/>
      <c r="AM374" s="28"/>
      <c r="AN374" s="28"/>
      <c r="AO374" s="28"/>
      <c r="AP374" s="28"/>
    </row>
    <row r="375" spans="23:42" ht="15">
      <c r="W375" s="14"/>
      <c r="AM375" s="28"/>
      <c r="AN375" s="28"/>
      <c r="AO375" s="28"/>
      <c r="AP375" s="28"/>
    </row>
    <row r="376" spans="23:42" ht="15">
      <c r="W376" s="14"/>
      <c r="AM376" s="28"/>
      <c r="AN376" s="28"/>
      <c r="AO376" s="28"/>
      <c r="AP376" s="28"/>
    </row>
    <row r="377" spans="23:42" ht="15">
      <c r="W377" s="14"/>
      <c r="AM377" s="28"/>
      <c r="AN377" s="28"/>
      <c r="AO377" s="28"/>
      <c r="AP377" s="28"/>
    </row>
    <row r="378" spans="23:42" ht="15">
      <c r="W378" s="14"/>
      <c r="AM378" s="28"/>
      <c r="AN378" s="28"/>
      <c r="AO378" s="28"/>
      <c r="AP378" s="28"/>
    </row>
    <row r="379" spans="23:42" ht="15">
      <c r="W379" s="14"/>
      <c r="AM379" s="28"/>
      <c r="AN379" s="28"/>
      <c r="AO379" s="28"/>
      <c r="AP379" s="28"/>
    </row>
    <row r="380" spans="23:42" ht="15">
      <c r="W380" s="14"/>
      <c r="AM380" s="28"/>
      <c r="AN380" s="28"/>
      <c r="AO380" s="28"/>
      <c r="AP380" s="28"/>
    </row>
    <row r="381" spans="23:42" ht="15">
      <c r="W381" s="14"/>
      <c r="AM381" s="28"/>
      <c r="AN381" s="28"/>
      <c r="AO381" s="28"/>
      <c r="AP381" s="28"/>
    </row>
    <row r="382" spans="23:42" ht="15">
      <c r="W382" s="14"/>
      <c r="AM382" s="28"/>
      <c r="AN382" s="28"/>
      <c r="AO382" s="28"/>
      <c r="AP382" s="28"/>
    </row>
    <row r="383" spans="23:42" ht="15">
      <c r="W383" s="14"/>
      <c r="AM383" s="28"/>
      <c r="AN383" s="28"/>
      <c r="AO383" s="28"/>
      <c r="AP383" s="28"/>
    </row>
    <row r="384" spans="23:42" ht="15">
      <c r="W384" s="14"/>
      <c r="AM384" s="28"/>
      <c r="AN384" s="28"/>
      <c r="AO384" s="28"/>
      <c r="AP384" s="28"/>
    </row>
    <row r="385" spans="23:42" ht="15">
      <c r="W385" s="14"/>
      <c r="AM385" s="28"/>
      <c r="AN385" s="28"/>
      <c r="AO385" s="28"/>
      <c r="AP385" s="28"/>
    </row>
    <row r="386" spans="23:42" ht="15">
      <c r="W386" s="14"/>
      <c r="AM386" s="28"/>
      <c r="AN386" s="28"/>
      <c r="AO386" s="28"/>
      <c r="AP386" s="28"/>
    </row>
    <row r="387" spans="23:42" ht="15">
      <c r="W387" s="14"/>
      <c r="AM387" s="28"/>
      <c r="AN387" s="28"/>
      <c r="AO387" s="28"/>
      <c r="AP387" s="28"/>
    </row>
    <row r="388" spans="23:42" ht="15">
      <c r="W388" s="14"/>
      <c r="AM388" s="28"/>
      <c r="AN388" s="28"/>
      <c r="AO388" s="28"/>
      <c r="AP388" s="28"/>
    </row>
    <row r="389" spans="23:42" ht="15">
      <c r="W389" s="14"/>
      <c r="AM389" s="28"/>
      <c r="AN389" s="28"/>
      <c r="AO389" s="28"/>
      <c r="AP389" s="28"/>
    </row>
    <row r="390" spans="23:42" ht="15">
      <c r="W390" s="14"/>
      <c r="AM390" s="28"/>
      <c r="AN390" s="28"/>
      <c r="AO390" s="28"/>
      <c r="AP390" s="28"/>
    </row>
    <row r="391" spans="23:42" ht="15">
      <c r="W391" s="14"/>
      <c r="AM391" s="28"/>
      <c r="AN391" s="28"/>
      <c r="AO391" s="28"/>
      <c r="AP391" s="28"/>
    </row>
    <row r="392" spans="23:42" ht="15">
      <c r="W392" s="14"/>
      <c r="AM392" s="28"/>
      <c r="AN392" s="28"/>
      <c r="AO392" s="28"/>
      <c r="AP392" s="28"/>
    </row>
    <row r="393" spans="23:42" ht="15">
      <c r="W393" s="14"/>
      <c r="AM393" s="28"/>
      <c r="AN393" s="28"/>
      <c r="AO393" s="28"/>
      <c r="AP393" s="28"/>
    </row>
    <row r="394" spans="23:42" ht="15">
      <c r="W394" s="14"/>
      <c r="AM394" s="28"/>
      <c r="AN394" s="28"/>
      <c r="AO394" s="28"/>
      <c r="AP394" s="28"/>
    </row>
    <row r="395" spans="23:42" ht="15">
      <c r="W395" s="14"/>
      <c r="AM395" s="28"/>
      <c r="AN395" s="28"/>
      <c r="AO395" s="28"/>
      <c r="AP395" s="28"/>
    </row>
    <row r="396" spans="23:42" ht="15">
      <c r="W396" s="14"/>
      <c r="AM396" s="28"/>
      <c r="AN396" s="28"/>
      <c r="AO396" s="28"/>
      <c r="AP396" s="28"/>
    </row>
    <row r="397" spans="23:42" ht="15">
      <c r="W397" s="14"/>
      <c r="AM397" s="28"/>
      <c r="AN397" s="28"/>
      <c r="AO397" s="28"/>
      <c r="AP397" s="28"/>
    </row>
    <row r="398" spans="23:42" ht="15">
      <c r="W398" s="14"/>
      <c r="AM398" s="28"/>
      <c r="AN398" s="28"/>
      <c r="AO398" s="28"/>
      <c r="AP398" s="28"/>
    </row>
    <row r="399" spans="23:42" ht="15">
      <c r="W399" s="14"/>
      <c r="AM399" s="28"/>
      <c r="AN399" s="28"/>
      <c r="AO399" s="28"/>
      <c r="AP399" s="28"/>
    </row>
    <row r="400" spans="23:42" ht="15">
      <c r="W400" s="14"/>
      <c r="AM400" s="28"/>
      <c r="AN400" s="28"/>
      <c r="AO400" s="28"/>
      <c r="AP400" s="28"/>
    </row>
    <row r="401" spans="23:42" ht="15">
      <c r="W401" s="14"/>
      <c r="AM401" s="28"/>
      <c r="AN401" s="28"/>
      <c r="AO401" s="28"/>
      <c r="AP401" s="28"/>
    </row>
    <row r="402" spans="23:42" ht="15">
      <c r="W402" s="14"/>
      <c r="AM402" s="28"/>
      <c r="AN402" s="28"/>
      <c r="AO402" s="28"/>
      <c r="AP402" s="28"/>
    </row>
    <row r="403" spans="23:42" ht="15">
      <c r="W403" s="14"/>
      <c r="AM403" s="28"/>
      <c r="AN403" s="28"/>
      <c r="AO403" s="28"/>
      <c r="AP403" s="28"/>
    </row>
    <row r="404" ht="15">
      <c r="W404" s="14"/>
    </row>
    <row r="405" ht="15">
      <c r="W405" s="14"/>
    </row>
    <row r="406" ht="15">
      <c r="W406" s="14"/>
    </row>
    <row r="407" ht="15">
      <c r="W407" s="14"/>
    </row>
    <row r="408" ht="15">
      <c r="W408" s="14"/>
    </row>
    <row r="409" ht="15">
      <c r="W409" s="14"/>
    </row>
    <row r="410" ht="15">
      <c r="W410" s="14"/>
    </row>
    <row r="411" ht="15">
      <c r="W411" s="14"/>
    </row>
    <row r="412" ht="15">
      <c r="W412" s="14"/>
    </row>
    <row r="413" ht="15">
      <c r="W413" s="14"/>
    </row>
  </sheetData>
  <sheetProtection/>
  <mergeCells count="3">
    <mergeCell ref="A2:K2"/>
    <mergeCell ref="A3:K3"/>
    <mergeCell ref="A1:N1"/>
  </mergeCells>
  <conditionalFormatting sqref="AQ7:AQ327">
    <cfRule type="cellIs" priority="1" dxfId="1" operator="lessThanOrEqual" stopIfTrue="1">
      <formula>0.05</formula>
    </cfRule>
    <cfRule type="cellIs" priority="2" dxfId="0" operator="between" stopIfTrue="1">
      <formula>0.1</formula>
      <formula>0.05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X</dc:creator>
  <cp:keywords/>
  <dc:description/>
  <cp:lastModifiedBy>sean.adams</cp:lastModifiedBy>
  <dcterms:created xsi:type="dcterms:W3CDTF">2012-01-12T21:03:45Z</dcterms:created>
  <dcterms:modified xsi:type="dcterms:W3CDTF">2013-08-13T15:09:24Z</dcterms:modified>
  <cp:category/>
  <cp:version/>
  <cp:contentType/>
  <cp:contentStatus/>
</cp:coreProperties>
</file>