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20" windowWidth="14115" windowHeight="7515" tabRatio="491" activeTab="5"/>
  </bookViews>
  <sheets>
    <sheet name="Carbon &amp; Nitrogen" sheetId="20" r:id="rId1"/>
    <sheet name="Respiration" sheetId="24" r:id="rId2"/>
    <sheet name="Excretion" sheetId="17" r:id="rId3"/>
    <sheet name="Growth" sheetId="21" r:id="rId4"/>
    <sheet name="Longevity" sheetId="18" r:id="rId5"/>
    <sheet name="Swimming velocity &amp; Re" sheetId="19" r:id="rId6"/>
  </sheets>
  <calcPr calcId="125725"/>
</workbook>
</file>

<file path=xl/calcChain.xml><?xml version="1.0" encoding="utf-8"?>
<calcChain xmlns="http://schemas.openxmlformats.org/spreadsheetml/2006/main">
  <c r="K3" i="18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4"/>
  <c r="K55"/>
  <c r="K56"/>
  <c r="K57"/>
  <c r="K2"/>
  <c r="G96" i="24" l="1"/>
  <c r="I96" s="1"/>
  <c r="L96"/>
  <c r="G95"/>
  <c r="I95" s="1"/>
  <c r="L95"/>
  <c r="G94"/>
  <c r="I94" s="1"/>
  <c r="L94"/>
  <c r="L56" l="1"/>
  <c r="L57"/>
  <c r="L58"/>
  <c r="L59"/>
  <c r="L60"/>
  <c r="L61"/>
  <c r="L62"/>
  <c r="L63"/>
  <c r="L64"/>
  <c r="L65"/>
  <c r="L66"/>
  <c r="L67"/>
  <c r="L68"/>
  <c r="L69"/>
  <c r="L70"/>
  <c r="G56"/>
  <c r="I56" s="1"/>
  <c r="G57"/>
  <c r="I57" s="1"/>
  <c r="G58"/>
  <c r="I58" s="1"/>
  <c r="G59"/>
  <c r="I59" s="1"/>
  <c r="G60"/>
  <c r="I60" s="1"/>
  <c r="G61"/>
  <c r="I61" s="1"/>
  <c r="G62"/>
  <c r="I62" s="1"/>
  <c r="G63"/>
  <c r="I63" s="1"/>
  <c r="G64"/>
  <c r="I64" s="1"/>
  <c r="G65"/>
  <c r="I65" s="1"/>
  <c r="G66"/>
  <c r="I66" s="1"/>
  <c r="G67"/>
  <c r="I67" s="1"/>
  <c r="G68"/>
  <c r="I68" s="1"/>
  <c r="G69"/>
  <c r="I69" s="1"/>
  <c r="G70"/>
  <c r="I70" s="1"/>
  <c r="L55"/>
  <c r="L71"/>
  <c r="L72"/>
  <c r="L73"/>
  <c r="L74"/>
  <c r="G55"/>
  <c r="I55" s="1"/>
  <c r="G71"/>
  <c r="I71" s="1"/>
  <c r="G72"/>
  <c r="I72" s="1"/>
  <c r="G73"/>
  <c r="I73" s="1"/>
  <c r="G74"/>
  <c r="I74" s="1"/>
  <c r="G21" i="17"/>
  <c r="G22"/>
  <c r="G23"/>
  <c r="G24"/>
  <c r="G25"/>
  <c r="G26"/>
  <c r="G27"/>
  <c r="G28"/>
  <c r="G29"/>
  <c r="G30"/>
  <c r="G31"/>
  <c r="G32"/>
  <c r="G33"/>
  <c r="G20"/>
  <c r="G2"/>
  <c r="I28" l="1"/>
  <c r="L28"/>
  <c r="I29"/>
  <c r="L29"/>
  <c r="G3" l="1"/>
  <c r="I3" s="1"/>
  <c r="I53" i="18"/>
  <c r="K53" s="1"/>
  <c r="L53" l="1"/>
  <c r="I49" i="24"/>
  <c r="I48"/>
  <c r="I47"/>
  <c r="I46"/>
  <c r="I45"/>
  <c r="I44"/>
  <c r="I43"/>
  <c r="I42"/>
  <c r="I41"/>
  <c r="I40"/>
  <c r="I39"/>
  <c r="I38"/>
  <c r="L31" i="17" l="1"/>
  <c r="I31"/>
  <c r="I30"/>
  <c r="L30"/>
  <c r="L27"/>
  <c r="I27"/>
  <c r="L26"/>
  <c r="I26"/>
  <c r="L25"/>
  <c r="I25"/>
  <c r="J3" i="21"/>
  <c r="J4"/>
  <c r="J5"/>
  <c r="J6"/>
  <c r="J7"/>
  <c r="J8"/>
  <c r="J9"/>
  <c r="J10"/>
  <c r="J11"/>
  <c r="J12"/>
  <c r="J13"/>
  <c r="J14"/>
  <c r="J15"/>
  <c r="J16"/>
  <c r="J17"/>
  <c r="J18"/>
  <c r="J20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2"/>
  <c r="I101" i="24" l="1"/>
  <c r="I100"/>
  <c r="I99"/>
  <c r="L98"/>
  <c r="I98"/>
  <c r="I97"/>
  <c r="I93"/>
  <c r="I92"/>
  <c r="G91"/>
  <c r="I91" s="1"/>
  <c r="I90"/>
  <c r="G89"/>
  <c r="L89" s="1"/>
  <c r="I88"/>
  <c r="I87"/>
  <c r="I86"/>
  <c r="I85"/>
  <c r="G84"/>
  <c r="L84" s="1"/>
  <c r="I83"/>
  <c r="I82"/>
  <c r="I81"/>
  <c r="I80"/>
  <c r="I79"/>
  <c r="I78"/>
  <c r="I77"/>
  <c r="I76"/>
  <c r="I75"/>
  <c r="L54"/>
  <c r="G54"/>
  <c r="I54" s="1"/>
  <c r="I53"/>
  <c r="I52"/>
  <c r="I51"/>
  <c r="I50"/>
  <c r="I37"/>
  <c r="I36"/>
  <c r="I35"/>
  <c r="I34"/>
  <c r="I33"/>
  <c r="I32"/>
  <c r="E32"/>
  <c r="I31"/>
  <c r="I30"/>
  <c r="I29"/>
  <c r="I28"/>
  <c r="I27"/>
  <c r="I26"/>
  <c r="I25"/>
  <c r="I24"/>
  <c r="E24"/>
  <c r="I23"/>
  <c r="E23"/>
  <c r="I22"/>
  <c r="I21"/>
  <c r="I20"/>
  <c r="I19"/>
  <c r="L18"/>
  <c r="I18"/>
  <c r="E18"/>
  <c r="L17"/>
  <c r="I17"/>
  <c r="I16"/>
  <c r="I15"/>
  <c r="I14"/>
  <c r="I13"/>
  <c r="I12"/>
  <c r="I11"/>
  <c r="E11"/>
  <c r="I10"/>
  <c r="I9"/>
  <c r="I8"/>
  <c r="I7"/>
  <c r="I6"/>
  <c r="I5"/>
  <c r="I4"/>
  <c r="I3"/>
  <c r="I2"/>
  <c r="I84" l="1"/>
  <c r="I89"/>
  <c r="L91"/>
  <c r="G27" i="19" l="1"/>
  <c r="I27" s="1"/>
  <c r="K27" s="1"/>
  <c r="G23"/>
  <c r="I23" s="1"/>
  <c r="K23" s="1"/>
  <c r="J23"/>
  <c r="E25"/>
  <c r="G25" s="1"/>
  <c r="I25" s="1"/>
  <c r="E24"/>
  <c r="G24" s="1"/>
  <c r="I24" s="1"/>
  <c r="K24" s="1"/>
  <c r="E26"/>
  <c r="G26" s="1"/>
  <c r="I26" s="1"/>
  <c r="K25" l="1"/>
  <c r="K26"/>
  <c r="N20" i="21"/>
  <c r="L24"/>
  <c r="N24" s="1"/>
  <c r="L23"/>
  <c r="N23" s="1"/>
  <c r="L22"/>
  <c r="N22" s="1"/>
  <c r="E25"/>
  <c r="L19"/>
  <c r="N19" s="1"/>
  <c r="I19"/>
  <c r="N17"/>
  <c r="N16"/>
  <c r="N15"/>
  <c r="N14"/>
  <c r="N13"/>
  <c r="N12"/>
  <c r="N11"/>
  <c r="N10"/>
  <c r="N9"/>
  <c r="N8"/>
  <c r="N7"/>
  <c r="N6"/>
  <c r="N5"/>
  <c r="N4"/>
  <c r="N3"/>
  <c r="N2"/>
  <c r="N18"/>
  <c r="F21"/>
  <c r="I21" s="1"/>
  <c r="J21" l="1"/>
  <c r="J19"/>
  <c r="L21"/>
  <c r="N21" s="1"/>
  <c r="F25"/>
  <c r="L25" s="1"/>
  <c r="N25" s="1"/>
  <c r="L14" i="17" l="1"/>
  <c r="G14"/>
  <c r="I14" s="1"/>
  <c r="L18"/>
  <c r="L17"/>
  <c r="G17"/>
  <c r="I17" s="1"/>
  <c r="I13"/>
  <c r="G13"/>
  <c r="L13"/>
  <c r="I18"/>
  <c r="I11"/>
  <c r="G11"/>
  <c r="L11"/>
  <c r="G16"/>
  <c r="I16" s="1"/>
  <c r="L16"/>
  <c r="L12"/>
  <c r="G12"/>
  <c r="I12" s="1"/>
  <c r="L19"/>
  <c r="L15"/>
  <c r="G19"/>
  <c r="I19" s="1"/>
  <c r="G15"/>
  <c r="I15" s="1"/>
  <c r="I2" l="1"/>
  <c r="K7" i="21" l="1"/>
  <c r="I22" i="19" l="1"/>
  <c r="K22" l="1"/>
  <c r="I40"/>
  <c r="J57"/>
  <c r="I57"/>
  <c r="J56"/>
  <c r="I56"/>
  <c r="J58"/>
  <c r="I58"/>
  <c r="J54"/>
  <c r="I54"/>
  <c r="I55"/>
  <c r="I59"/>
  <c r="I53"/>
  <c r="I60"/>
  <c r="I45"/>
  <c r="I51"/>
  <c r="I48"/>
  <c r="I47"/>
  <c r="I50"/>
  <c r="I49"/>
  <c r="I46"/>
  <c r="I52"/>
  <c r="I38"/>
  <c r="I37"/>
  <c r="I42"/>
  <c r="I35"/>
  <c r="I34"/>
  <c r="I36"/>
  <c r="I31"/>
  <c r="I32"/>
  <c r="I28"/>
  <c r="I33"/>
  <c r="I41"/>
  <c r="I30"/>
  <c r="I39"/>
  <c r="I44"/>
  <c r="I43"/>
  <c r="I29"/>
  <c r="I6"/>
  <c r="I5"/>
  <c r="I4"/>
  <c r="I9"/>
  <c r="I8"/>
  <c r="I7"/>
  <c r="I10"/>
  <c r="I3"/>
  <c r="I2"/>
  <c r="I18"/>
  <c r="I20"/>
  <c r="I21"/>
  <c r="I13"/>
  <c r="I15"/>
  <c r="I14"/>
  <c r="I17"/>
  <c r="I16"/>
  <c r="I19"/>
  <c r="I12"/>
  <c r="I11"/>
  <c r="K12" l="1"/>
  <c r="K14"/>
  <c r="K20"/>
  <c r="K10"/>
  <c r="K4"/>
  <c r="K43"/>
  <c r="K41"/>
  <c r="K31"/>
  <c r="K42"/>
  <c r="K46"/>
  <c r="K48"/>
  <c r="K53"/>
  <c r="K11"/>
  <c r="K17"/>
  <c r="K21"/>
  <c r="K3"/>
  <c r="K9"/>
  <c r="K29"/>
  <c r="K30"/>
  <c r="K32"/>
  <c r="K35"/>
  <c r="K52"/>
  <c r="K47"/>
  <c r="K60"/>
  <c r="K40"/>
  <c r="K16"/>
  <c r="K13"/>
  <c r="K2"/>
  <c r="K8"/>
  <c r="K6"/>
  <c r="K39"/>
  <c r="K28"/>
  <c r="K34"/>
  <c r="K38"/>
  <c r="K50"/>
  <c r="K45"/>
  <c r="K55"/>
  <c r="K19"/>
  <c r="K15"/>
  <c r="K18"/>
  <c r="K7"/>
  <c r="K5"/>
  <c r="K44"/>
  <c r="K33"/>
  <c r="K36"/>
  <c r="K37"/>
  <c r="K49"/>
  <c r="K51"/>
  <c r="K59"/>
  <c r="K54"/>
  <c r="K56"/>
  <c r="K58"/>
  <c r="K57"/>
  <c r="L34" i="17"/>
  <c r="E34" l="1"/>
  <c r="I34" s="1"/>
  <c r="L20"/>
  <c r="I20"/>
  <c r="L24"/>
  <c r="I24"/>
  <c r="L23"/>
  <c r="I23"/>
  <c r="L22"/>
  <c r="I22"/>
  <c r="L21"/>
  <c r="I21"/>
  <c r="L33"/>
  <c r="I33"/>
  <c r="L32"/>
  <c r="I32"/>
  <c r="L10"/>
  <c r="I10"/>
  <c r="J9"/>
  <c r="I9"/>
  <c r="L8"/>
  <c r="I8"/>
  <c r="J7"/>
  <c r="I7"/>
  <c r="I6"/>
  <c r="J5"/>
  <c r="I5"/>
  <c r="J4"/>
  <c r="I4"/>
  <c r="L3"/>
  <c r="L2"/>
  <c r="L5" l="1"/>
  <c r="L7"/>
  <c r="L9"/>
  <c r="L4"/>
</calcChain>
</file>

<file path=xl/comments1.xml><?xml version="1.0" encoding="utf-8"?>
<comments xmlns="http://schemas.openxmlformats.org/spreadsheetml/2006/main">
  <authors>
    <author>Kylie Ann Pitt</author>
  </authors>
  <commentList>
    <comment ref="F25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Converted using average DW%WW of 3.28 from Lucas et al 2011.</t>
        </r>
      </text>
    </comment>
    <comment ref="F29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Converted using DW(mg)=0.121*L(mm)^2.23 and DW%WW=3.9 (averaged across all ctenophores; Lucas et al 2011)
</t>
        </r>
      </text>
    </comment>
    <comment ref="F30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DW(mg)=0.121*L(mm)^2.23 (Kremer et al 1986)  and DW%WW=3.9 (averaged across all ctenophores; Lucas et al 2011)</t>
        </r>
      </text>
    </comment>
    <comment ref="F31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Converted using DW(mg)=0.045*L(mm)^2.30 (Kremer et al 1986) and DW%WW=3.9 (averaged across all ctenophores; Lucas et all 2011)</t>
        </r>
      </text>
    </comment>
  </commentList>
</comments>
</file>

<file path=xl/comments2.xml><?xml version="1.0" encoding="utf-8"?>
<comments xmlns="http://schemas.openxmlformats.org/spreadsheetml/2006/main">
  <authors>
    <author>Kylie Ann Pitt</author>
  </authors>
  <commentList>
    <comment ref="G4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DW%WW=4.7 (Larson 1986)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DW%WW=4.7 (Larson 1986)</t>
        </r>
      </text>
    </comment>
    <comment ref="L6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R=universal gas constant, 0.0821, T=Temp in K and P=1, Volume=litres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R=universal gas constant, 0.0821, T=Temp in K and P=1, Volume=litres</t>
        </r>
      </text>
    </comment>
    <comment ref="L8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R=universal gas constant, 0.0821, T=Temp in K and P=1, Volume=litres</t>
        </r>
      </text>
    </comment>
    <comment ref="L10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R=universal gas constant, 0.0821, T=Temp in K and P=1, Volume=litres</t>
        </r>
      </text>
    </comment>
    <comment ref="L11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R=universal gas constant, 0.0821, T=Temp in K and P=1, Volume=litres</t>
        </r>
      </text>
    </comment>
    <comment ref="G13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DW%WW=4 (Larson 1986)</t>
        </r>
      </text>
    </comment>
    <comment ref="G14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DW%WW=3.8 (Larson 1986)</t>
        </r>
      </text>
    </comment>
    <comment ref="G15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DW%WW=4.6 (Larson 1986)</t>
        </r>
      </text>
    </comment>
    <comment ref="G16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DW%WW=3.6 (Larson 1986)</t>
        </r>
      </text>
    </comment>
    <comment ref="L17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R=universal gas constant, 0.0821, T=Temp in K and P=1, Volume=litres</t>
        </r>
      </text>
    </comment>
    <comment ref="L18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R=universal gas constant, 0.0821, T=Temp in K and P=1, Volume=litres</t>
        </r>
      </text>
    </comment>
    <comment ref="G19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DW%WW=3.9 (Larson 1986)</t>
        </r>
      </text>
    </comment>
    <comment ref="G20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DW%WW=3.8 (Larson 1986)</t>
        </r>
      </text>
    </comment>
    <comment ref="G22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DW%WW=4.3 (Larson 1986)</t>
        </r>
      </text>
    </comment>
    <comment ref="L23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R=universal gas constant, 0.0821, T=Temp in K and P=1, Volume=litres</t>
        </r>
      </text>
    </comment>
    <comment ref="L24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R=universal gas constant, 0.0821, T=Temp in K and P=1, Volume=litres</t>
        </r>
      </text>
    </comment>
    <comment ref="G25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WW(mg)=0.0902*BD(mm)^2.79 (Olesen et al 1994)</t>
        </r>
      </text>
    </comment>
    <comment ref="G27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C(mg)=0.867xWW(g)+20.85 (Schneider 1985 in Schneider 1988)</t>
        </r>
      </text>
    </comment>
    <comment ref="G28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DW%WW=4.2 (average for Scyphozoa: Lucas et al. 2011)</t>
        </r>
      </text>
    </comment>
    <comment ref="G29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DW(mg)=-273.64+0.05WW(mg) (Bailey et a 1995)</t>
        </r>
      </text>
    </comment>
    <comment ref="L32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R=universal gas constant, 0.0821, T=Temp in K and P=1, Volume=litres</t>
        </r>
      </text>
    </comment>
    <comment ref="G33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Calculated using 26 mg DW ml-1 (Davenport &amp; Trueman 1985)</t>
        </r>
      </text>
    </comment>
    <comment ref="L34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R=universal gas constant, 0.0821, T=Temp in K and P=1, Volume=litres</t>
        </r>
      </text>
    </comment>
    <comment ref="G40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W(mg)=5.84L(mm)^2 (Shushinka et al 2000)</t>
        </r>
      </text>
    </comment>
    <comment ref="G45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Ave DW%WW for Beroe ovata=2.97 (Lucas et al 2011)</t>
        </r>
      </text>
    </comment>
    <comment ref="G46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DW(mg)=0.127*L(mm)^2.17 (Kremer et al 1986) and DW=3.72%WW for ctenophores (Lucas et al in press)</t>
        </r>
      </text>
    </comment>
    <comment ref="G47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DW(mg)=0.045*L(mm)^2.3 (Kremer et al 1986) and DW%WW=3.3 for Nuda (Lucas et al. in prep)</t>
        </r>
      </text>
    </comment>
    <comment ref="G48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Log W(g) = -5.98+1.51LogL(um) (Persad 2003)</t>
        </r>
      </text>
    </comment>
    <comment ref="G50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51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52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53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54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55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56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57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58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59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60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61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62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63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64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65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66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67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68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69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70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71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72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73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74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75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76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77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78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79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80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81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82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DW=14.79%WW (averaged across all taxa in Clarke et al 1985); C:DW=0.45 &amp; C:vol=0.126 (Hansen et al 1997)</t>
        </r>
      </text>
    </comment>
    <comment ref="L82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R=universal gas constant, 0.0821, T=Temp in K and P=1, Volume=litres</t>
        </r>
      </text>
    </comment>
    <comment ref="G83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DW=14.79%WW (averaged across all taxa in Clarke et al 1985); C:DW=0.45 &amp; C:vol=0.126 (Hansen et al 1997)</t>
        </r>
      </text>
    </comment>
    <comment ref="G84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DW=14.79%WW (average for oceanic squid; Clarke et al 1985); C:DW=0.45 &amp; C:vol=0.126 (Hansen et al 1997)</t>
        </r>
      </text>
    </comment>
    <comment ref="G85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W=14.79%WW (averaged across all taxa in Clarke et al 1985); C:DW=0.45 &amp; C:vol=0.126 (Hansen et al 1997)</t>
        </r>
      </text>
    </comment>
    <comment ref="L85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R=universal gas constant, 0.0821, T=Temp in K and P=1, Volume=litres</t>
        </r>
      </text>
    </comment>
    <comment ref="G86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W=14.79%WW (averaged across all taxa in Clarke et al 1985); C:DW=0.45 &amp; C:vol=0.126 (Hansen et al 1997)</t>
        </r>
      </text>
    </comment>
    <comment ref="L86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R=universal gas constant, 0.0821, T=Temp in K and P=1, Volume=litres</t>
        </r>
      </text>
    </comment>
    <comment ref="G87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W=14.79%WW (averaged across all taxa in Clarke et al 1985); C:DW=0.45 &amp; C:vol=0.126 (Hansen et al 1997)</t>
        </r>
      </text>
    </comment>
    <comment ref="L87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R=universal gas constant, 0.0821, T=Temp in K and P=1, Volume=litres</t>
        </r>
      </text>
    </comment>
    <comment ref="G88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W=14.79%WW (averaged across all taxa in Clarke et al 1985); C:DW=0.45 &amp; C:vol=0.126 (Hansen et al 1997)</t>
        </r>
      </text>
    </comment>
    <comment ref="L88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R=universal gas constant, 0.0821, T=Temp in K and P=1, Volume=litres</t>
        </r>
      </text>
    </comment>
    <comment ref="G89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DW=14.79%WW (average for oceanic squid; Clarke et al 1985); C:DW=0.45 &amp; C:vol=0.126 (Hansen et al 1997)</t>
        </r>
      </text>
    </comment>
    <comment ref="G90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91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DW=14.79%WW (average for oceanic squid; Clarke et al 1985); C:DW=0.45 &amp; C:vol=0.126 (Hansen et al 1997)</t>
        </r>
      </text>
    </comment>
    <comment ref="G92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DW=14.79%WW (averaged across all taxa in Clarke et al 1985); C:DW=0.45 &amp; C:vol=0.126 (Hansen et al 1997)</t>
        </r>
      </text>
    </comment>
    <comment ref="L92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R=universal gas constant, 0.0821, T=Temp in K and P=1, Volume=litres</t>
        </r>
      </text>
    </comment>
    <comment ref="G93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DW=14.79%WW (averaged across all taxa in Clarke et al 1985); C:DW=0.45 &amp; C:vol=0.126 (Hansen et al 1997)</t>
        </r>
      </text>
    </comment>
    <comment ref="L93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R=universal gas constant, 0.0821, T=Temp in K and P=1, Volume=litres</t>
        </r>
      </text>
    </comment>
    <comment ref="G94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Converted using average DW%WW =11.8 for pteropods from Ikeda &amp; Skjooldal 1989</t>
        </r>
      </text>
    </comment>
    <comment ref="G95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Converted using average DW%WW =11.8 for pteropods from Ikeda &amp; Skjooldal 1989</t>
        </r>
      </text>
    </comment>
    <comment ref="G96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Converted using average DW%WW =11.8 for pteropods from Ikeda &amp; Skjooldal 1989</t>
        </r>
      </text>
    </comment>
    <comment ref="G97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L97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R=universal gas constant, 0.0821, T=Temp in K and P=1, Volume=litres</t>
        </r>
      </text>
    </comment>
    <comment ref="G98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Length derived from weight using fishbase</t>
        </r>
      </text>
    </comment>
    <comment ref="L98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R=universal gas constant, 0.0821, T=Temp in K and P=1, Volume=litres</t>
        </r>
      </text>
    </comment>
    <comment ref="G99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Weight calculated using LW relationship in Fishbase a=0.0062, b=3.1030</t>
        </r>
      </text>
    </comment>
    <comment ref="K99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Calculated for Uopt (i.e. most energetically efficient swimming speed which was 1.4 body lengths per second)</t>
        </r>
      </text>
    </comment>
    <comment ref="L99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converted to mls using equation V+(nRT)/P where n=no moles, R=universal gas constant, 0.0821, T=Temp in K and P=1, Volume=litres
</t>
        </r>
      </text>
    </comment>
    <comment ref="G100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Weight calculated using LW relationship in Fishbase a=0.0104, b=2.972</t>
        </r>
      </text>
    </comment>
    <comment ref="K100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Calculated for Uopt (i.e. most energetically efficient swimming speed which was 1.4 body lengths per second)</t>
        </r>
      </text>
    </comment>
    <comment ref="L100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converted to mls using equation V+(nRT)/P where n=no moles, R=universal gas constant, 0.0821, T=Temp in K and P=1, Volume=litres
</t>
        </r>
      </text>
    </comment>
    <comment ref="G101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length derived from weight using Fishbase</t>
        </r>
      </text>
    </comment>
    <comment ref="L101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R=universal gas constant, 0.0821, T=Temp in K and P=1, Volume=litres</t>
        </r>
      </text>
    </comment>
  </commentList>
</comments>
</file>

<file path=xl/comments3.xml><?xml version="1.0" encoding="utf-8"?>
<comments xmlns="http://schemas.openxmlformats.org/spreadsheetml/2006/main">
  <authors>
    <author>Kylie Ann Pitt</author>
  </authors>
  <commentList>
    <comment ref="AV1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NB this equation is calculated using C vs ESD for cnidarian and ctenophores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 xml:space="preserve">Kylie Ann Pitt:
LogWW(g)=-12.54+2.789*LogBD(um) Persad et al 2003
</t>
        </r>
      </text>
    </comment>
    <comment ref="G3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DW=4.14%WW</t>
        </r>
      </text>
    </comment>
    <comment ref="G6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DW%WW=1.8</t>
        </r>
      </text>
    </comment>
    <comment ref="G7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DW=0.95%WW (Nemazie et al 1993)</t>
        </r>
      </text>
    </comment>
    <comment ref="J8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Day measurements</t>
        </r>
      </text>
    </comment>
    <comment ref="G10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DW=7.2%WW (Malej 1989)</t>
        </r>
      </text>
    </comment>
    <comment ref="D11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9-12 degrees</t>
        </r>
      </text>
    </comment>
    <comment ref="G12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Converted using DW(mg)=0.033*L(mm)^2.49 (Kremer et al 1986) and DW%WW=3.63 averaged for all ctenophores (Lucas et al 2011)</t>
        </r>
      </text>
    </comment>
    <comment ref="G13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Converted using DW%WW=3.94 (Ikeda &amp; Bruce 1986)</t>
        </r>
      </text>
    </comment>
    <comment ref="G14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Converted using DW(mg)=0.127*L(mm)^2.17 (Kremer et al 1986) and DW%WW=3.63 averaged for all ctenophores (Lucas et al 2011)</t>
        </r>
      </text>
    </comment>
    <comment ref="G15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Converted using DW(mg)=0.045*L(mm)^2.30 (Kremer et al 1986) and DW%WW=3.63 averaged for all ctenophores (Lucas et al 2011)
</t>
        </r>
      </text>
    </comment>
    <comment ref="D16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Range  18-28 degrees
</t>
        </r>
      </text>
    </comment>
    <comment ref="G16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Converted using DW(g)=0.0095*WW(g)-0.0014</t>
        </r>
      </text>
    </comment>
    <comment ref="G17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DW(g)=0.0095WW(g)-0.0014 (Nemazie et al 1993)</t>
        </r>
      </text>
    </comment>
    <comment ref="C18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NB used data for 'freshly collected' ctenophores</t>
        </r>
      </text>
    </comment>
    <comment ref="L18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WW converted to DW using DW%WW=4.43 (Reeve &amp; Baker 1975)</t>
        </r>
      </text>
    </comment>
    <comment ref="G19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Converted using DW(mg)=0.121*L(mm)^2.23 (Kremer et al 1986) and DW%WW=3.63 averaged for all ctenophores (Lucas et al 2011)
</t>
        </r>
      </text>
    </comment>
    <comment ref="G20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21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22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23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24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25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26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27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28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29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30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31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32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G33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C:DW=0.45 &amp; C:vol=0.126 (Hansen et al 1997)</t>
        </r>
      </text>
    </comment>
    <comment ref="D34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Range 10-12.5
</t>
        </r>
      </text>
    </comment>
    <comment ref="E34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Weight=738g weight=0.0005651+ML^2.4289 (ML=mantle length) and ML=0.6TL (TL=total length)
</t>
        </r>
      </text>
    </comment>
  </commentList>
</comments>
</file>

<file path=xl/comments4.xml><?xml version="1.0" encoding="utf-8"?>
<comments xmlns="http://schemas.openxmlformats.org/spreadsheetml/2006/main">
  <authors>
    <author>Kylie Ann Pitt</author>
  </authors>
  <commentList>
    <comment ref="AG1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NB this equation is calculated using C vs ESD for cnidarian medusae only</t>
        </r>
      </text>
    </comment>
    <comment ref="L2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Converted using C%DW=14.67 (average for hydorozans and DW%WW=3.6 for Aequorea victoria (Lucas et al 2011)
</t>
        </r>
      </text>
    </comment>
    <comment ref="L3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Converted using C%DW=6.7 and DW%WW=3.48 for Sarsia princeps (Larson 1986)</t>
        </r>
      </text>
    </comment>
    <comment ref="E4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Table 3</t>
        </r>
      </text>
    </comment>
    <comment ref="L4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Converted C to WW using C%DW=6.7 and DW%WW=4.1 (average values for Sarsia princeps; Lucas et al 2011)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Fig 6b</t>
        </r>
      </text>
    </comment>
    <comment ref="L5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Converted BD to WW using: DW(g)=0.00002e^0.5362*BD(mm)) (Wintzer et al 2011 for Moerisia sp.) and  DW:WW of 3.9 (average for hydrozoans from Lucas et al 2011)</t>
        </r>
      </text>
    </comment>
    <comment ref="L6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Converted using C%WW=0.03 (Lucas et al 2011)</t>
        </r>
      </text>
    </comment>
    <comment ref="E7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Table 3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Converted using DW%ww=3.53 (average for Aurelia aurita from Lucas et al., 2011)</t>
        </r>
      </text>
    </comment>
    <comment ref="D8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Range 20-27
</t>
        </r>
      </text>
    </comment>
    <comment ref="E8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From Fig. 3</t>
        </r>
      </text>
    </comment>
    <comment ref="L8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Converted using WW(g)=0.0748*BD(cm)^2.86 (Uye &amp; Shimuchi, 2005)</t>
        </r>
      </text>
    </comment>
    <comment ref="L9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WW(g)=0.088BD(cm)^2.75 (Schneider 1988)
</t>
        </r>
      </text>
    </comment>
    <comment ref="E10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From Fig. 2</t>
        </r>
      </text>
    </comment>
    <comment ref="E11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Fig. 8</t>
        </r>
      </text>
    </comment>
    <comment ref="D12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Used June 1982 SST from http://data.nodc.noaa.gov/las/getUI.do  for Kiel (NB database only goes back to Sept 1980)</t>
        </r>
      </text>
    </comment>
    <comment ref="L12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Converted using WW(g)=0.07*BD(mm)^2.8 (Kerstan 1977 in Moller 1980)</t>
        </r>
      </text>
    </comment>
    <comment ref="D13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Range 6-12</t>
        </r>
      </text>
    </comment>
    <comment ref="L13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C%DW=6.7 and DW%WW=4.1 (average values for Sarsia princeps; Lucas et al 2011)</t>
        </r>
      </text>
    </comment>
    <comment ref="D14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Pitt unpubl. data</t>
        </r>
      </text>
    </comment>
    <comment ref="E14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Fig 2a</t>
        </r>
      </text>
    </comment>
    <comment ref="L14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Converted using WW(kg)=0.007*BD(mm)^2.394 (Pitt &amp; Kingsford 2003a)
</t>
        </r>
      </text>
    </comment>
    <comment ref="L15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Converted using C%DW=11.1 and DW%WW=0.95 (Lucas et al. 2011)
</t>
        </r>
      </text>
    </comment>
    <comment ref="D16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Used Aug 1982 SST from http://data.nodc.noaa.gov/las/getUI.do  (NB database only goes back to Sept 1980)</t>
        </r>
      </text>
    </comment>
    <comment ref="L16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Converted using WW(g)=0.08*BD(cm)^3.1 (Kikinger 1992)</t>
        </r>
      </text>
    </comment>
    <comment ref="D17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Used Mar 1985 SST from http://data.nodc.noaa.gov/las/getUI.do </t>
        </r>
      </text>
    </comment>
    <comment ref="E17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Fig. 4 1985 data</t>
        </r>
      </text>
    </comment>
    <comment ref="L17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converted from BD to WW using log WW(g)=3.34*log BD(mm)-4.85 (Brewer 1989)</t>
        </r>
      </text>
    </comment>
    <comment ref="D18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Range 22-28</t>
        </r>
      </text>
    </comment>
    <comment ref="E18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From text on pages 167-168</t>
        </r>
      </text>
    </comment>
    <comment ref="F19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Speciment 1 from Figure 6</t>
        </r>
      </text>
    </comment>
    <comment ref="L20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Converted using DW(mg)=422.677+31.977*C(mg) and DW(mg)=-61.151+0.039*WW(mg) Both Bailey et al. 1994</t>
        </r>
      </text>
    </comment>
    <comment ref="E21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Table 2, Year 2000 data, range 0.18-0.2 ml</t>
        </r>
      </text>
    </comment>
    <comment ref="F21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Results state that maximum growth of 468% achieved in year 2000 trails in high dissolved oxygen treatment</t>
        </r>
      </text>
    </comment>
    <comment ref="L22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Converted using C%DW=1.91 and DW%WW=4.43 Kremer et al. 1986</t>
        </r>
      </text>
    </comment>
    <comment ref="L23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Converted using C%DW=3.514 and DW%WW=4.15 - averages for Pleurobrachia from Lucas et al. 2011</t>
        </r>
      </text>
    </comment>
    <comment ref="L24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Converted using C%DW=3.514 and DW%WW=4.15 - averages for Pleurobrachia from Lucas et al 2011</t>
        </r>
      </text>
    </comment>
    <comment ref="E25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Converted 7.6mm ctenophore to g WW using logDW=-1.54+2.65*log(L) and DW%WW=3.95 as per Moller 2010</t>
        </r>
      </text>
    </comment>
    <comment ref="F25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Calculated based on initial weight, specific growth and duration of experiment (days) using u=(ln(WT1/Wt))/days</t>
        </r>
      </text>
    </comment>
    <comment ref="L26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C:vol=0.126 (Hansen et al 1997)</t>
        </r>
      </text>
    </comment>
    <comment ref="L27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C:vol=0.126 (Hansen et al 1997)</t>
        </r>
      </text>
    </comment>
    <comment ref="D31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Range 20-21
</t>
        </r>
      </text>
    </comment>
    <comment ref="L31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average DW%WW=14.79 for squid (Clarke et al 1985) and C:DW=0.45 &amp; C:vol=0.126 (Hansen et al 1997)</t>
        </r>
      </text>
    </comment>
    <comment ref="D32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Range 20-21
</t>
        </r>
      </text>
    </comment>
    <comment ref="E32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Table 4</t>
        </r>
      </text>
    </comment>
    <comment ref="L32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average DW%WW=14.79 for squid (Clarke et al 1985) and C:DW=0.45 &amp; C:vol=0.126 (Hansen et al 1997)</t>
        </r>
      </text>
    </comment>
    <comment ref="E37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Fig 2</t>
        </r>
      </text>
    </comment>
    <comment ref="E38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Maximum growth rate from Fig. 5</t>
        </r>
      </text>
    </comment>
    <comment ref="E39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SL=1.359e^0.123*age(days) Simms et al 2010  estimated for 5 and 17 day old fish</t>
        </r>
      </text>
    </comment>
  </commentList>
</comments>
</file>

<file path=xl/comments5.xml><?xml version="1.0" encoding="utf-8"?>
<comments xmlns="http://schemas.openxmlformats.org/spreadsheetml/2006/main">
  <authors>
    <author>Kylie Ann Pitt</author>
  </authors>
  <commentList>
    <comment ref="I2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Calculated by assuming the animal had the shape of a sphere
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Calculated by assuming the animal had the shape of a sphere</t>
        </r>
      </text>
    </comment>
    <comment ref="I4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Calculated by assuming the animal had the shape of a half-sphere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Calculated by assuming the animal had the shape of a half-sphere</t>
        </r>
      </text>
    </comment>
    <comment ref="I6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logY(g)= -12.54+2.789*log X(um) Persad et al. (2003)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logY(g)= -12.54+2.789*log X(um) Persad et al. (2003)</t>
        </r>
      </text>
    </comment>
    <comment ref="I8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DW=5.15%WW (Lucas et al 2011)</t>
        </r>
      </text>
    </comment>
    <comment ref="I9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DW=3.6%WW (Hyman 1940)</t>
        </r>
      </text>
    </comment>
    <comment ref="I10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Y=0.0000301*X^2.938 (Båmstedt 1990)</t>
        </r>
      </text>
    </comment>
    <comment ref="I11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Y=0.0000301*X^2.938 (Båmstedt 1990)</t>
        </r>
      </text>
    </comment>
    <comment ref="I12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Y=0.0000301*X^2.938 (Båmstedt 1990)</t>
        </r>
      </text>
    </comment>
    <comment ref="I13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Y=0.0000301*X^2.938 (Båmstedt 1990)</t>
        </r>
      </text>
    </comment>
    <comment ref="I14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Y=0.0000301*X^2.938 (Båmstedt 1990)</t>
        </r>
      </text>
    </comment>
    <comment ref="I15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Y=0.0000301*X^2.938 (Båmstedt 1990)</t>
        </r>
      </text>
    </comment>
    <comment ref="I16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Y(g)=0.007X(mm)^2.394 (Pitt &amp; Kingsford 2003)</t>
        </r>
      </text>
    </comment>
    <comment ref="I17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DW(mg)=0.021*BD(mm)^2.886 and DW=1.375%WW
(Purcell 1992 &amp; Lucas et al. 2011)</t>
        </r>
      </text>
    </comment>
    <comment ref="I18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WW(g)=0.08*BD(cm)^3.1
(Kikinger 1992)</t>
        </r>
      </text>
    </comment>
    <comment ref="I19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Y(g)=0.185*X(cm)^2.774
(Båmstedt et al. 1994) </t>
        </r>
      </text>
    </comment>
    <comment ref="I21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lnY(cm^3)=3.02*ln X(mm) - 9.4 (Morand et al 1987)</t>
        </r>
      </text>
    </comment>
    <comment ref="I22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WW(g)=0.1515BD^2.6818 (Haddad &amp; Nogueira 2006)</t>
        </r>
      </text>
    </comment>
    <comment ref="I23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WW(g)=0.1515BD^2.6818 (Haddad &amp; Nogueira 2006)</t>
        </r>
      </text>
    </comment>
    <comment ref="I24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WW=9.89*D^1.731 (Graham et al 2003)
</t>
        </r>
      </text>
    </comment>
    <comment ref="G35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size estimated from average of largest cohort sampled in June from Fig. 3a.</t>
        </r>
      </text>
    </comment>
  </commentList>
</comments>
</file>

<file path=xl/comments6.xml><?xml version="1.0" encoding="utf-8"?>
<comments xmlns="http://schemas.openxmlformats.org/spreadsheetml/2006/main">
  <authors>
    <author>Kylie Ann Pitt</author>
  </authors>
  <commentList>
    <comment ref="K1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note v = 1.05x10-6 m2/s (seawater @ 20C, </t>
        </r>
        <r>
          <rPr>
            <i/>
            <sz val="8"/>
            <color indexed="81"/>
            <rFont val="Tahoma"/>
            <family val="2"/>
          </rPr>
          <t>sensu</t>
        </r>
        <r>
          <rPr>
            <sz val="8"/>
            <color indexed="81"/>
            <rFont val="Tahoma"/>
            <family val="2"/>
          </rPr>
          <t xml:space="preserve"> Okubo 1987)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Observed at 700m in the N. Atlantic (40</t>
        </r>
        <r>
          <rPr>
            <sz val="8"/>
            <color indexed="81"/>
            <rFont val="Calibri"/>
            <family val="2"/>
          </rPr>
          <t>°</t>
        </r>
        <r>
          <rPr>
            <sz val="8"/>
            <color indexed="81"/>
            <rFont val="Tahoma"/>
            <family val="2"/>
          </rPr>
          <t>N, 69</t>
        </r>
        <r>
          <rPr>
            <sz val="8"/>
            <color indexed="81"/>
            <rFont val="Calibri"/>
            <family val="2"/>
          </rPr>
          <t>°</t>
        </r>
        <r>
          <rPr>
            <sz val="8"/>
            <color indexed="81"/>
            <rFont val="Tahoma"/>
            <family val="2"/>
          </rPr>
          <t xml:space="preserve">W)
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Range 1.5-2.8 cm-2</t>
        </r>
      </text>
    </comment>
    <comment ref="D4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Collected from Friday Harbour, Washington USA (no date given). Swimming velocity measured in lab (no temp given)
</t>
        </r>
      </text>
    </comment>
    <comment ref="G4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calculated as volume of a sphere based on diameter and bell height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Collected from Friday Harbour, Washington USA (no date given). Swimming velocity measured in lab (no temp given)
</t>
        </r>
      </text>
    </comment>
    <comment ref="D8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Temp range 10-14 degrees C</t>
        </r>
      </text>
    </comment>
    <comment ref="J8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Note that this species swims vertically at 3cm s-1 but then remains motionless and sinks passively for 1-2 mins</t>
        </r>
      </text>
    </comment>
    <comment ref="D10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Observed at 580m in Bahamas (25</t>
        </r>
        <r>
          <rPr>
            <sz val="8"/>
            <color indexed="81"/>
            <rFont val="Calibri"/>
            <family val="2"/>
          </rPr>
          <t>°N 77°W)</t>
        </r>
      </text>
    </comment>
    <comment ref="J10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Range 1-2.7 cm-2
</t>
        </r>
      </text>
    </comment>
    <comment ref="D12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Range 5-18</t>
        </r>
      </text>
    </comment>
    <comment ref="J12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Value derived from Fig. 2 </t>
        </r>
      </text>
    </comment>
    <comment ref="D16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 range 20-25 </t>
        </r>
      </text>
    </comment>
    <comment ref="J16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Average velocity derived from Fig. 9. 
</t>
        </r>
      </text>
    </comment>
    <comment ref="D18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 range 20-25 </t>
        </r>
      </text>
    </comment>
    <comment ref="J18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Average velocity derived from Fig. 6. </t>
        </r>
      </text>
    </comment>
    <comment ref="D21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range 20-25 </t>
        </r>
      </text>
    </comment>
    <comment ref="J21" authorId="0">
      <text>
        <r>
          <rPr>
            <b/>
            <sz val="8"/>
            <color indexed="81"/>
            <rFont val="Tahoma"/>
            <family val="2"/>
          </rPr>
          <t xml:space="preserve">Kylie Ann Pitt:
</t>
        </r>
        <r>
          <rPr>
            <sz val="8"/>
            <color indexed="81"/>
            <rFont val="Tahoma"/>
            <family val="2"/>
          </rPr>
          <t xml:space="preserve">Average velocity derived from Fig. 2 
</t>
        </r>
      </text>
    </comment>
    <comment ref="D22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range 29-31</t>
        </r>
      </text>
    </comment>
    <comment ref="E23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Used average size from Table 1</t>
        </r>
      </text>
    </comment>
    <comment ref="G23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Converted using WW(g)=1.77*L(mm)^2.23 Finenko  et al 2001</t>
        </r>
      </text>
    </comment>
    <comment ref="E24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Size derived from Fig 4A
</t>
        </r>
      </text>
    </comment>
    <comment ref="G24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Converted using WW(g)=1.77*L(mm)^2.23 Finenko  et al 2001</t>
        </r>
      </text>
    </comment>
    <comment ref="E25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Size derived from Fig 4C</t>
        </r>
      </text>
    </comment>
    <comment ref="G25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Converted using WW(g)=1.77*L(mm)^2.23 Finenko  et al 2001</t>
        </r>
      </text>
    </comment>
    <comment ref="E26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Length derived from Fig. 1A</t>
        </r>
      </text>
    </comment>
    <comment ref="G26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Converted using DW(mg)=0.161*L(mm)^2.096 and DW(mg)= -61.151+0.039*WW(mg) Bailey et al 1994</t>
        </r>
      </text>
    </comment>
    <comment ref="D27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Range 23-25</t>
        </r>
      </text>
    </comment>
    <comment ref="J27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derived from Fig. 3.  Value is the foraging speed prior to contact a predator</t>
        </r>
      </text>
    </comment>
    <comment ref="D30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 range 11-13 </t>
        </r>
      </text>
    </comment>
    <comment ref="D33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range 11-13 </t>
        </r>
      </text>
    </comment>
    <comment ref="D41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Temp range 11-13 deg
rees C</t>
        </r>
      </text>
    </comment>
    <comment ref="J54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converted from body lengths per second to cm s-1</t>
        </r>
      </text>
    </comment>
    <comment ref="J56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converted from body lengths per second to cm s-1</t>
        </r>
      </text>
    </comment>
    <comment ref="J57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converted from body lengths per second to cm s-1</t>
        </r>
      </text>
    </comment>
    <comment ref="J58" authorId="0">
      <text>
        <r>
          <rPr>
            <b/>
            <sz val="8"/>
            <color indexed="81"/>
            <rFont val="Tahoma"/>
            <family val="2"/>
          </rPr>
          <t>Kylie Ann Pitt:</t>
        </r>
        <r>
          <rPr>
            <sz val="8"/>
            <color indexed="81"/>
            <rFont val="Tahoma"/>
            <family val="2"/>
          </rPr>
          <t xml:space="preserve">
converted from body lengths per second to cm s-1</t>
        </r>
      </text>
    </comment>
  </commentList>
</comments>
</file>

<file path=xl/sharedStrings.xml><?xml version="1.0" encoding="utf-8"?>
<sst xmlns="http://schemas.openxmlformats.org/spreadsheetml/2006/main" count="2114" uniqueCount="430">
  <si>
    <t>Scyphozoa</t>
  </si>
  <si>
    <t xml:space="preserve">Nemopilema nomurai </t>
  </si>
  <si>
    <t>Cyanea capillata</t>
  </si>
  <si>
    <t>ESD (cm)</t>
  </si>
  <si>
    <t>Species</t>
  </si>
  <si>
    <t>g WW</t>
  </si>
  <si>
    <t>Rhizostoma pulmo</t>
  </si>
  <si>
    <t>Source</t>
  </si>
  <si>
    <t>Aurelia aurita</t>
  </si>
  <si>
    <t>Units</t>
  </si>
  <si>
    <t>Aurelia labiata</t>
  </si>
  <si>
    <t>g</t>
  </si>
  <si>
    <t>gDW</t>
  </si>
  <si>
    <t>mg DW</t>
  </si>
  <si>
    <t>Copepods</t>
  </si>
  <si>
    <t>Polychaeta</t>
  </si>
  <si>
    <t>Amphipoda</t>
  </si>
  <si>
    <t>Euphausiacea</t>
  </si>
  <si>
    <t>Hydrozoa</t>
  </si>
  <si>
    <t>Aglantha digitale</t>
  </si>
  <si>
    <t>Chaetognatha</t>
  </si>
  <si>
    <t>Diphyes antarctica</t>
  </si>
  <si>
    <t>gWW</t>
  </si>
  <si>
    <t>Decapoda</t>
  </si>
  <si>
    <t>Aequorea victoria</t>
  </si>
  <si>
    <t>Eperetmus typus</t>
  </si>
  <si>
    <t>Eutonina indicans</t>
  </si>
  <si>
    <t>Gonionemus vertens</t>
  </si>
  <si>
    <t>Mitrocoma cellularia</t>
  </si>
  <si>
    <t>Phialidium gregarium</t>
  </si>
  <si>
    <t>Sarsia princeps</t>
  </si>
  <si>
    <t>Stomotoca atra</t>
  </si>
  <si>
    <t>Cephalopoda</t>
  </si>
  <si>
    <t>Mysid</t>
  </si>
  <si>
    <t>g DW</t>
  </si>
  <si>
    <t>Cnidaria</t>
  </si>
  <si>
    <t>Mollusca</t>
  </si>
  <si>
    <t>Annelida</t>
  </si>
  <si>
    <t>Stomolophus meleagris</t>
  </si>
  <si>
    <t>Aeginura grimaldii</t>
  </si>
  <si>
    <t>Poralia rufescens</t>
  </si>
  <si>
    <t>Solmissus incisus</t>
  </si>
  <si>
    <t>Colobonema sericeum</t>
  </si>
  <si>
    <t>Chordata</t>
  </si>
  <si>
    <t>Pisces</t>
  </si>
  <si>
    <t>cm</t>
  </si>
  <si>
    <t>mg WW</t>
  </si>
  <si>
    <t>Size as reported</t>
  </si>
  <si>
    <t>mm BD</t>
  </si>
  <si>
    <t>lnR=-1.634+0.93*lnDW(mg)</t>
  </si>
  <si>
    <t>Pelagia noctiluca</t>
  </si>
  <si>
    <t>Nemopsis bachei</t>
  </si>
  <si>
    <t>Bougainvillia muscus</t>
  </si>
  <si>
    <t>Clytia hemisphaerica</t>
  </si>
  <si>
    <t>Pollachius virens</t>
  </si>
  <si>
    <t>Loligo forbesi</t>
  </si>
  <si>
    <t>Botrynema brucei</t>
  </si>
  <si>
    <t>Tetrorchis erythrogaster</t>
  </si>
  <si>
    <t>Vampyrocrossota childressi</t>
  </si>
  <si>
    <t>Paraphyllina ransoni</t>
  </si>
  <si>
    <t>Periphylla periphylla</t>
  </si>
  <si>
    <t>Illex illecebrosus</t>
  </si>
  <si>
    <t>Sthenoteuthis oualaniensis</t>
  </si>
  <si>
    <t>Sepioteuthis lessoniana</t>
  </si>
  <si>
    <t>Lolliguncula brevis</t>
  </si>
  <si>
    <t>Loligo pealei</t>
  </si>
  <si>
    <t>Loligo opalescens</t>
  </si>
  <si>
    <t>Dosidicus gigas</t>
  </si>
  <si>
    <t>Sthenoteuthis pteropus</t>
  </si>
  <si>
    <t>Arthropoda</t>
  </si>
  <si>
    <t>Tomopteris carpenteri</t>
  </si>
  <si>
    <t>Parathemisto gaudichaudii</t>
  </si>
  <si>
    <t>Viblia antarctica</t>
  </si>
  <si>
    <t>Hyperia gaudichaudii</t>
  </si>
  <si>
    <t>Euphausia triacantha</t>
  </si>
  <si>
    <t>Euphausia superba</t>
  </si>
  <si>
    <t>Antarctomysis maxima</t>
  </si>
  <si>
    <t>Euphausia crystallorophias</t>
  </si>
  <si>
    <t>Chrorismus antarcticus</t>
  </si>
  <si>
    <t>Psychroteuthis sp.</t>
  </si>
  <si>
    <t>Thysanoessa inermis</t>
  </si>
  <si>
    <t>Sagitta elegans</t>
  </si>
  <si>
    <t>Phylum</t>
  </si>
  <si>
    <t>Class or Family</t>
  </si>
  <si>
    <t>Maurolicus muelleri</t>
  </si>
  <si>
    <t>Sardinops caerulea</t>
  </si>
  <si>
    <t>Merlangius merlangus</t>
  </si>
  <si>
    <r>
      <t>Temp (</t>
    </r>
    <r>
      <rPr>
        <b/>
        <sz val="10"/>
        <color indexed="8"/>
        <rFont val="Calibri"/>
        <family val="2"/>
      </rPr>
      <t>°</t>
    </r>
    <r>
      <rPr>
        <b/>
        <sz val="10"/>
        <color indexed="8"/>
        <rFont val="Arial"/>
        <family val="2"/>
      </rPr>
      <t>C)</t>
    </r>
  </si>
  <si>
    <t xml:space="preserve">WW or vol </t>
  </si>
  <si>
    <r>
      <t>cm</t>
    </r>
    <r>
      <rPr>
        <vertAlign val="superscript"/>
        <sz val="10"/>
        <color indexed="8"/>
        <rFont val="Arial"/>
        <family val="2"/>
      </rPr>
      <t>3</t>
    </r>
  </si>
  <si>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l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h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 xml:space="preserve"> g WW</t>
    </r>
    <r>
      <rPr>
        <vertAlign val="superscript"/>
        <sz val="10"/>
        <rFont val="Arial"/>
        <family val="2"/>
      </rPr>
      <t>-1</t>
    </r>
  </si>
  <si>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l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h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 xml:space="preserve"> mg DW</t>
    </r>
    <r>
      <rPr>
        <vertAlign val="superscript"/>
        <sz val="10"/>
        <rFont val="Arial"/>
        <family val="2"/>
      </rPr>
      <t>-1</t>
    </r>
  </si>
  <si>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l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ind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 xml:space="preserve"> h</t>
    </r>
    <r>
      <rPr>
        <vertAlign val="superscript"/>
        <sz val="10"/>
        <rFont val="Arial"/>
        <family val="2"/>
      </rPr>
      <t>-1</t>
    </r>
  </si>
  <si>
    <r>
      <rPr>
        <sz val="10"/>
        <color indexed="8"/>
        <rFont val="Symbol"/>
        <family val="1"/>
        <charset val="2"/>
      </rPr>
      <t>m</t>
    </r>
    <r>
      <rPr>
        <sz val="10"/>
        <color indexed="8"/>
        <rFont val="Arial"/>
        <family val="2"/>
      </rPr>
      <t>mol 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g</t>
    </r>
    <r>
      <rPr>
        <vertAlign val="superscript"/>
        <sz val="10"/>
        <color indexed="8"/>
        <rFont val="Arial"/>
        <family val="2"/>
      </rPr>
      <t>-1</t>
    </r>
    <r>
      <rPr>
        <sz val="10"/>
        <color indexed="8"/>
        <rFont val="Arial"/>
        <family val="2"/>
      </rPr>
      <t xml:space="preserve"> h</t>
    </r>
    <r>
      <rPr>
        <vertAlign val="superscript"/>
        <sz val="10"/>
        <color indexed="8"/>
        <rFont val="Arial"/>
        <family val="2"/>
      </rPr>
      <t>-1</t>
    </r>
  </si>
  <si>
    <r>
      <rPr>
        <sz val="10"/>
        <color indexed="8"/>
        <rFont val="Symbol"/>
        <family val="1"/>
        <charset val="2"/>
      </rPr>
      <t>m</t>
    </r>
    <r>
      <rPr>
        <sz val="10"/>
        <color indexed="8"/>
        <rFont val="Arial"/>
        <family val="2"/>
      </rPr>
      <t>mol 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ind</t>
    </r>
    <r>
      <rPr>
        <vertAlign val="superscript"/>
        <sz val="10"/>
        <color indexed="8"/>
        <rFont val="Arial"/>
        <family val="2"/>
      </rPr>
      <t>-1</t>
    </r>
    <r>
      <rPr>
        <sz val="10"/>
        <color indexed="8"/>
        <rFont val="Arial"/>
        <family val="2"/>
      </rPr>
      <t xml:space="preserve"> h</t>
    </r>
    <r>
      <rPr>
        <vertAlign val="superscript"/>
        <sz val="10"/>
        <color indexed="8"/>
        <rFont val="Arial"/>
        <family val="2"/>
      </rPr>
      <t>-1</t>
    </r>
  </si>
  <si>
    <r>
      <t>ml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h</t>
    </r>
    <r>
      <rPr>
        <vertAlign val="superscript"/>
        <sz val="10"/>
        <rFont val="Arial"/>
        <family val="2"/>
      </rPr>
      <t xml:space="preserve">-1 </t>
    </r>
    <r>
      <rPr>
        <sz val="10"/>
        <rFont val="Arial"/>
        <family val="2"/>
      </rPr>
      <t>gWW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 xml:space="preserve"> </t>
    </r>
  </si>
  <si>
    <r>
      <t>ml 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kg</t>
    </r>
    <r>
      <rPr>
        <vertAlign val="superscript"/>
        <sz val="10"/>
        <color indexed="8"/>
        <rFont val="Arial"/>
        <family val="2"/>
      </rPr>
      <t>-1</t>
    </r>
    <r>
      <rPr>
        <sz val="10"/>
        <color indexed="8"/>
        <rFont val="Arial"/>
        <family val="2"/>
      </rPr>
      <t xml:space="preserve"> h</t>
    </r>
    <r>
      <rPr>
        <vertAlign val="superscript"/>
        <sz val="10"/>
        <color indexed="8"/>
        <rFont val="Arial"/>
        <family val="2"/>
      </rPr>
      <t>-1</t>
    </r>
  </si>
  <si>
    <r>
      <t>mg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kg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 xml:space="preserve"> h</t>
    </r>
    <r>
      <rPr>
        <vertAlign val="superscript"/>
        <sz val="10"/>
        <rFont val="Arial"/>
        <family val="2"/>
      </rPr>
      <t>-1</t>
    </r>
  </si>
  <si>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l O2 mg WW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 xml:space="preserve"> h</t>
    </r>
    <r>
      <rPr>
        <vertAlign val="superscript"/>
        <sz val="10"/>
        <rFont val="Arial"/>
        <family val="2"/>
      </rPr>
      <t>-1</t>
    </r>
  </si>
  <si>
    <r>
      <t xml:space="preserve">0.3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l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mg WW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 xml:space="preserve"> h</t>
    </r>
    <r>
      <rPr>
        <vertAlign val="superscript"/>
        <sz val="10"/>
        <rFont val="Arial"/>
        <family val="2"/>
      </rPr>
      <t>-1</t>
    </r>
  </si>
  <si>
    <t>g C</t>
  </si>
  <si>
    <r>
      <t>Respiration (ml 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ind</t>
    </r>
    <r>
      <rPr>
        <b/>
        <vertAlign val="superscript"/>
        <sz val="10"/>
        <color indexed="8"/>
        <rFont val="Arial"/>
        <family val="2"/>
      </rPr>
      <t>-1</t>
    </r>
    <r>
      <rPr>
        <b/>
        <sz val="10"/>
        <color indexed="8"/>
        <rFont val="Arial"/>
        <family val="2"/>
      </rPr>
      <t xml:space="preserve"> h</t>
    </r>
    <r>
      <rPr>
        <b/>
        <vertAlign val="superscript"/>
        <sz val="10"/>
        <color indexed="8"/>
        <rFont val="Arial"/>
        <family val="2"/>
      </rPr>
      <t>-1</t>
    </r>
    <r>
      <rPr>
        <b/>
        <sz val="10"/>
        <color indexed="8"/>
        <rFont val="Arial"/>
        <family val="2"/>
      </rPr>
      <t>)</t>
    </r>
  </si>
  <si>
    <r>
      <t>ml 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d</t>
    </r>
    <r>
      <rPr>
        <vertAlign val="superscript"/>
        <sz val="10"/>
        <rFont val="Arial"/>
        <family val="2"/>
      </rPr>
      <t>-1</t>
    </r>
  </si>
  <si>
    <t>0.549*WW(g)</t>
  </si>
  <si>
    <r>
      <t>ml O</t>
    </r>
    <r>
      <rPr>
        <vertAlign val="subscript"/>
        <sz val="10"/>
        <color indexed="9"/>
        <rFont val="Arial"/>
        <family val="2"/>
      </rPr>
      <t>2</t>
    </r>
    <r>
      <rPr>
        <sz val="10"/>
        <color indexed="9"/>
        <rFont val="Arial"/>
        <family val="2"/>
      </rPr>
      <t xml:space="preserve"> ind</t>
    </r>
    <r>
      <rPr>
        <vertAlign val="superscript"/>
        <sz val="10"/>
        <color indexed="9"/>
        <rFont val="Arial"/>
        <family val="2"/>
      </rPr>
      <t>-1</t>
    </r>
    <r>
      <rPr>
        <sz val="10"/>
        <color indexed="9"/>
        <rFont val="Arial"/>
        <family val="2"/>
      </rPr>
      <t xml:space="preserve"> h</t>
    </r>
    <r>
      <rPr>
        <vertAlign val="superscript"/>
        <sz val="10"/>
        <color indexed="9"/>
        <rFont val="Arial"/>
        <family val="2"/>
      </rPr>
      <t>-1</t>
    </r>
  </si>
  <si>
    <t>0.167*DW(g)^1.002</t>
  </si>
  <si>
    <t>1.39*WW(g)^0.708</t>
  </si>
  <si>
    <r>
      <t>ml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h</t>
    </r>
    <r>
      <rPr>
        <vertAlign val="superscript"/>
        <sz val="10"/>
        <rFont val="Arial"/>
        <family val="2"/>
      </rPr>
      <t>-1</t>
    </r>
  </si>
  <si>
    <t>0.025*WW(g)^0.993</t>
  </si>
  <si>
    <t>59.2*WW(kg)^0.2+30.3*WW(kg)^-0.2*U^2.70</t>
  </si>
  <si>
    <t>58.6*WW(kg)^0.2+50.9*WW(kg)^-0.2*U^1.63</t>
  </si>
  <si>
    <r>
      <t xml:space="preserve">Crossota </t>
    </r>
    <r>
      <rPr>
        <sz val="10"/>
        <color indexed="8"/>
        <rFont val="Arial"/>
        <family val="2"/>
      </rPr>
      <t>sp. A</t>
    </r>
  </si>
  <si>
    <r>
      <t xml:space="preserve">Pantachogon </t>
    </r>
    <r>
      <rPr>
        <sz val="10"/>
        <color indexed="8"/>
        <rFont val="Arial"/>
        <family val="2"/>
      </rPr>
      <t>sp. A</t>
    </r>
  </si>
  <si>
    <t>Engraulis ringens</t>
  </si>
  <si>
    <t>Engraulis mordax</t>
  </si>
  <si>
    <t>Cyphocaris challengeri</t>
  </si>
  <si>
    <t>Primno abyssalis</t>
  </si>
  <si>
    <t>Themisto japonica</t>
  </si>
  <si>
    <t>Themisto pacifica</t>
  </si>
  <si>
    <t>Metridia gerlachei</t>
  </si>
  <si>
    <t>Calanus propinquus</t>
  </si>
  <si>
    <t>ug at NH4 h-1</t>
  </si>
  <si>
    <t>Diphyes</t>
  </si>
  <si>
    <t>Clytia</t>
  </si>
  <si>
    <r>
      <t>cm</t>
    </r>
    <r>
      <rPr>
        <vertAlign val="superscript"/>
        <sz val="10"/>
        <rFont val="Arial"/>
        <family val="2"/>
      </rPr>
      <t>3</t>
    </r>
  </si>
  <si>
    <t>Size</t>
  </si>
  <si>
    <t>units</t>
  </si>
  <si>
    <t>ug DW</t>
  </si>
  <si>
    <t>gWW</t>
    <phoneticPr fontId="3" type="noConversion"/>
  </si>
  <si>
    <t>g DW</t>
    <phoneticPr fontId="3" type="noConversion"/>
  </si>
  <si>
    <t>C. quinquecirrha</t>
  </si>
  <si>
    <t>C.quin</t>
  </si>
  <si>
    <t>Catostylus</t>
  </si>
  <si>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 at NH</t>
    </r>
    <r>
      <rPr>
        <vertAlign val="subscript"/>
        <sz val="10"/>
        <rFont val="Arial"/>
        <family val="2"/>
      </rPr>
      <t>4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 xml:space="preserve"> ind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 xml:space="preserve"> d</t>
    </r>
    <r>
      <rPr>
        <vertAlign val="superscript"/>
        <sz val="10"/>
        <rFont val="Arial"/>
        <family val="2"/>
      </rPr>
      <t>-1</t>
    </r>
  </si>
  <si>
    <r>
      <t>ng N ind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 xml:space="preserve"> h</t>
    </r>
    <r>
      <rPr>
        <vertAlign val="superscript"/>
        <sz val="10"/>
        <rFont val="Arial"/>
        <family val="2"/>
      </rPr>
      <t>-1</t>
    </r>
  </si>
  <si>
    <r>
      <rPr>
        <sz val="10"/>
        <rFont val="Symbol"/>
        <family val="1"/>
        <charset val="2"/>
      </rPr>
      <t>m</t>
    </r>
    <r>
      <rPr>
        <sz val="10"/>
        <rFont val="Calibri"/>
        <family val="2"/>
        <scheme val="minor"/>
      </rPr>
      <t>mol</t>
    </r>
    <r>
      <rPr>
        <sz val="10"/>
        <rFont val="Arial"/>
        <family val="2"/>
      </rPr>
      <t xml:space="preserve"> NH</t>
    </r>
    <r>
      <rPr>
        <vertAlign val="subscript"/>
        <sz val="10"/>
        <rFont val="Arial"/>
        <family val="2"/>
      </rPr>
      <t>4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 xml:space="preserve"> ind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 xml:space="preserve"> d</t>
    </r>
    <r>
      <rPr>
        <vertAlign val="superscript"/>
        <sz val="10"/>
        <rFont val="Arial"/>
        <family val="2"/>
      </rPr>
      <t>-1</t>
    </r>
  </si>
  <si>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 at NH</t>
    </r>
    <r>
      <rPr>
        <vertAlign val="subscript"/>
        <sz val="10"/>
        <rFont val="Arial"/>
        <family val="2"/>
      </rPr>
      <t>4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 xml:space="preserve"> ind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 xml:space="preserve"> h</t>
    </r>
    <r>
      <rPr>
        <vertAlign val="superscript"/>
        <sz val="10"/>
        <rFont val="Arial"/>
        <family val="2"/>
      </rPr>
      <t>-1</t>
    </r>
  </si>
  <si>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 NH4+ kg WW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 xml:space="preserve"> h</t>
    </r>
    <r>
      <rPr>
        <vertAlign val="superscript"/>
        <sz val="10"/>
        <rFont val="Arial"/>
        <family val="2"/>
      </rPr>
      <t>-1</t>
    </r>
  </si>
  <si>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 N ind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 xml:space="preserve"> h</t>
    </r>
    <r>
      <rPr>
        <vertAlign val="superscript"/>
        <sz val="10"/>
        <rFont val="Arial"/>
        <family val="2"/>
      </rPr>
      <t>-1</t>
    </r>
  </si>
  <si>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 N g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 xml:space="preserve"> h</t>
    </r>
    <r>
      <rPr>
        <vertAlign val="superscript"/>
        <sz val="10"/>
        <rFont val="Arial"/>
        <family val="2"/>
      </rPr>
      <t>-1</t>
    </r>
  </si>
  <si>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mol NH</t>
    </r>
    <r>
      <rPr>
        <vertAlign val="subscript"/>
        <sz val="10"/>
        <rFont val="Arial"/>
        <family val="2"/>
      </rPr>
      <t>4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 xml:space="preserve">  g DW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 xml:space="preserve"> d</t>
    </r>
    <r>
      <rPr>
        <vertAlign val="superscript"/>
        <sz val="10"/>
        <rFont val="Arial"/>
        <family val="2"/>
      </rPr>
      <t>-1</t>
    </r>
  </si>
  <si>
    <t>Respiration as reported/calculated</t>
  </si>
  <si>
    <t>Max size</t>
  </si>
  <si>
    <t>Longevity (days)</t>
  </si>
  <si>
    <t>Catostylus mosaicus</t>
  </si>
  <si>
    <t>Phyllorhiza punctata</t>
  </si>
  <si>
    <t>cm BD</t>
  </si>
  <si>
    <t>Cotylorhiza tuberculata</t>
  </si>
  <si>
    <t>mm</t>
  </si>
  <si>
    <t>Chrysaora quinquecirrha</t>
  </si>
  <si>
    <t>Nemopilema nomurai</t>
  </si>
  <si>
    <t>Pelagica noctiluca</t>
  </si>
  <si>
    <t>Mitrocomella polydiademata</t>
  </si>
  <si>
    <t>Clytia gregarium</t>
  </si>
  <si>
    <t>Clytia hemispherica</t>
  </si>
  <si>
    <t>Euphausida</t>
  </si>
  <si>
    <t>Euphausa triacantha</t>
  </si>
  <si>
    <t>Thysanoessa sp.</t>
  </si>
  <si>
    <t>Thysanoessa longicaudata</t>
  </si>
  <si>
    <t>Copepoda</t>
  </si>
  <si>
    <t>Acartia clausi</t>
  </si>
  <si>
    <t>Calanus finmarchicus</t>
  </si>
  <si>
    <t>Temora longicornis</t>
  </si>
  <si>
    <t>Pterygioteuthis gemmata</t>
  </si>
  <si>
    <t>mm ML</t>
  </si>
  <si>
    <t>cm TL</t>
  </si>
  <si>
    <t>ND</t>
  </si>
  <si>
    <t>Abralia trigonura</t>
  </si>
  <si>
    <t>mm gladius length</t>
  </si>
  <si>
    <t>Thysanoteuthis rhombus</t>
  </si>
  <si>
    <t>Loligo vulgaris</t>
  </si>
  <si>
    <t>Illex coindetii</t>
  </si>
  <si>
    <t>Illex argentinus</t>
  </si>
  <si>
    <t>Loliolus noctiluca</t>
  </si>
  <si>
    <t>Loligo gahi</t>
  </si>
  <si>
    <t>Dosidiscus gigas</t>
  </si>
  <si>
    <t>Photololigo edulis</t>
  </si>
  <si>
    <t>Idiosepius paradoxus</t>
  </si>
  <si>
    <t>Idiosepius notoides</t>
  </si>
  <si>
    <t>Idiosepius pygmaeus</t>
  </si>
  <si>
    <t>Anchoa compressa</t>
  </si>
  <si>
    <t>Anchoa delicatissima</t>
  </si>
  <si>
    <t>Engraulis encrasicolus</t>
  </si>
  <si>
    <t>Harengula jaguana</t>
  </si>
  <si>
    <t>Thunnus alalunga</t>
  </si>
  <si>
    <t>cm FL</t>
  </si>
  <si>
    <t>Rastrelliger kanagurta</t>
  </si>
  <si>
    <t>Scomber scombrus</t>
  </si>
  <si>
    <t>Caranx crysos</t>
  </si>
  <si>
    <t>Onchorynchus nerka</t>
  </si>
  <si>
    <t>Scomber japonicus</t>
  </si>
  <si>
    <t>mm TL</t>
  </si>
  <si>
    <t>Volume or WW</t>
  </si>
  <si>
    <t>kg WW</t>
  </si>
  <si>
    <r>
      <t xml:space="preserve">Cyanea </t>
    </r>
    <r>
      <rPr>
        <sz val="10"/>
        <rFont val="Arial"/>
        <family val="2"/>
      </rPr>
      <t>sp.</t>
    </r>
  </si>
  <si>
    <t>Temp</t>
  </si>
  <si>
    <t>Linuche unguiculata</t>
  </si>
  <si>
    <t>Liriope tetraphylla</t>
  </si>
  <si>
    <t>cm BH</t>
  </si>
  <si>
    <t>Acartia granii female</t>
  </si>
  <si>
    <t>mm cephalothorax</t>
  </si>
  <si>
    <t>Temora longicornis female</t>
  </si>
  <si>
    <t>Temora stylifera female</t>
  </si>
  <si>
    <t>Acartia tonsa</t>
  </si>
  <si>
    <t>Pseudocalanus minutus</t>
  </si>
  <si>
    <t>Cyclops abyssorum</t>
  </si>
  <si>
    <t>Centropages hamatus</t>
  </si>
  <si>
    <t>Centropages typicus</t>
  </si>
  <si>
    <t>Cyclops vicinus</t>
  </si>
  <si>
    <t>Diothiona oculata</t>
  </si>
  <si>
    <t>Thysanoessa raschii</t>
  </si>
  <si>
    <t>Euphausia pacifica</t>
  </si>
  <si>
    <t>Meganyctiphanes norvegica</t>
  </si>
  <si>
    <t>Palaemon adspersus</t>
  </si>
  <si>
    <t>Gnathophausia ingens</t>
  </si>
  <si>
    <t>Penaeus mergueinis</t>
  </si>
  <si>
    <t>Callinectes sapoidus</t>
  </si>
  <si>
    <t>Thunnus thynnus</t>
  </si>
  <si>
    <t>cm SL</t>
  </si>
  <si>
    <t>Acanthocybium solandri</t>
  </si>
  <si>
    <t>Thunnus albacares</t>
  </si>
  <si>
    <t>Melanogrammus aeglefinus L.</t>
  </si>
  <si>
    <t>Clupea harengus L.</t>
  </si>
  <si>
    <t>Scomber scombrus L.</t>
  </si>
  <si>
    <t>Pollachius virens L.</t>
  </si>
  <si>
    <t>Sardinops sagax</t>
  </si>
  <si>
    <t>Cubozoa</t>
  </si>
  <si>
    <r>
      <t xml:space="preserve">Pseudocalanus elongatus </t>
    </r>
    <r>
      <rPr>
        <sz val="10"/>
        <rFont val="Arial"/>
        <family val="2"/>
      </rPr>
      <t>female</t>
    </r>
  </si>
  <si>
    <r>
      <t xml:space="preserve">Solmissus </t>
    </r>
    <r>
      <rPr>
        <sz val="10"/>
        <rFont val="Arial"/>
        <family val="2"/>
      </rPr>
      <t>sp.</t>
    </r>
  </si>
  <si>
    <r>
      <t xml:space="preserve">Sarsia </t>
    </r>
    <r>
      <rPr>
        <sz val="10"/>
        <rFont val="Arial"/>
        <family val="2"/>
      </rPr>
      <t>sp.</t>
    </r>
  </si>
  <si>
    <r>
      <t xml:space="preserve">Chiropsalmus </t>
    </r>
    <r>
      <rPr>
        <sz val="10"/>
        <color indexed="8"/>
        <rFont val="Arial"/>
        <family val="2"/>
      </rPr>
      <t>sp.</t>
    </r>
  </si>
  <si>
    <t>WW or Vol</t>
  </si>
  <si>
    <t>11.5</t>
  </si>
  <si>
    <t>Reynolds Number</t>
  </si>
  <si>
    <t>2.1 x 5</t>
  </si>
  <si>
    <t>Height (cm) x Diameter (cm)</t>
  </si>
  <si>
    <t>Excretion rate</t>
  </si>
  <si>
    <t>Unit</t>
  </si>
  <si>
    <r>
      <t>Excretion (</t>
    </r>
    <r>
      <rPr>
        <b/>
        <sz val="10"/>
        <rFont val="Symbol"/>
        <family val="1"/>
        <charset val="2"/>
      </rPr>
      <t>m</t>
    </r>
    <r>
      <rPr>
        <b/>
        <sz val="10"/>
        <rFont val="Arial"/>
        <family val="2"/>
      </rPr>
      <t>mol NH</t>
    </r>
    <r>
      <rPr>
        <b/>
        <vertAlign val="subscript"/>
        <sz val="10"/>
        <rFont val="Arial"/>
        <family val="2"/>
      </rPr>
      <t>4</t>
    </r>
    <r>
      <rPr>
        <b/>
        <vertAlign val="superscript"/>
        <sz val="10"/>
        <rFont val="Arial"/>
        <family val="2"/>
      </rPr>
      <t>+</t>
    </r>
    <r>
      <rPr>
        <b/>
        <sz val="10"/>
        <rFont val="Arial"/>
        <family val="2"/>
      </rPr>
      <t>-N ind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 xml:space="preserve"> h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</si>
  <si>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t>Class or Order</t>
  </si>
  <si>
    <r>
      <t>C ind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 xml:space="preserve"> (g)</t>
    </r>
  </si>
  <si>
    <r>
      <t>N ind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 xml:space="preserve"> (g)</t>
    </r>
  </si>
  <si>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 DW</t>
    </r>
  </si>
  <si>
    <t>Calycopsis borchgrevinki</t>
  </si>
  <si>
    <t>Diphyes antactica</t>
  </si>
  <si>
    <t>Euphysa tentaculata</t>
  </si>
  <si>
    <t>Phialidium sp.</t>
  </si>
  <si>
    <t>Rathkea octopunctata</t>
  </si>
  <si>
    <t>Atolla wyvillei</t>
  </si>
  <si>
    <t>Chrysaora fuscescens</t>
  </si>
  <si>
    <t>Rhopilema esculentum</t>
  </si>
  <si>
    <t>Rhopilema hispidum</t>
  </si>
  <si>
    <t>Calanus cristatus</t>
  </si>
  <si>
    <t>Calanus lighti</t>
  </si>
  <si>
    <t>Calanus pacificus</t>
  </si>
  <si>
    <t>Calanus plumchrus</t>
  </si>
  <si>
    <r>
      <t>cm</t>
    </r>
    <r>
      <rPr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</si>
  <si>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t>Candacia aetiopica</t>
  </si>
  <si>
    <t>Candacia columbiae</t>
  </si>
  <si>
    <t>Disseta palumboi</t>
  </si>
  <si>
    <t>Eucalanus bungii bungii</t>
  </si>
  <si>
    <t>Labidocera actifrons</t>
  </si>
  <si>
    <t>Metridia okhotensis</t>
  </si>
  <si>
    <t>Pareuchaeta birostrata</t>
  </si>
  <si>
    <t>Pleuromamma xiphias</t>
  </si>
  <si>
    <t>Pontellina plumata</t>
  </si>
  <si>
    <t>Rhincalanus nasutus</t>
  </si>
  <si>
    <t>Parathemisto japonica</t>
  </si>
  <si>
    <t>Platyscelus serratulus</t>
  </si>
  <si>
    <t>Mysidacea</t>
  </si>
  <si>
    <t>Siriella aequiremis</t>
  </si>
  <si>
    <t>Lucifer reynaudii</t>
  </si>
  <si>
    <t>Chorismus antarcticus</t>
  </si>
  <si>
    <t>Tessarabrachion oculatus</t>
  </si>
  <si>
    <t>Sagitta nagae</t>
  </si>
  <si>
    <t>Cyclothone alba</t>
  </si>
  <si>
    <t>Engraulis japojnica</t>
  </si>
  <si>
    <t>Symbolophorus evermanni</t>
  </si>
  <si>
    <r>
      <t>Cruising velocity (cm s</t>
    </r>
    <r>
      <rPr>
        <b/>
        <vertAlign val="superscript"/>
        <sz val="10"/>
        <color indexed="8"/>
        <rFont val="Arial"/>
        <family val="2"/>
      </rPr>
      <t>-1</t>
    </r>
    <r>
      <rPr>
        <b/>
        <sz val="10"/>
        <color indexed="8"/>
        <rFont val="Arial"/>
        <family val="2"/>
      </rPr>
      <t>)</t>
    </r>
  </si>
  <si>
    <t>Sarsia tubulosa</t>
  </si>
  <si>
    <t>Moerisia lyonsi</t>
  </si>
  <si>
    <t>Chrysaora quinquecirrah</t>
  </si>
  <si>
    <t>Cyanea sp.</t>
  </si>
  <si>
    <t>Calliopius laeviusculus</t>
  </si>
  <si>
    <t>Thermisto japonica</t>
  </si>
  <si>
    <t>Loligo plei</t>
  </si>
  <si>
    <t>Pterosagitta draco</t>
  </si>
  <si>
    <t>Sagitta hispida</t>
  </si>
  <si>
    <t>Gobiusculus flavescens</t>
  </si>
  <si>
    <t>Istiophorus platypterus</t>
  </si>
  <si>
    <t>Rachycentron canadum</t>
  </si>
  <si>
    <t>Gadus morhua</t>
  </si>
  <si>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 C</t>
    </r>
  </si>
  <si>
    <r>
      <t>Size T</t>
    </r>
    <r>
      <rPr>
        <b/>
        <vertAlign val="subscript"/>
        <sz val="10"/>
        <rFont val="Arial"/>
        <family val="2"/>
      </rPr>
      <t>0</t>
    </r>
  </si>
  <si>
    <r>
      <t>Size T</t>
    </r>
    <r>
      <rPr>
        <b/>
        <vertAlign val="subscript"/>
        <sz val="10"/>
        <rFont val="Arial"/>
        <family val="2"/>
      </rPr>
      <t>1</t>
    </r>
  </si>
  <si>
    <t>Days</t>
  </si>
  <si>
    <t>Geometric mean WW or Vol</t>
  </si>
  <si>
    <t>mg C</t>
  </si>
  <si>
    <r>
      <rPr>
        <b/>
        <sz val="10"/>
        <rFont val="Symbol"/>
        <family val="1"/>
        <charset val="2"/>
      </rPr>
      <t>m</t>
    </r>
    <r>
      <rPr>
        <b/>
        <sz val="10"/>
        <rFont val="Arial"/>
        <family val="2"/>
      </rPr>
      <t>max</t>
    </r>
  </si>
  <si>
    <r>
      <t>Geometric mean weight (</t>
    </r>
    <r>
      <rPr>
        <b/>
        <sz val="10"/>
        <rFont val="Symbol"/>
        <family val="1"/>
        <charset val="2"/>
      </rPr>
      <t>m</t>
    </r>
    <r>
      <rPr>
        <b/>
        <sz val="10"/>
        <rFont val="Arial"/>
        <family val="2"/>
      </rPr>
      <t>g C ind-1)</t>
    </r>
  </si>
  <si>
    <t>Acartia hudsonica</t>
  </si>
  <si>
    <t>Bolinopsis vitrea</t>
  </si>
  <si>
    <t>Bathocyroe fosteri</t>
  </si>
  <si>
    <t>Agmayeria tortugensis</t>
  </si>
  <si>
    <t>Pleurobrachia pileus</t>
  </si>
  <si>
    <t>Beroe sp</t>
  </si>
  <si>
    <t>Beroe ovata</t>
  </si>
  <si>
    <t>Ctenophora</t>
  </si>
  <si>
    <t>RR (mg O2 ind-1 h-1)=0.034*WW(g)^0.64</t>
  </si>
  <si>
    <t>RR (mg O2 ind-1 h-1)=0.078*WW(g)^1.12</t>
  </si>
  <si>
    <t>RR (mg O2 ind-1 h-1)=0.154*WW(g)^0.97</t>
  </si>
  <si>
    <t>RR (mg O2 ind-1 h-1)=0.211*WW(g)^0.9</t>
  </si>
  <si>
    <t>2.163 ul O2 h-1 g WW-1</t>
  </si>
  <si>
    <t>5.828 ul O2 h-1 g WW-1</t>
  </si>
  <si>
    <t>RR (ul O2 (ugC)-1 d-1</t>
  </si>
  <si>
    <t>RR(ml O2 g-1 h-1)=0.341*DW^1.04</t>
  </si>
  <si>
    <t>RR(ug O2 ind-1 h-1)=0.0063*WW(mg)^1.078</t>
  </si>
  <si>
    <t>Nuda</t>
  </si>
  <si>
    <t>Tentaculata</t>
  </si>
  <si>
    <t>Beroe sp.</t>
  </si>
  <si>
    <t>Mnemiopsis leidyi</t>
  </si>
  <si>
    <t>Mnemiopsis mccradyi</t>
  </si>
  <si>
    <t>Ocyropsis spp.</t>
  </si>
  <si>
    <t>Ocryopsis maculata</t>
  </si>
  <si>
    <t>Eurhamphaea vexilligera</t>
  </si>
  <si>
    <t>ml</t>
  </si>
  <si>
    <r>
      <rPr>
        <i/>
        <sz val="10"/>
        <rFont val="Arial"/>
        <family val="2"/>
      </rPr>
      <t>Beroe</t>
    </r>
    <r>
      <rPr>
        <sz val="10"/>
        <rFont val="Arial"/>
        <family val="2"/>
      </rPr>
      <t xml:space="preserve"> sp.</t>
    </r>
  </si>
  <si>
    <t>R(mg O2 ind-1 h-1)=0.33*DW(mg)^0.93</t>
  </si>
  <si>
    <t>ug at NH4-N ind-1 h-1</t>
  </si>
  <si>
    <t>Ocryopsis spp.</t>
  </si>
  <si>
    <t>R(mg O2 ind-1 h-1)=0.74*DW(mg)^1.06</t>
  </si>
  <si>
    <t>R(mg O2 ind-1 h-1)=1.17*DW(mg)^0.82</t>
  </si>
  <si>
    <t>ug At-NH4+-N ind-1 h-1</t>
  </si>
  <si>
    <t>Excretion=1.952*DW(g)^0.742</t>
  </si>
  <si>
    <t>Bathycroe fosteri</t>
  </si>
  <si>
    <t>Excretion=0.7 ug-at NH4+-N g-1 DW h-1</t>
  </si>
  <si>
    <t>ug N ind-1 h-1</t>
  </si>
  <si>
    <t>g DW</t>
    <phoneticPr fontId="2" type="noConversion"/>
  </si>
  <si>
    <t>Excretion=1.48*DW(g)^0.79</t>
  </si>
  <si>
    <t>umol NH4+ ind-1 h-1</t>
  </si>
  <si>
    <t>R(mg O2 ind-1 h-1)=1.17*DW(mg)^0.76</t>
  </si>
  <si>
    <t>Bolinopsis infundibulum</t>
  </si>
  <si>
    <t>Pleurobrachia bachei</t>
  </si>
  <si>
    <t>SST</t>
  </si>
  <si>
    <t>April (1981)</t>
  </si>
  <si>
    <t>Firth of Clyde UK</t>
  </si>
  <si>
    <t>San Juan Island, USA</t>
  </si>
  <si>
    <t>Southampton Water, UK</t>
  </si>
  <si>
    <t>White Sea, Russia</t>
  </si>
  <si>
    <t>Urazoko Bay, Japan</t>
  </si>
  <si>
    <t>Kiel Bight, Germany</t>
  </si>
  <si>
    <t>Tomales Bay, USA</t>
  </si>
  <si>
    <t>Botany Bay, Australia</t>
  </si>
  <si>
    <t>Chesapeake Bay, USA</t>
  </si>
  <si>
    <t>From paper</t>
  </si>
  <si>
    <t>Greece</t>
  </si>
  <si>
    <t>Niantic River, USA</t>
  </si>
  <si>
    <t>Sea of Japan</t>
  </si>
  <si>
    <t>Northern Adriatic Sea</t>
  </si>
  <si>
    <t>Southern Brazil</t>
  </si>
  <si>
    <t>Swan-Canning Estuary, Australia</t>
  </si>
  <si>
    <t>Mississippi Sound, USA</t>
  </si>
  <si>
    <t>Ross Sea, Antarctica</t>
  </si>
  <si>
    <t>North Atlantic</t>
  </si>
  <si>
    <t>Barents Sea</t>
  </si>
  <si>
    <t>Hawaii</t>
  </si>
  <si>
    <t>Gulf of California</t>
  </si>
  <si>
    <t>Forteswcue Bay, Tasmania, Australia</t>
  </si>
  <si>
    <t>southern Hokkaido, Japan</t>
  </si>
  <si>
    <t>Townsville, Australia</t>
  </si>
  <si>
    <t>Patagonia, Argentina</t>
  </si>
  <si>
    <t>Strait of Sicily, Italy</t>
  </si>
  <si>
    <t>Falkland Islands</t>
  </si>
  <si>
    <t>Santa Catalina Islands, California</t>
  </si>
  <si>
    <t>Narragansett Bay, USA</t>
  </si>
  <si>
    <t>West Saharan Shelf</t>
  </si>
  <si>
    <t>Western Port Bay, Australia</t>
  </si>
  <si>
    <t>East China Sea</t>
  </si>
  <si>
    <t>Gulf of Guinea, Africa</t>
  </si>
  <si>
    <t>Tropical Atlantic</t>
  </si>
  <si>
    <t>Ocyropsis</t>
  </si>
  <si>
    <t>Beroe cucumis</t>
  </si>
  <si>
    <t>Beroe forskalii</t>
  </si>
  <si>
    <t>m</t>
  </si>
  <si>
    <t>Beroe</t>
  </si>
  <si>
    <t>cm OA Length</t>
  </si>
  <si>
    <t>Sagittidae</t>
  </si>
  <si>
    <t>Neocalanus plumchrus V</t>
  </si>
  <si>
    <t>Neocalanus cristatus</t>
  </si>
  <si>
    <t>Eucalanus bungii</t>
  </si>
  <si>
    <t>Neocalanus gracilis</t>
  </si>
  <si>
    <t>Rhincalanus gigas</t>
  </si>
  <si>
    <t>Calanus hyperboreus</t>
  </si>
  <si>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l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ind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 xml:space="preserve"> h</t>
    </r>
    <r>
      <rPr>
        <vertAlign val="superscript"/>
        <sz val="10"/>
        <rFont val="Arial"/>
        <family val="2"/>
      </rPr>
      <t>-1</t>
    </r>
    <r>
      <rPr>
        <sz val="11"/>
        <color theme="1"/>
        <rFont val="Calibri"/>
        <family val="2"/>
        <scheme val="minor"/>
      </rPr>
      <t/>
    </r>
  </si>
  <si>
    <r>
      <t>cm</t>
    </r>
    <r>
      <rPr>
        <vertAlign val="superscript"/>
        <sz val="10"/>
        <color indexed="8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</si>
  <si>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t>Parathemitso gaudichaudii</t>
  </si>
  <si>
    <t>Newport Bay, California</t>
  </si>
  <si>
    <t>Northern Gulf of Mesico</t>
  </si>
  <si>
    <t>62 N-37S</t>
  </si>
  <si>
    <t>Western coast of S. America</t>
  </si>
  <si>
    <t>Caribbean</t>
  </si>
  <si>
    <t>Alaska</t>
  </si>
  <si>
    <t>Coral triangle</t>
  </si>
  <si>
    <t>Northern Atlantic</t>
  </si>
  <si>
    <t>Tropics worldwide</t>
  </si>
  <si>
    <t>Pteropoda</t>
  </si>
  <si>
    <t>Limacina antarctica</t>
  </si>
  <si>
    <t>Clione antarctica</t>
  </si>
  <si>
    <t>Cleodora sulcata</t>
  </si>
  <si>
    <t>Calanus acutus V</t>
  </si>
  <si>
    <t>Calanus glacialis</t>
  </si>
  <si>
    <t>Metridia longa</t>
  </si>
  <si>
    <t>Metridia pacifica</t>
  </si>
  <si>
    <t>Euchaeta marina</t>
  </si>
  <si>
    <t>Undinulla vulgaris</t>
  </si>
  <si>
    <t xml:space="preserve">Eucalanus subcrassus </t>
  </si>
  <si>
    <t>Eucalanus attenuatus</t>
  </si>
  <si>
    <t>Labidocera acuta</t>
  </si>
  <si>
    <t>Labidocera nerii</t>
  </si>
  <si>
    <t>Potella danae</t>
  </si>
  <si>
    <t>Uye unpubl.</t>
  </si>
  <si>
    <t>Pitt unpubl.</t>
  </si>
  <si>
    <t>ul O2 ind-1 h-1</t>
  </si>
  <si>
    <t>mg O2 ind-1 h-1</t>
  </si>
  <si>
    <t>ml O2 ind-1 h-1</t>
  </si>
  <si>
    <t>ug O2 ind-1 h-1</t>
  </si>
  <si>
    <t>ul O2 ind-1 d-1</t>
  </si>
  <si>
    <t>Mills unpubl.</t>
  </si>
  <si>
    <t>Location</t>
  </si>
  <si>
    <t>Date used for SST</t>
  </si>
</sst>
</file>

<file path=xl/styles.xml><?xml version="1.0" encoding="utf-8"?>
<styleSheet xmlns="http://schemas.openxmlformats.org/spreadsheetml/2006/main">
  <numFmts count="4">
    <numFmt numFmtId="164" formatCode="0.000E+00"/>
    <numFmt numFmtId="165" formatCode="0.0000"/>
    <numFmt numFmtId="166" formatCode="0.000"/>
    <numFmt numFmtId="167" formatCode="0.0000000000000000E+00"/>
  </numFmts>
  <fonts count="3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vertAlign val="superscript"/>
      <sz val="10"/>
      <color indexed="8"/>
      <name val="Arial"/>
      <family val="2"/>
    </font>
    <font>
      <sz val="10"/>
      <name val="Symbol"/>
      <family val="1"/>
      <charset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Symbol"/>
      <family val="1"/>
      <charset val="2"/>
    </font>
    <font>
      <vertAlign val="subscript"/>
      <sz val="10"/>
      <color indexed="8"/>
      <name val="Arial"/>
      <family val="2"/>
    </font>
    <font>
      <vertAlign val="subscript"/>
      <sz val="10"/>
      <color indexed="9"/>
      <name val="Arial"/>
      <family val="2"/>
    </font>
    <font>
      <vertAlign val="superscript"/>
      <sz val="10"/>
      <color indexed="9"/>
      <name val="Arial"/>
      <family val="2"/>
    </font>
    <font>
      <b/>
      <vertAlign val="sub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i/>
      <sz val="8"/>
      <color indexed="81"/>
      <name val="Tahoma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8"/>
      <color indexed="8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3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left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3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3" fillId="0" borderId="0" xfId="0" applyNumberFormat="1" applyFont="1" applyFill="1" applyAlignment="1">
      <alignment horizontal="center"/>
    </xf>
    <xf numFmtId="0" fontId="9" fillId="0" borderId="0" xfId="0" applyFo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11" fontId="0" fillId="0" borderId="0" xfId="0" applyNumberFormat="1" applyAlignment="1">
      <alignment horizontal="center" vertical="center"/>
    </xf>
    <xf numFmtId="11" fontId="0" fillId="0" borderId="0" xfId="0" applyNumberFormat="1" applyFill="1" applyAlignment="1">
      <alignment horizontal="center" vertical="center"/>
    </xf>
    <xf numFmtId="11" fontId="5" fillId="0" borderId="0" xfId="0" applyNumberFormat="1" applyFont="1" applyFill="1" applyAlignment="1">
      <alignment horizontal="center" vertical="center" wrapText="1"/>
    </xf>
    <xf numFmtId="11" fontId="4" fillId="0" borderId="0" xfId="0" applyNumberFormat="1" applyFont="1" applyFill="1" applyAlignment="1">
      <alignment horizontal="center" vertical="center" wrapText="1"/>
    </xf>
    <xf numFmtId="11" fontId="0" fillId="0" borderId="0" xfId="0" applyNumberFormat="1" applyFont="1" applyFill="1" applyBorder="1" applyAlignment="1" applyProtection="1">
      <alignment horizontal="center"/>
    </xf>
    <xf numFmtId="11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21" fillId="0" borderId="0" xfId="0" applyNumberFormat="1" applyFont="1" applyFill="1" applyAlignment="1">
      <alignment horizontal="left" vertical="center" wrapText="1"/>
    </xf>
    <xf numFmtId="11" fontId="4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>
      <alignment horizontal="left" vertical="center"/>
    </xf>
    <xf numFmtId="11" fontId="6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>
      <alignment vertical="center"/>
    </xf>
    <xf numFmtId="11" fontId="0" fillId="0" borderId="0" xfId="0" applyNumberFormat="1">
      <alignment vertical="center"/>
    </xf>
    <xf numFmtId="11" fontId="0" fillId="0" borderId="0" xfId="0" applyNumberFormat="1" applyFont="1" applyAlignment="1">
      <alignment horizontal="center" vertical="center"/>
    </xf>
    <xf numFmtId="0" fontId="22" fillId="0" borderId="0" xfId="0" applyFont="1">
      <alignment vertical="center"/>
    </xf>
    <xf numFmtId="0" fontId="22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/>
    <xf numFmtId="0" fontId="24" fillId="0" borderId="0" xfId="0" applyFont="1" applyAlignment="1"/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11" fontId="0" fillId="0" borderId="0" xfId="0" applyNumberFormat="1" applyAlignment="1">
      <alignment horizontal="center"/>
    </xf>
    <xf numFmtId="11" fontId="24" fillId="0" borderId="0" xfId="0" applyNumberFormat="1" applyFont="1" applyAlignment="1">
      <alignment horizontal="center"/>
    </xf>
    <xf numFmtId="0" fontId="22" fillId="0" borderId="0" xfId="0" applyFont="1" applyAlignment="1"/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/>
    <xf numFmtId="0" fontId="0" fillId="0" borderId="0" xfId="0" applyNumberFormat="1" applyFont="1" applyFill="1" applyAlignment="1">
      <alignment horizontal="center"/>
    </xf>
    <xf numFmtId="0" fontId="0" fillId="0" borderId="0" xfId="0" applyNumberFormat="1" applyFill="1" applyAlignment="1"/>
    <xf numFmtId="0" fontId="0" fillId="0" borderId="0" xfId="0" applyNumberFormat="1" applyFill="1" applyAlignment="1">
      <alignment horizontal="center"/>
    </xf>
    <xf numFmtId="0" fontId="21" fillId="0" borderId="0" xfId="0" applyNumberFormat="1" applyFont="1" applyFill="1" applyAlignment="1">
      <alignment horizontal="left"/>
    </xf>
    <xf numFmtId="0" fontId="22" fillId="0" borderId="0" xfId="0" applyNumberFormat="1" applyFont="1" applyFill="1" applyAlignment="1"/>
    <xf numFmtId="0" fontId="22" fillId="0" borderId="0" xfId="0" applyFont="1" applyAlignment="1">
      <alignment vertical="center"/>
    </xf>
    <xf numFmtId="11" fontId="4" fillId="0" borderId="0" xfId="0" applyNumberFormat="1" applyFont="1" applyFill="1" applyAlignment="1">
      <alignment horizontal="center"/>
    </xf>
    <xf numFmtId="11" fontId="0" fillId="0" borderId="0" xfId="0" applyNumberFormat="1" applyFont="1" applyFill="1" applyAlignment="1">
      <alignment horizontal="center"/>
    </xf>
    <xf numFmtId="11" fontId="0" fillId="0" borderId="0" xfId="0" applyNumberForma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1" fontId="9" fillId="0" borderId="0" xfId="0" applyNumberFormat="1" applyFont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left"/>
    </xf>
    <xf numFmtId="164" fontId="24" fillId="0" borderId="0" xfId="0" applyNumberFormat="1" applyFont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/>
    </xf>
    <xf numFmtId="164" fontId="24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64" fontId="24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11" fontId="9" fillId="0" borderId="0" xfId="0" applyNumberFormat="1" applyFont="1" applyAlignment="1">
      <alignment horizontal="center"/>
    </xf>
    <xf numFmtId="0" fontId="0" fillId="0" borderId="0" xfId="0" applyNumberFormat="1" applyFill="1" applyBorder="1" applyAlignment="1" applyProtection="1">
      <alignment horizontal="left"/>
    </xf>
    <xf numFmtId="0" fontId="0" fillId="0" borderId="0" xfId="0" applyFill="1" applyAlignment="1"/>
    <xf numFmtId="0" fontId="9" fillId="0" borderId="0" xfId="0" applyFont="1" applyAlignment="1">
      <alignment vertical="center"/>
    </xf>
    <xf numFmtId="0" fontId="4" fillId="0" borderId="0" xfId="0" applyNumberFormat="1" applyFont="1" applyFill="1" applyAlignment="1">
      <alignment horizontal="right"/>
    </xf>
    <xf numFmtId="0" fontId="22" fillId="0" borderId="0" xfId="0" applyFont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Alignment="1"/>
    <xf numFmtId="0" fontId="22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Alignment="1">
      <alignment horizontal="center"/>
    </xf>
    <xf numFmtId="2" fontId="4" fillId="0" borderId="0" xfId="0" applyNumberFormat="1" applyFont="1" applyFill="1" applyAlignment="1">
      <alignment horizontal="left"/>
    </xf>
    <xf numFmtId="2" fontId="24" fillId="0" borderId="0" xfId="0" applyNumberFormat="1" applyFont="1" applyAlignment="1">
      <alignment vertical="center"/>
    </xf>
    <xf numFmtId="2" fontId="24" fillId="0" borderId="0" xfId="0" applyNumberFormat="1" applyFont="1" applyFill="1" applyAlignment="1">
      <alignment vertical="center"/>
    </xf>
    <xf numFmtId="165" fontId="24" fillId="0" borderId="0" xfId="0" applyNumberFormat="1" applyFont="1" applyFill="1" applyAlignment="1">
      <alignment vertical="center"/>
    </xf>
    <xf numFmtId="2" fontId="0" fillId="0" borderId="0" xfId="0" applyNumberFormat="1" applyAlignment="1">
      <alignment vertical="center"/>
    </xf>
    <xf numFmtId="166" fontId="0" fillId="0" borderId="0" xfId="0" applyNumberFormat="1" applyFill="1" applyAlignment="1">
      <alignment vertical="center"/>
    </xf>
    <xf numFmtId="165" fontId="4" fillId="0" borderId="0" xfId="0" applyNumberFormat="1" applyFont="1" applyFill="1" applyAlignment="1">
      <alignment horizontal="left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/>
    </xf>
    <xf numFmtId="0" fontId="5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0" fillId="0" borderId="0" xfId="0" applyFont="1" applyFill="1" applyAlignment="1">
      <alignment vertical="center"/>
    </xf>
    <xf numFmtId="11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23" fillId="0" borderId="0" xfId="0" applyFont="1" applyFill="1">
      <alignment vertical="center"/>
    </xf>
    <xf numFmtId="17" fontId="22" fillId="0" borderId="0" xfId="0" applyNumberFormat="1" applyFont="1" applyAlignment="1"/>
    <xf numFmtId="17" fontId="0" fillId="0" borderId="0" xfId="0" applyNumberFormat="1">
      <alignment vertical="center"/>
    </xf>
    <xf numFmtId="0" fontId="21" fillId="0" borderId="0" xfId="0" applyNumberFormat="1" applyFont="1" applyFill="1" applyAlignment="1">
      <alignment horizontal="left" wrapText="1"/>
    </xf>
    <xf numFmtId="167" fontId="0" fillId="0" borderId="0" xfId="0" applyNumberFormat="1" applyFill="1">
      <alignment vertical="center"/>
    </xf>
    <xf numFmtId="0" fontId="3" fillId="2" borderId="0" xfId="0" applyNumberFormat="1" applyFont="1" applyFill="1" applyAlignment="1">
      <alignment horizontal="left"/>
    </xf>
    <xf numFmtId="0" fontId="9" fillId="2" borderId="0" xfId="0" applyFont="1" applyFill="1">
      <alignment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11" fontId="0" fillId="0" borderId="0" xfId="0" applyNumberFormat="1" applyFont="1" applyAlignment="1">
      <alignment horizontal="center"/>
    </xf>
    <xf numFmtId="164" fontId="24" fillId="0" borderId="0" xfId="0" applyNumberFormat="1" applyFont="1" applyFill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ont="1" applyFill="1" applyBorder="1" applyAlignment="1" applyProtection="1">
      <alignment horizont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9" fillId="0" borderId="0" xfId="0" applyFont="1" applyFill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"/>
  <sheetViews>
    <sheetView zoomScale="115" zoomScaleNormal="115" workbookViewId="0">
      <selection activeCell="E34" sqref="E34"/>
    </sheetView>
  </sheetViews>
  <sheetFormatPr defaultRowHeight="12.75"/>
  <cols>
    <col min="1" max="1" width="12.7109375" customWidth="1"/>
    <col min="2" max="2" width="14.42578125" bestFit="1" customWidth="1"/>
    <col min="3" max="3" width="23.85546875" customWidth="1"/>
    <col min="4" max="4" width="15.140625" customWidth="1"/>
    <col min="6" max="6" width="12.28515625" customWidth="1"/>
    <col min="8" max="8" width="10.85546875" customWidth="1"/>
    <col min="9" max="9" width="17" customWidth="1"/>
    <col min="10" max="10" width="11.7109375" customWidth="1"/>
    <col min="11" max="11" width="10" style="116" bestFit="1" customWidth="1"/>
  </cols>
  <sheetData>
    <row r="1" spans="1:24" ht="14.25">
      <c r="A1" s="59" t="s">
        <v>82</v>
      </c>
      <c r="B1" s="59" t="s">
        <v>239</v>
      </c>
      <c r="C1" s="59" t="s">
        <v>4</v>
      </c>
      <c r="D1" s="60" t="s">
        <v>125</v>
      </c>
      <c r="E1" s="61" t="s">
        <v>9</v>
      </c>
      <c r="F1" s="60" t="s">
        <v>231</v>
      </c>
      <c r="G1" s="60" t="s">
        <v>9</v>
      </c>
      <c r="H1" s="60" t="s">
        <v>3</v>
      </c>
      <c r="I1" s="60" t="s">
        <v>240</v>
      </c>
      <c r="J1" s="60" t="s">
        <v>241</v>
      </c>
      <c r="K1" s="59" t="s">
        <v>7</v>
      </c>
      <c r="L1" s="60"/>
      <c r="M1" s="9"/>
      <c r="N1" s="9"/>
      <c r="O1" s="9"/>
      <c r="Q1" s="60"/>
      <c r="R1" s="9"/>
      <c r="V1" s="60"/>
      <c r="W1" s="9"/>
      <c r="X1" s="9"/>
    </row>
    <row r="2" spans="1:24">
      <c r="A2" s="75" t="s">
        <v>35</v>
      </c>
      <c r="B2" s="62" t="s">
        <v>18</v>
      </c>
      <c r="C2" s="63" t="s">
        <v>39</v>
      </c>
      <c r="D2" s="64">
        <v>1.75</v>
      </c>
      <c r="E2" s="65" t="s">
        <v>5</v>
      </c>
      <c r="F2" s="66">
        <v>1.75</v>
      </c>
      <c r="G2" s="66" t="s">
        <v>11</v>
      </c>
      <c r="H2" s="67">
        <v>1.4950726717529623</v>
      </c>
      <c r="I2" s="66">
        <v>5.1821000000000002E-3</v>
      </c>
      <c r="J2" s="66">
        <v>1.2859000000000002E-3</v>
      </c>
      <c r="K2" s="115">
        <v>1</v>
      </c>
    </row>
    <row r="3" spans="1:24">
      <c r="A3" s="75" t="s">
        <v>35</v>
      </c>
      <c r="B3" s="62" t="s">
        <v>18</v>
      </c>
      <c r="C3" s="63" t="s">
        <v>19</v>
      </c>
      <c r="D3" s="64">
        <v>60.67</v>
      </c>
      <c r="E3" s="68" t="s">
        <v>242</v>
      </c>
      <c r="F3" s="66">
        <v>1.103090909090909E-3</v>
      </c>
      <c r="G3" s="66" t="s">
        <v>11</v>
      </c>
      <c r="H3" s="67">
        <v>0.12819292494100334</v>
      </c>
      <c r="I3" s="66">
        <v>5.7211810000000009E-6</v>
      </c>
      <c r="J3" s="66">
        <v>2.991031E-6</v>
      </c>
      <c r="K3" s="115">
        <v>2</v>
      </c>
    </row>
    <row r="4" spans="1:24">
      <c r="A4" s="75" t="s">
        <v>35</v>
      </c>
      <c r="B4" s="62" t="s">
        <v>18</v>
      </c>
      <c r="C4" s="63" t="s">
        <v>56</v>
      </c>
      <c r="D4" s="66">
        <v>5</v>
      </c>
      <c r="E4" s="65" t="s">
        <v>5</v>
      </c>
      <c r="F4" s="66">
        <v>5</v>
      </c>
      <c r="G4" s="66" t="s">
        <v>11</v>
      </c>
      <c r="H4" s="67">
        <v>2.121475896986929</v>
      </c>
      <c r="I4" s="66">
        <v>1.1829600000000003E-2</v>
      </c>
      <c r="J4" s="66">
        <v>3.4556000000000005E-3</v>
      </c>
      <c r="K4" s="116">
        <v>3</v>
      </c>
    </row>
    <row r="5" spans="1:24">
      <c r="A5" s="75" t="s">
        <v>35</v>
      </c>
      <c r="B5" s="62" t="s">
        <v>18</v>
      </c>
      <c r="C5" s="63" t="s">
        <v>243</v>
      </c>
      <c r="D5" s="66">
        <v>4.5</v>
      </c>
      <c r="E5" s="65" t="s">
        <v>5</v>
      </c>
      <c r="F5" s="66">
        <v>4.5</v>
      </c>
      <c r="G5" s="66" t="s">
        <v>11</v>
      </c>
      <c r="H5" s="67">
        <v>2.048263177591009</v>
      </c>
      <c r="I5" s="66">
        <v>2.2626629999999998E-2</v>
      </c>
      <c r="J5" s="66">
        <v>5.4312300000000004E-3</v>
      </c>
      <c r="K5" s="116">
        <v>3</v>
      </c>
    </row>
    <row r="6" spans="1:24">
      <c r="A6" s="75" t="s">
        <v>35</v>
      </c>
      <c r="B6" s="62" t="s">
        <v>18</v>
      </c>
      <c r="C6" s="63" t="s">
        <v>42</v>
      </c>
      <c r="D6" s="64">
        <v>13.71</v>
      </c>
      <c r="E6" s="65" t="s">
        <v>5</v>
      </c>
      <c r="F6" s="66">
        <v>13.71</v>
      </c>
      <c r="G6" s="66" t="s">
        <v>11</v>
      </c>
      <c r="H6" s="67">
        <v>2.9693345061697545</v>
      </c>
      <c r="I6" s="66">
        <v>0.111281328</v>
      </c>
      <c r="J6" s="66">
        <v>2.9087136E-2</v>
      </c>
      <c r="K6" s="116">
        <v>1</v>
      </c>
    </row>
    <row r="7" spans="1:24">
      <c r="A7" s="75" t="s">
        <v>35</v>
      </c>
      <c r="B7" s="62" t="s">
        <v>18</v>
      </c>
      <c r="C7" s="63" t="s">
        <v>244</v>
      </c>
      <c r="D7" s="66">
        <v>1</v>
      </c>
      <c r="E7" s="65" t="s">
        <v>5</v>
      </c>
      <c r="F7" s="66">
        <v>1</v>
      </c>
      <c r="G7" s="66" t="s">
        <v>11</v>
      </c>
      <c r="H7" s="67">
        <v>1.2406532866264315</v>
      </c>
      <c r="I7" s="66">
        <v>4.1769599999999995E-3</v>
      </c>
      <c r="J7" s="66">
        <v>1.2083999999999997E-3</v>
      </c>
      <c r="K7" s="116">
        <v>3</v>
      </c>
    </row>
    <row r="8" spans="1:24">
      <c r="A8" s="75" t="s">
        <v>35</v>
      </c>
      <c r="B8" s="62" t="s">
        <v>18</v>
      </c>
      <c r="C8" s="63" t="s">
        <v>245</v>
      </c>
      <c r="D8" s="64">
        <v>28.48</v>
      </c>
      <c r="E8" s="68" t="s">
        <v>242</v>
      </c>
      <c r="F8" s="66">
        <v>5.178181818181819E-4</v>
      </c>
      <c r="G8" s="66" t="s">
        <v>11</v>
      </c>
      <c r="H8" s="67">
        <v>9.9629315902246079E-2</v>
      </c>
      <c r="I8" s="66">
        <v>1.6689280000000002E-6</v>
      </c>
      <c r="J8" s="66">
        <v>3.8732800000000007E-7</v>
      </c>
      <c r="K8" s="116">
        <v>4</v>
      </c>
    </row>
    <row r="9" spans="1:24">
      <c r="A9" s="75" t="s">
        <v>35</v>
      </c>
      <c r="B9" s="62" t="s">
        <v>18</v>
      </c>
      <c r="C9" s="63" t="s">
        <v>246</v>
      </c>
      <c r="D9" s="66">
        <v>350</v>
      </c>
      <c r="E9" s="68" t="s">
        <v>242</v>
      </c>
      <c r="F9" s="66">
        <v>6.3636363636363638E-3</v>
      </c>
      <c r="G9" s="66" t="s">
        <v>11</v>
      </c>
      <c r="H9" s="67">
        <v>0.22991088665664255</v>
      </c>
      <c r="I9" s="66">
        <v>6.7829999999999993E-5</v>
      </c>
      <c r="J9" s="66">
        <v>2.0474999999999996E-5</v>
      </c>
      <c r="K9" s="116">
        <v>5</v>
      </c>
    </row>
    <row r="10" spans="1:24">
      <c r="A10" s="75" t="s">
        <v>35</v>
      </c>
      <c r="B10" s="62" t="s">
        <v>18</v>
      </c>
      <c r="C10" s="63" t="s">
        <v>247</v>
      </c>
      <c r="D10" s="66">
        <v>23.96</v>
      </c>
      <c r="E10" s="68" t="s">
        <v>242</v>
      </c>
      <c r="F10" s="66">
        <v>4.3563636363636363E-4</v>
      </c>
      <c r="G10" s="66" t="s">
        <v>11</v>
      </c>
      <c r="H10" s="67">
        <v>9.405235505953026E-2</v>
      </c>
      <c r="I10" s="66">
        <v>6.009168E-6</v>
      </c>
      <c r="J10" s="66">
        <v>3.891104E-6</v>
      </c>
      <c r="K10" s="116">
        <v>4</v>
      </c>
    </row>
    <row r="11" spans="1:24">
      <c r="A11" s="75" t="s">
        <v>35</v>
      </c>
      <c r="B11" s="62" t="s">
        <v>18</v>
      </c>
      <c r="C11" s="63" t="s">
        <v>30</v>
      </c>
      <c r="D11" s="64">
        <v>29.84</v>
      </c>
      <c r="E11" s="68" t="s">
        <v>242</v>
      </c>
      <c r="F11" s="66">
        <v>5.4254545454545452E-4</v>
      </c>
      <c r="G11" s="66" t="s">
        <v>11</v>
      </c>
      <c r="H11" s="67">
        <v>0.10119056605979232</v>
      </c>
      <c r="I11" s="66">
        <v>1.9903280000000002E-6</v>
      </c>
      <c r="J11" s="66">
        <v>6.7140000000000004E-7</v>
      </c>
      <c r="K11" s="116">
        <v>4</v>
      </c>
    </row>
    <row r="12" spans="1:24">
      <c r="A12" s="75" t="s">
        <v>35</v>
      </c>
      <c r="B12" s="62" t="s">
        <v>18</v>
      </c>
      <c r="C12" s="63" t="s">
        <v>41</v>
      </c>
      <c r="D12" s="64">
        <v>25.45</v>
      </c>
      <c r="E12" s="65" t="s">
        <v>5</v>
      </c>
      <c r="F12" s="66">
        <v>25.45</v>
      </c>
      <c r="G12" s="66" t="s">
        <v>11</v>
      </c>
      <c r="H12" s="67">
        <v>3.6492896913615693</v>
      </c>
      <c r="I12" s="66">
        <v>1.58479695E-2</v>
      </c>
      <c r="J12" s="66">
        <v>4.3504230000000008E-3</v>
      </c>
      <c r="K12" s="116">
        <v>1</v>
      </c>
    </row>
    <row r="13" spans="1:24">
      <c r="A13" s="75" t="s">
        <v>35</v>
      </c>
      <c r="B13" s="62" t="s">
        <v>0</v>
      </c>
      <c r="C13" s="63" t="s">
        <v>248</v>
      </c>
      <c r="D13" s="66">
        <v>45</v>
      </c>
      <c r="E13" s="65" t="s">
        <v>5</v>
      </c>
      <c r="F13" s="66">
        <v>45</v>
      </c>
      <c r="G13" s="66" t="s">
        <v>11</v>
      </c>
      <c r="H13" s="67">
        <v>4.412815374377363</v>
      </c>
      <c r="I13" s="66">
        <v>0.34471979999999997</v>
      </c>
      <c r="J13" s="66">
        <v>8.856E-2</v>
      </c>
      <c r="K13" s="116">
        <v>3</v>
      </c>
    </row>
    <row r="14" spans="1:24">
      <c r="A14" s="75" t="s">
        <v>35</v>
      </c>
      <c r="B14" s="62" t="s">
        <v>0</v>
      </c>
      <c r="C14" s="63" t="s">
        <v>8</v>
      </c>
      <c r="D14" s="64">
        <v>8488</v>
      </c>
      <c r="E14" s="68" t="s">
        <v>242</v>
      </c>
      <c r="F14" s="66">
        <v>0.20209523809523808</v>
      </c>
      <c r="G14" s="66" t="s">
        <v>11</v>
      </c>
      <c r="H14" s="67">
        <v>0.72806715390386834</v>
      </c>
      <c r="I14" s="66">
        <v>2.0116560000000002E-4</v>
      </c>
      <c r="J14" s="66">
        <v>1.5533039999999999E-4</v>
      </c>
      <c r="K14" s="116">
        <v>4</v>
      </c>
    </row>
    <row r="15" spans="1:24">
      <c r="A15" s="75" t="s">
        <v>35</v>
      </c>
      <c r="B15" s="62" t="s">
        <v>0</v>
      </c>
      <c r="C15" s="63" t="s">
        <v>144</v>
      </c>
      <c r="D15" s="64">
        <v>159</v>
      </c>
      <c r="E15" s="68" t="s">
        <v>48</v>
      </c>
      <c r="F15" s="66">
        <v>1303.8954073580273</v>
      </c>
      <c r="G15" s="66" t="s">
        <v>11</v>
      </c>
      <c r="H15" s="67">
        <v>13.553588568891394</v>
      </c>
      <c r="I15" s="66">
        <v>15.25648899287407</v>
      </c>
      <c r="J15" s="66">
        <v>4.4130340062032438</v>
      </c>
      <c r="K15" s="116" t="s">
        <v>421</v>
      </c>
    </row>
    <row r="16" spans="1:24">
      <c r="A16" s="75" t="s">
        <v>35</v>
      </c>
      <c r="B16" s="62" t="s">
        <v>0</v>
      </c>
      <c r="C16" s="63" t="s">
        <v>249</v>
      </c>
      <c r="D16" s="66">
        <v>880</v>
      </c>
      <c r="E16" s="65" t="s">
        <v>5</v>
      </c>
      <c r="F16" s="66">
        <v>880</v>
      </c>
      <c r="G16" s="66" t="s">
        <v>11</v>
      </c>
      <c r="H16" s="67">
        <v>11.888712901691243</v>
      </c>
      <c r="I16" s="66">
        <v>2.4656544000000005</v>
      </c>
      <c r="J16" s="66"/>
      <c r="K16" s="116">
        <v>6</v>
      </c>
    </row>
    <row r="17" spans="1:36">
      <c r="A17" s="75" t="s">
        <v>35</v>
      </c>
      <c r="B17" s="62" t="s">
        <v>0</v>
      </c>
      <c r="C17" s="63" t="s">
        <v>150</v>
      </c>
      <c r="D17" s="64">
        <v>40</v>
      </c>
      <c r="E17" s="68" t="s">
        <v>193</v>
      </c>
      <c r="F17" s="66">
        <v>40000</v>
      </c>
      <c r="G17" s="66" t="s">
        <v>11</v>
      </c>
      <c r="H17" s="67">
        <v>42.42824688401496</v>
      </c>
      <c r="I17" s="66">
        <v>219.52</v>
      </c>
      <c r="J17" s="66">
        <v>45.080000000000005</v>
      </c>
      <c r="K17" s="116" t="s">
        <v>420</v>
      </c>
    </row>
    <row r="18" spans="1:36">
      <c r="A18" s="75" t="s">
        <v>35</v>
      </c>
      <c r="B18" s="62" t="s">
        <v>0</v>
      </c>
      <c r="C18" s="63" t="s">
        <v>60</v>
      </c>
      <c r="D18" s="64">
        <v>1125</v>
      </c>
      <c r="E18" s="68" t="s">
        <v>5</v>
      </c>
      <c r="F18" s="66">
        <v>1125</v>
      </c>
      <c r="G18" s="66" t="s">
        <v>11</v>
      </c>
      <c r="H18" s="67">
        <v>12.903011985417306</v>
      </c>
      <c r="I18" s="66">
        <v>7.1442000000000014</v>
      </c>
      <c r="J18" s="66"/>
      <c r="K18" s="116">
        <v>7</v>
      </c>
    </row>
    <row r="19" spans="1:36">
      <c r="A19" s="75" t="s">
        <v>35</v>
      </c>
      <c r="B19" s="62" t="s">
        <v>0</v>
      </c>
      <c r="C19" s="63" t="s">
        <v>40</v>
      </c>
      <c r="D19" s="64">
        <v>298.25</v>
      </c>
      <c r="E19" s="68" t="s">
        <v>5</v>
      </c>
      <c r="F19" s="66">
        <v>298.25</v>
      </c>
      <c r="G19" s="66" t="s">
        <v>11</v>
      </c>
      <c r="H19" s="67">
        <v>8.2890036820851307</v>
      </c>
      <c r="I19" s="66">
        <v>7.0914902500000002E-2</v>
      </c>
      <c r="J19" s="66">
        <v>1.6827265000000001E-2</v>
      </c>
      <c r="K19" s="116">
        <v>1</v>
      </c>
    </row>
    <row r="20" spans="1:36">
      <c r="A20" s="75" t="s">
        <v>35</v>
      </c>
      <c r="B20" s="62" t="s">
        <v>0</v>
      </c>
      <c r="C20" s="63" t="s">
        <v>250</v>
      </c>
      <c r="D20" s="64">
        <v>5</v>
      </c>
      <c r="E20" s="68" t="s">
        <v>193</v>
      </c>
      <c r="F20" s="66">
        <v>5000</v>
      </c>
      <c r="G20" s="66" t="s">
        <v>11</v>
      </c>
      <c r="H20" s="67">
        <v>21.214270487615622</v>
      </c>
      <c r="I20" s="66">
        <v>60.5</v>
      </c>
      <c r="J20" s="66">
        <v>11.000000000000002</v>
      </c>
      <c r="K20" s="116" t="s">
        <v>420</v>
      </c>
    </row>
    <row r="21" spans="1:36">
      <c r="A21" s="75" t="s">
        <v>35</v>
      </c>
      <c r="B21" s="62" t="s">
        <v>0</v>
      </c>
      <c r="C21" s="63" t="s">
        <v>251</v>
      </c>
      <c r="D21" s="64">
        <v>4</v>
      </c>
      <c r="E21" s="68" t="s">
        <v>193</v>
      </c>
      <c r="F21" s="66">
        <v>4000</v>
      </c>
      <c r="G21" s="66" t="s">
        <v>11</v>
      </c>
      <c r="H21" s="67">
        <v>19.693598850038057</v>
      </c>
      <c r="I21" s="66">
        <v>30.367999999999999</v>
      </c>
      <c r="J21" s="66">
        <v>7.6960000000000006</v>
      </c>
      <c r="K21" s="116" t="s">
        <v>420</v>
      </c>
    </row>
    <row r="22" spans="1:36">
      <c r="A22" s="75" t="s">
        <v>307</v>
      </c>
      <c r="B22" s="62" t="s">
        <v>317</v>
      </c>
      <c r="C22" s="63" t="s">
        <v>306</v>
      </c>
      <c r="D22" s="64">
        <v>40</v>
      </c>
      <c r="E22" s="68" t="s">
        <v>5</v>
      </c>
      <c r="F22" s="66">
        <v>40</v>
      </c>
      <c r="G22" s="66" t="s">
        <v>11</v>
      </c>
      <c r="H22" s="67">
        <v>4.2429223841750527</v>
      </c>
      <c r="I22" s="66">
        <v>6.336E-2</v>
      </c>
      <c r="J22" s="66"/>
      <c r="K22" s="116">
        <v>8</v>
      </c>
    </row>
    <row r="23" spans="1:36">
      <c r="A23" s="75" t="s">
        <v>307</v>
      </c>
      <c r="B23" s="62" t="s">
        <v>317</v>
      </c>
      <c r="C23" s="75" t="s">
        <v>326</v>
      </c>
      <c r="D23" s="64">
        <v>5.9</v>
      </c>
      <c r="E23" s="68" t="s">
        <v>5</v>
      </c>
      <c r="F23" s="66">
        <v>5.9</v>
      </c>
      <c r="G23" s="66" t="s">
        <v>11</v>
      </c>
      <c r="H23" s="67">
        <v>2.2418086028375774</v>
      </c>
      <c r="I23" s="66">
        <v>2.2499708999999996E-2</v>
      </c>
      <c r="J23" s="66">
        <v>1.2456198E-2</v>
      </c>
      <c r="K23" s="116">
        <v>3</v>
      </c>
    </row>
    <row r="24" spans="1:36" s="3" customFormat="1">
      <c r="A24" s="75" t="s">
        <v>307</v>
      </c>
      <c r="B24" s="62" t="s">
        <v>317</v>
      </c>
      <c r="C24" s="75" t="s">
        <v>326</v>
      </c>
      <c r="D24" s="113">
        <v>15.93</v>
      </c>
      <c r="E24" s="69" t="s">
        <v>5</v>
      </c>
      <c r="F24" s="66">
        <v>15.93</v>
      </c>
      <c r="G24" s="66" t="s">
        <v>11</v>
      </c>
      <c r="H24" s="114">
        <v>3.1216557980907593</v>
      </c>
      <c r="I24" s="66">
        <v>3.3265025999999996E-2</v>
      </c>
      <c r="J24" s="66">
        <v>1.1820059999999999E-2</v>
      </c>
      <c r="K24" s="117">
        <v>9</v>
      </c>
      <c r="V24"/>
      <c r="W24"/>
      <c r="AD24"/>
      <c r="AE24"/>
      <c r="AH24"/>
      <c r="AJ24"/>
    </row>
    <row r="25" spans="1:36">
      <c r="A25" s="75" t="s">
        <v>307</v>
      </c>
      <c r="B25" s="62" t="s">
        <v>317</v>
      </c>
      <c r="C25" s="75" t="s">
        <v>326</v>
      </c>
      <c r="D25" s="64">
        <v>401.58</v>
      </c>
      <c r="E25" s="68" t="s">
        <v>13</v>
      </c>
      <c r="F25" s="66">
        <v>12.243</v>
      </c>
      <c r="G25" s="66" t="s">
        <v>11</v>
      </c>
      <c r="H25" s="67">
        <v>2.8594305177193267</v>
      </c>
      <c r="I25" s="66">
        <v>3.6142199999999992E-2</v>
      </c>
      <c r="J25" s="66">
        <v>9.2363399999999991E-3</v>
      </c>
      <c r="K25" s="116">
        <v>10</v>
      </c>
    </row>
    <row r="26" spans="1:36">
      <c r="A26" s="75" t="s">
        <v>307</v>
      </c>
      <c r="B26" s="62" t="s">
        <v>318</v>
      </c>
      <c r="C26" s="63" t="s">
        <v>320</v>
      </c>
      <c r="D26" s="64">
        <v>38</v>
      </c>
      <c r="E26" s="68" t="s">
        <v>5</v>
      </c>
      <c r="F26" s="66">
        <v>38</v>
      </c>
      <c r="G26" s="66" t="s">
        <v>11</v>
      </c>
      <c r="H26" s="67">
        <v>4.1709952631802798</v>
      </c>
      <c r="I26" s="66">
        <v>2.1963999999999997E-2</v>
      </c>
      <c r="J26" s="66">
        <v>3.2300000000000002E-3</v>
      </c>
      <c r="K26" s="116">
        <v>11</v>
      </c>
    </row>
    <row r="27" spans="1:36">
      <c r="A27" s="75" t="s">
        <v>307</v>
      </c>
      <c r="B27" s="62" t="s">
        <v>318</v>
      </c>
      <c r="C27" s="63" t="s">
        <v>321</v>
      </c>
      <c r="D27" s="64">
        <v>28</v>
      </c>
      <c r="E27" s="68" t="s">
        <v>325</v>
      </c>
      <c r="F27" s="66">
        <v>28</v>
      </c>
      <c r="G27" s="66" t="s">
        <v>11</v>
      </c>
      <c r="H27" s="67">
        <v>3.7673122430092327</v>
      </c>
      <c r="I27" s="66">
        <v>2.3691639999999996E-2</v>
      </c>
      <c r="J27" s="66">
        <v>2.72748E-3</v>
      </c>
      <c r="K27" s="116">
        <v>12</v>
      </c>
    </row>
    <row r="28" spans="1:36">
      <c r="A28" s="75" t="s">
        <v>307</v>
      </c>
      <c r="B28" s="62" t="s">
        <v>318</v>
      </c>
      <c r="C28" s="63" t="s">
        <v>302</v>
      </c>
      <c r="D28" s="64">
        <v>24.38</v>
      </c>
      <c r="E28" s="68" t="s">
        <v>5</v>
      </c>
      <c r="F28" s="66">
        <v>24.38</v>
      </c>
      <c r="G28" s="66" t="s">
        <v>11</v>
      </c>
      <c r="H28" s="67">
        <v>3.5974136153422944</v>
      </c>
      <c r="I28" s="66">
        <v>3.6099999999999999E-3</v>
      </c>
      <c r="J28" s="66">
        <v>9.0205999999999997E-5</v>
      </c>
      <c r="K28" s="116">
        <v>1</v>
      </c>
    </row>
    <row r="29" spans="1:36">
      <c r="A29" s="75" t="s">
        <v>307</v>
      </c>
      <c r="B29" s="62" t="s">
        <v>318</v>
      </c>
      <c r="C29" s="63" t="s">
        <v>322</v>
      </c>
      <c r="D29" s="64">
        <v>33</v>
      </c>
      <c r="E29" s="68" t="s">
        <v>48</v>
      </c>
      <c r="F29" s="66">
        <v>7.5510413624821142</v>
      </c>
      <c r="G29" s="66" t="s">
        <v>11</v>
      </c>
      <c r="H29" s="67">
        <v>2.4339769069788884</v>
      </c>
      <c r="I29" s="66">
        <v>3.474989235014268E-3</v>
      </c>
      <c r="J29" s="66">
        <v>8.8347183941040732E-4</v>
      </c>
      <c r="K29" s="116">
        <v>13</v>
      </c>
    </row>
    <row r="30" spans="1:36">
      <c r="A30" s="75" t="s">
        <v>307</v>
      </c>
      <c r="B30" s="62" t="s">
        <v>318</v>
      </c>
      <c r="C30" s="63" t="s">
        <v>323</v>
      </c>
      <c r="D30" s="64">
        <v>70</v>
      </c>
      <c r="E30" s="68" t="s">
        <v>148</v>
      </c>
      <c r="F30" s="66">
        <v>40.391445207508475</v>
      </c>
      <c r="G30" s="66" t="s">
        <v>11</v>
      </c>
      <c r="H30" s="67">
        <v>4.2567179381801745</v>
      </c>
      <c r="I30" s="66">
        <v>3.5758546442207252E-2</v>
      </c>
      <c r="J30" s="66">
        <v>1.0081704723794115E-2</v>
      </c>
      <c r="K30" s="116">
        <v>13</v>
      </c>
    </row>
    <row r="31" spans="1:36">
      <c r="A31" s="75" t="s">
        <v>307</v>
      </c>
      <c r="B31" s="62" t="s">
        <v>318</v>
      </c>
      <c r="C31" s="63" t="s">
        <v>324</v>
      </c>
      <c r="D31" s="64">
        <v>100</v>
      </c>
      <c r="E31" s="68" t="s">
        <v>148</v>
      </c>
      <c r="F31" s="66">
        <v>45.935442756172783</v>
      </c>
      <c r="G31" s="66" t="s">
        <v>11</v>
      </c>
      <c r="H31" s="67">
        <v>4.443182911723782</v>
      </c>
      <c r="I31" s="66">
        <v>1.5765043953918499E-2</v>
      </c>
      <c r="J31" s="66">
        <v>4.2995574419777719E-3</v>
      </c>
      <c r="K31" s="116">
        <v>13</v>
      </c>
    </row>
    <row r="32" spans="1:36">
      <c r="A32" s="75" t="s">
        <v>307</v>
      </c>
      <c r="B32" s="62" t="s">
        <v>318</v>
      </c>
      <c r="C32" s="63" t="s">
        <v>303</v>
      </c>
      <c r="D32" s="64">
        <v>46.34</v>
      </c>
      <c r="E32" s="68" t="s">
        <v>5</v>
      </c>
      <c r="F32" s="66">
        <v>46.34</v>
      </c>
      <c r="G32" s="66" t="s">
        <v>11</v>
      </c>
      <c r="H32" s="67">
        <v>4.4561885015279135</v>
      </c>
      <c r="I32" s="66">
        <v>0.4371326344</v>
      </c>
      <c r="J32" s="66">
        <v>0.22850114979999997</v>
      </c>
      <c r="K32" s="116">
        <v>1</v>
      </c>
    </row>
    <row r="33" spans="1:11" ht="15">
      <c r="A33" s="36" t="s">
        <v>37</v>
      </c>
      <c r="B33" s="37" t="s">
        <v>15</v>
      </c>
      <c r="C33" s="63" t="s">
        <v>70</v>
      </c>
      <c r="D33" s="70">
        <v>137.93</v>
      </c>
      <c r="E33" s="69" t="s">
        <v>13</v>
      </c>
      <c r="F33" s="67">
        <v>0.40114641666666667</v>
      </c>
      <c r="G33" s="70" t="s">
        <v>256</v>
      </c>
      <c r="H33" s="71">
        <v>0.91499641343399896</v>
      </c>
      <c r="I33" s="70">
        <v>4.8137569999999998E-2</v>
      </c>
      <c r="J33" s="66">
        <v>1.1448190000000002E-2</v>
      </c>
      <c r="K33" s="116">
        <v>10</v>
      </c>
    </row>
    <row r="34" spans="1:11" ht="15">
      <c r="A34" s="36" t="s">
        <v>69</v>
      </c>
      <c r="B34" s="37" t="s">
        <v>16</v>
      </c>
      <c r="C34" s="63" t="s">
        <v>115</v>
      </c>
      <c r="D34" s="67">
        <v>3.13</v>
      </c>
      <c r="E34" s="69" t="s">
        <v>13</v>
      </c>
      <c r="F34" s="67">
        <v>1.197225E-2</v>
      </c>
      <c r="G34" s="70" t="s">
        <v>256</v>
      </c>
      <c r="H34" s="67">
        <v>0.28382376849468777</v>
      </c>
      <c r="I34" s="67">
        <v>1.4366699999999999E-3</v>
      </c>
      <c r="J34" s="66">
        <v>1.9092999999999999E-4</v>
      </c>
      <c r="K34" s="116">
        <v>14</v>
      </c>
    </row>
    <row r="35" spans="1:11" ht="15">
      <c r="A35" s="36" t="s">
        <v>69</v>
      </c>
      <c r="B35" s="37" t="s">
        <v>16</v>
      </c>
      <c r="C35" s="63" t="s">
        <v>73</v>
      </c>
      <c r="D35" s="70">
        <v>105.3</v>
      </c>
      <c r="E35" s="69" t="s">
        <v>13</v>
      </c>
      <c r="F35" s="67">
        <v>0.41066999999999998</v>
      </c>
      <c r="G35" s="70" t="s">
        <v>256</v>
      </c>
      <c r="H35" s="71">
        <v>0.92218073402484502</v>
      </c>
      <c r="I35" s="70">
        <v>4.9280399999999995E-2</v>
      </c>
      <c r="J35" s="66">
        <v>7.4763E-3</v>
      </c>
      <c r="K35" s="116">
        <v>10</v>
      </c>
    </row>
    <row r="36" spans="1:11" ht="15">
      <c r="A36" s="36" t="s">
        <v>69</v>
      </c>
      <c r="B36" s="37" t="s">
        <v>16</v>
      </c>
      <c r="C36" s="63" t="s">
        <v>71</v>
      </c>
      <c r="D36" s="70">
        <v>13.12</v>
      </c>
      <c r="E36" s="69" t="s">
        <v>13</v>
      </c>
      <c r="F36" s="67">
        <v>4.5373333333333328E-2</v>
      </c>
      <c r="G36" s="70" t="s">
        <v>256</v>
      </c>
      <c r="H36" s="71">
        <v>0.44250868911898023</v>
      </c>
      <c r="I36" s="70">
        <v>5.4447999999999988E-3</v>
      </c>
      <c r="J36" s="66">
        <v>9.7087999999999992E-4</v>
      </c>
      <c r="K36" s="116">
        <v>10</v>
      </c>
    </row>
    <row r="37" spans="1:11" ht="15">
      <c r="A37" s="36" t="s">
        <v>69</v>
      </c>
      <c r="B37" s="37" t="s">
        <v>16</v>
      </c>
      <c r="C37" s="63" t="s">
        <v>267</v>
      </c>
      <c r="D37" s="67">
        <v>0.47</v>
      </c>
      <c r="E37" s="69" t="s">
        <v>13</v>
      </c>
      <c r="F37" s="67">
        <v>1.8956666666666666E-3</v>
      </c>
      <c r="G37" s="70" t="s">
        <v>256</v>
      </c>
      <c r="H37" s="67">
        <v>0.15354894222932849</v>
      </c>
      <c r="I37" s="67">
        <v>2.2747999999999998E-4</v>
      </c>
      <c r="J37" s="66">
        <v>3.854E-5</v>
      </c>
      <c r="K37" s="116">
        <v>14</v>
      </c>
    </row>
    <row r="38" spans="1:11" ht="15">
      <c r="A38" s="36" t="s">
        <v>69</v>
      </c>
      <c r="B38" s="37" t="s">
        <v>16</v>
      </c>
      <c r="C38" s="63" t="s">
        <v>268</v>
      </c>
      <c r="D38" s="67">
        <v>2.19</v>
      </c>
      <c r="E38" s="69" t="s">
        <v>13</v>
      </c>
      <c r="F38" s="67">
        <v>4.72675E-3</v>
      </c>
      <c r="G38" s="70" t="s">
        <v>256</v>
      </c>
      <c r="H38" s="67">
        <v>0.20821518195288954</v>
      </c>
      <c r="I38" s="67">
        <v>5.6720999999999996E-4</v>
      </c>
      <c r="J38" s="66">
        <v>9.6360000000000019E-5</v>
      </c>
      <c r="K38" s="116">
        <v>14</v>
      </c>
    </row>
    <row r="39" spans="1:11" ht="15">
      <c r="A39" s="36" t="s">
        <v>69</v>
      </c>
      <c r="B39" s="37" t="s">
        <v>16</v>
      </c>
      <c r="C39" s="63" t="s">
        <v>72</v>
      </c>
      <c r="D39" s="70">
        <v>12.14</v>
      </c>
      <c r="E39" s="69" t="s">
        <v>13</v>
      </c>
      <c r="F39" s="67">
        <v>4.0770166666666663E-2</v>
      </c>
      <c r="G39" s="70" t="s">
        <v>256</v>
      </c>
      <c r="H39" s="71">
        <v>0.42700788191371541</v>
      </c>
      <c r="I39" s="70">
        <v>4.8924199999999998E-3</v>
      </c>
      <c r="J39" s="66">
        <v>9.9547999999999998E-4</v>
      </c>
      <c r="K39" s="116">
        <v>10</v>
      </c>
    </row>
    <row r="40" spans="1:11" ht="14.25">
      <c r="A40" s="36" t="s">
        <v>69</v>
      </c>
      <c r="B40" s="37" t="s">
        <v>159</v>
      </c>
      <c r="C40" s="63" t="s">
        <v>252</v>
      </c>
      <c r="D40" s="67">
        <v>8.8699999999999992</v>
      </c>
      <c r="E40" s="69" t="s">
        <v>13</v>
      </c>
      <c r="F40" s="67">
        <v>4.3610833333333328E-2</v>
      </c>
      <c r="G40" s="70" t="s">
        <v>124</v>
      </c>
      <c r="H40" s="67">
        <v>0.4367032528792848</v>
      </c>
      <c r="I40" s="67">
        <v>5.2332999999999989E-3</v>
      </c>
      <c r="J40" s="66">
        <v>5.2332999999999991E-4</v>
      </c>
      <c r="K40" s="116">
        <v>14</v>
      </c>
    </row>
    <row r="41" spans="1:11" ht="14.25">
      <c r="A41" s="36" t="s">
        <v>69</v>
      </c>
      <c r="B41" s="37" t="s">
        <v>159</v>
      </c>
      <c r="C41" s="63" t="s">
        <v>253</v>
      </c>
      <c r="D41" s="67">
        <v>0.13</v>
      </c>
      <c r="E41" s="69" t="s">
        <v>13</v>
      </c>
      <c r="F41" s="67">
        <v>5.2000000000000006E-4</v>
      </c>
      <c r="G41" s="70" t="s">
        <v>124</v>
      </c>
      <c r="H41" s="67">
        <v>9.9769047247926915E-2</v>
      </c>
      <c r="I41" s="67">
        <v>6.2399999999999999E-5</v>
      </c>
      <c r="J41" s="66">
        <v>1.6509999999999999E-5</v>
      </c>
      <c r="K41" s="116">
        <v>14</v>
      </c>
    </row>
    <row r="42" spans="1:11" ht="14.25">
      <c r="A42" s="36" t="s">
        <v>69</v>
      </c>
      <c r="B42" s="37" t="s">
        <v>159</v>
      </c>
      <c r="C42" s="63" t="s">
        <v>254</v>
      </c>
      <c r="D42" s="67">
        <v>0.31</v>
      </c>
      <c r="E42" s="69" t="s">
        <v>13</v>
      </c>
      <c r="F42" s="67">
        <v>1.5086666666666666E-3</v>
      </c>
      <c r="G42" s="70" t="s">
        <v>124</v>
      </c>
      <c r="H42" s="67">
        <v>0.14229542376824666</v>
      </c>
      <c r="I42" s="67">
        <v>1.8103999999999999E-4</v>
      </c>
      <c r="J42" s="66">
        <v>2.4179999999999999E-5</v>
      </c>
      <c r="K42" s="116">
        <v>14</v>
      </c>
    </row>
    <row r="43" spans="1:11" ht="14.25">
      <c r="A43" s="36" t="s">
        <v>69</v>
      </c>
      <c r="B43" s="37" t="s">
        <v>159</v>
      </c>
      <c r="C43" s="42" t="s">
        <v>255</v>
      </c>
      <c r="D43" s="67">
        <v>1.26</v>
      </c>
      <c r="E43" s="69" t="s">
        <v>13</v>
      </c>
      <c r="F43" s="67">
        <v>6.489E-3</v>
      </c>
      <c r="G43" s="70" t="s">
        <v>124</v>
      </c>
      <c r="H43" s="67">
        <v>0.23141081284985995</v>
      </c>
      <c r="I43" s="67">
        <v>7.7868000000000002E-4</v>
      </c>
      <c r="J43" s="66">
        <v>8.8200000000000003E-5</v>
      </c>
      <c r="K43" s="116">
        <v>14</v>
      </c>
    </row>
    <row r="44" spans="1:11" ht="15">
      <c r="A44" s="36" t="s">
        <v>69</v>
      </c>
      <c r="B44" s="37" t="s">
        <v>159</v>
      </c>
      <c r="C44" s="63" t="s">
        <v>120</v>
      </c>
      <c r="D44" s="70">
        <v>1.04</v>
      </c>
      <c r="E44" s="69" t="s">
        <v>13</v>
      </c>
      <c r="F44" s="67">
        <v>3.7786666666666667E-3</v>
      </c>
      <c r="G44" s="70" t="s">
        <v>256</v>
      </c>
      <c r="H44" s="71">
        <v>0.19324341337495668</v>
      </c>
      <c r="I44" s="70">
        <v>4.5344E-4</v>
      </c>
      <c r="J44" s="66">
        <v>1.3000000000000002E-4</v>
      </c>
      <c r="K44" s="116">
        <v>10</v>
      </c>
    </row>
    <row r="45" spans="1:11" ht="14.25">
      <c r="A45" s="36" t="s">
        <v>69</v>
      </c>
      <c r="B45" s="37" t="s">
        <v>159</v>
      </c>
      <c r="C45" s="63" t="s">
        <v>257</v>
      </c>
      <c r="D45" s="67">
        <v>0.06</v>
      </c>
      <c r="E45" s="69" t="s">
        <v>13</v>
      </c>
      <c r="F45" s="67">
        <v>2.3300000000000003E-4</v>
      </c>
      <c r="G45" s="70" t="s">
        <v>124</v>
      </c>
      <c r="H45" s="67">
        <v>7.634510197594753E-2</v>
      </c>
      <c r="I45" s="67">
        <v>2.7960000000000003E-5</v>
      </c>
      <c r="J45" s="66">
        <v>7.5599999999999996E-6</v>
      </c>
      <c r="K45" s="116">
        <v>14</v>
      </c>
    </row>
    <row r="46" spans="1:11" ht="14.25">
      <c r="A46" s="36" t="s">
        <v>69</v>
      </c>
      <c r="B46" s="37" t="s">
        <v>159</v>
      </c>
      <c r="C46" s="63" t="s">
        <v>258</v>
      </c>
      <c r="D46" s="67">
        <v>0.41</v>
      </c>
      <c r="E46" s="69" t="s">
        <v>13</v>
      </c>
      <c r="F46" s="67">
        <v>1.5921666666666669E-3</v>
      </c>
      <c r="G46" s="70" t="s">
        <v>124</v>
      </c>
      <c r="H46" s="67">
        <v>0.14487360468904165</v>
      </c>
      <c r="I46" s="67">
        <v>1.9106E-4</v>
      </c>
      <c r="J46" s="66">
        <v>4.5919999999999994E-5</v>
      </c>
      <c r="K46" s="116">
        <v>14</v>
      </c>
    </row>
    <row r="47" spans="1:11" ht="14.25">
      <c r="A47" s="36" t="s">
        <v>69</v>
      </c>
      <c r="B47" s="37" t="s">
        <v>159</v>
      </c>
      <c r="C47" s="63" t="s">
        <v>259</v>
      </c>
      <c r="D47" s="67">
        <v>0.52</v>
      </c>
      <c r="E47" s="69" t="s">
        <v>13</v>
      </c>
      <c r="F47" s="67">
        <v>2.2100000000000002E-3</v>
      </c>
      <c r="G47" s="70" t="s">
        <v>124</v>
      </c>
      <c r="H47" s="67">
        <v>0.16160571199684301</v>
      </c>
      <c r="I47" s="67">
        <v>2.652E-4</v>
      </c>
      <c r="J47" s="66">
        <v>5.5640000000000003E-5</v>
      </c>
      <c r="K47" s="116">
        <v>14</v>
      </c>
    </row>
    <row r="48" spans="1:11" ht="14.25">
      <c r="A48" s="36" t="s">
        <v>69</v>
      </c>
      <c r="B48" s="37" t="s">
        <v>159</v>
      </c>
      <c r="C48" s="63" t="s">
        <v>260</v>
      </c>
      <c r="D48" s="67">
        <v>1.0900000000000001</v>
      </c>
      <c r="E48" s="69" t="s">
        <v>13</v>
      </c>
      <c r="F48" s="67">
        <v>4.5325833333333338E-3</v>
      </c>
      <c r="G48" s="70" t="s">
        <v>124</v>
      </c>
      <c r="H48" s="67">
        <v>0.2053242168740855</v>
      </c>
      <c r="I48" s="67">
        <v>5.4390999999999999E-4</v>
      </c>
      <c r="J48" s="66">
        <v>8.2840000000000013E-5</v>
      </c>
      <c r="K48" s="116">
        <v>14</v>
      </c>
    </row>
    <row r="49" spans="1:11" ht="14.25">
      <c r="A49" s="36" t="s">
        <v>69</v>
      </c>
      <c r="B49" s="37" t="s">
        <v>159</v>
      </c>
      <c r="C49" s="63" t="s">
        <v>261</v>
      </c>
      <c r="D49" s="67">
        <v>0.25</v>
      </c>
      <c r="E49" s="69" t="s">
        <v>13</v>
      </c>
      <c r="F49" s="67">
        <v>9.5416666666666664E-4</v>
      </c>
      <c r="G49" s="70" t="s">
        <v>124</v>
      </c>
      <c r="H49" s="67">
        <v>0.12214299883129665</v>
      </c>
      <c r="I49" s="67">
        <v>1.1449999999999999E-4</v>
      </c>
      <c r="J49" s="66">
        <v>3.2249999999999998E-5</v>
      </c>
      <c r="K49" s="116">
        <v>14</v>
      </c>
    </row>
    <row r="50" spans="1:11" ht="15">
      <c r="A50" s="36" t="s">
        <v>69</v>
      </c>
      <c r="B50" s="37" t="s">
        <v>159</v>
      </c>
      <c r="C50" s="63" t="s">
        <v>119</v>
      </c>
      <c r="D50" s="70">
        <v>0.26500000000000001</v>
      </c>
      <c r="E50" s="69" t="s">
        <v>13</v>
      </c>
      <c r="F50" s="67">
        <v>1.000375E-3</v>
      </c>
      <c r="G50" s="70" t="s">
        <v>256</v>
      </c>
      <c r="H50" s="71">
        <v>0.12408369183523435</v>
      </c>
      <c r="I50" s="70">
        <v>1.2004499999999999E-4</v>
      </c>
      <c r="J50" s="66">
        <v>3.0210000000000004E-5</v>
      </c>
      <c r="K50" s="116">
        <v>10</v>
      </c>
    </row>
    <row r="51" spans="1:11" ht="14.25">
      <c r="A51" s="36" t="s">
        <v>69</v>
      </c>
      <c r="B51" s="37" t="s">
        <v>159</v>
      </c>
      <c r="C51" s="63" t="s">
        <v>262</v>
      </c>
      <c r="D51" s="67">
        <v>0.51</v>
      </c>
      <c r="E51" s="69" t="s">
        <v>13</v>
      </c>
      <c r="F51" s="67">
        <v>2.6987500000000006E-3</v>
      </c>
      <c r="G51" s="70" t="s">
        <v>124</v>
      </c>
      <c r="H51" s="67">
        <v>0.17273481463787457</v>
      </c>
      <c r="I51" s="67">
        <v>3.2385000000000004E-4</v>
      </c>
      <c r="J51" s="66">
        <v>2.9579999999999998E-5</v>
      </c>
      <c r="K51" s="116">
        <v>14</v>
      </c>
    </row>
    <row r="52" spans="1:11" ht="14.25">
      <c r="A52" s="36" t="s">
        <v>69</v>
      </c>
      <c r="B52" s="37" t="s">
        <v>159</v>
      </c>
      <c r="C52" s="63" t="s">
        <v>263</v>
      </c>
      <c r="D52" s="67">
        <v>3.23</v>
      </c>
      <c r="E52" s="69" t="s">
        <v>13</v>
      </c>
      <c r="F52" s="67">
        <v>1.5719333333333332E-2</v>
      </c>
      <c r="G52" s="70" t="s">
        <v>124</v>
      </c>
      <c r="H52" s="67">
        <v>0.31079055837241631</v>
      </c>
      <c r="I52" s="67">
        <v>1.8863199999999997E-3</v>
      </c>
      <c r="J52" s="66">
        <v>2.2933E-4</v>
      </c>
      <c r="K52" s="116">
        <v>14</v>
      </c>
    </row>
    <row r="53" spans="1:11" ht="14.25">
      <c r="A53" s="36" t="s">
        <v>69</v>
      </c>
      <c r="B53" s="37" t="s">
        <v>159</v>
      </c>
      <c r="C53" s="63" t="s">
        <v>264</v>
      </c>
      <c r="D53" s="67">
        <v>0.23</v>
      </c>
      <c r="E53" s="69" t="s">
        <v>13</v>
      </c>
      <c r="F53" s="67">
        <v>9.0850000000000013E-4</v>
      </c>
      <c r="G53" s="70" t="s">
        <v>124</v>
      </c>
      <c r="H53" s="67">
        <v>0.12016247911616024</v>
      </c>
      <c r="I53" s="67">
        <v>1.0902000000000001E-4</v>
      </c>
      <c r="J53" s="66">
        <v>3.0130000000000001E-4</v>
      </c>
      <c r="K53" s="116">
        <v>14</v>
      </c>
    </row>
    <row r="54" spans="1:11" ht="14.25">
      <c r="A54" s="36" t="s">
        <v>69</v>
      </c>
      <c r="B54" s="37" t="s">
        <v>159</v>
      </c>
      <c r="C54" s="63" t="s">
        <v>265</v>
      </c>
      <c r="D54" s="67">
        <v>0.03</v>
      </c>
      <c r="E54" s="69" t="s">
        <v>13</v>
      </c>
      <c r="F54" s="67">
        <v>1.1075E-4</v>
      </c>
      <c r="G54" s="70" t="s">
        <v>124</v>
      </c>
      <c r="H54" s="67">
        <v>5.9581513017845228E-2</v>
      </c>
      <c r="I54" s="67">
        <v>1.3289999999999998E-5</v>
      </c>
      <c r="J54" s="66">
        <v>3.6600000000000001E-6</v>
      </c>
      <c r="K54" s="116">
        <v>14</v>
      </c>
    </row>
    <row r="55" spans="1:11" ht="14.25">
      <c r="A55" s="36" t="s">
        <v>69</v>
      </c>
      <c r="B55" s="37" t="s">
        <v>159</v>
      </c>
      <c r="C55" s="63" t="s">
        <v>266</v>
      </c>
      <c r="D55" s="67">
        <v>0.14000000000000001</v>
      </c>
      <c r="E55" s="69" t="s">
        <v>13</v>
      </c>
      <c r="F55" s="67">
        <v>6.0900000000000017E-4</v>
      </c>
      <c r="G55" s="70" t="s">
        <v>124</v>
      </c>
      <c r="H55" s="67">
        <v>0.10516395545188169</v>
      </c>
      <c r="I55" s="67">
        <v>7.3080000000000012E-5</v>
      </c>
      <c r="J55" s="66">
        <v>1.3860000000000001E-5</v>
      </c>
      <c r="K55" s="116">
        <v>14</v>
      </c>
    </row>
    <row r="56" spans="1:11" ht="15">
      <c r="A56" s="36" t="s">
        <v>69</v>
      </c>
      <c r="B56" s="37" t="s">
        <v>23</v>
      </c>
      <c r="C56" s="63" t="s">
        <v>271</v>
      </c>
      <c r="D56" s="67">
        <v>0.16</v>
      </c>
      <c r="E56" s="69" t="s">
        <v>13</v>
      </c>
      <c r="F56" s="67">
        <v>5.4800000000000009E-4</v>
      </c>
      <c r="G56" s="70" t="s">
        <v>256</v>
      </c>
      <c r="H56" s="67">
        <v>0.1015285430263299</v>
      </c>
      <c r="I56" s="67">
        <v>6.5760000000000007E-5</v>
      </c>
      <c r="J56" s="66">
        <v>1.4880000000000003E-5</v>
      </c>
      <c r="K56" s="116">
        <v>14</v>
      </c>
    </row>
    <row r="57" spans="1:11" ht="15">
      <c r="A57" s="36" t="s">
        <v>69</v>
      </c>
      <c r="B57" s="37" t="s">
        <v>23</v>
      </c>
      <c r="C57" s="42" t="s">
        <v>272</v>
      </c>
      <c r="D57" s="70">
        <v>2273</v>
      </c>
      <c r="E57" s="69" t="s">
        <v>13</v>
      </c>
      <c r="F57" s="70">
        <v>7.7281999999999993</v>
      </c>
      <c r="G57" s="70" t="s">
        <v>256</v>
      </c>
      <c r="H57" s="70">
        <v>2.4528646690367273</v>
      </c>
      <c r="I57" s="70">
        <v>0.92738399999999988</v>
      </c>
      <c r="J57" s="70">
        <v>0.23411900000000002</v>
      </c>
      <c r="K57" s="116">
        <v>9</v>
      </c>
    </row>
    <row r="58" spans="1:11" ht="15">
      <c r="A58" s="36" t="s">
        <v>69</v>
      </c>
      <c r="B58" s="37" t="s">
        <v>17</v>
      </c>
      <c r="C58" s="42" t="s">
        <v>77</v>
      </c>
      <c r="D58" s="70">
        <v>211</v>
      </c>
      <c r="E58" s="69" t="s">
        <v>13</v>
      </c>
      <c r="F58" s="70">
        <v>0.79652499999999993</v>
      </c>
      <c r="G58" s="70" t="s">
        <v>256</v>
      </c>
      <c r="H58" s="70">
        <v>1.1500513447545064</v>
      </c>
      <c r="I58" s="70">
        <v>9.5582999999999987E-2</v>
      </c>
      <c r="J58" s="70">
        <v>2.3210000000000001E-2</v>
      </c>
      <c r="K58" s="116">
        <v>9</v>
      </c>
    </row>
    <row r="59" spans="1:11" ht="15">
      <c r="A59" s="36" t="s">
        <v>69</v>
      </c>
      <c r="B59" s="37" t="s">
        <v>17</v>
      </c>
      <c r="C59" s="63" t="s">
        <v>211</v>
      </c>
      <c r="D59" s="67">
        <v>14</v>
      </c>
      <c r="E59" s="69" t="s">
        <v>13</v>
      </c>
      <c r="F59" s="67">
        <v>4.6200000000000005E-2</v>
      </c>
      <c r="G59" s="70" t="s">
        <v>256</v>
      </c>
      <c r="H59" s="67">
        <v>0.44517989231544258</v>
      </c>
      <c r="I59" s="67">
        <v>5.5440000000000003E-3</v>
      </c>
      <c r="J59" s="66">
        <v>1.4140000000000001E-3</v>
      </c>
      <c r="K59" s="116">
        <v>14</v>
      </c>
    </row>
    <row r="60" spans="1:11" ht="15">
      <c r="A60" s="36" t="s">
        <v>69</v>
      </c>
      <c r="B60" s="37" t="s">
        <v>17</v>
      </c>
      <c r="C60" s="42" t="s">
        <v>75</v>
      </c>
      <c r="D60" s="70">
        <v>353.78</v>
      </c>
      <c r="E60" s="69" t="s">
        <v>13</v>
      </c>
      <c r="F60" s="67">
        <v>1.4003791666666665</v>
      </c>
      <c r="G60" s="70" t="s">
        <v>256</v>
      </c>
      <c r="H60" s="71">
        <v>1.3880288403544256</v>
      </c>
      <c r="I60" s="70">
        <v>0.16804549999999999</v>
      </c>
      <c r="J60" s="66">
        <v>3.6439340000000001E-2</v>
      </c>
      <c r="K60" s="116">
        <v>10</v>
      </c>
    </row>
    <row r="61" spans="1:11" ht="15">
      <c r="A61" s="36" t="s">
        <v>69</v>
      </c>
      <c r="B61" s="37" t="s">
        <v>17</v>
      </c>
      <c r="C61" s="42" t="s">
        <v>75</v>
      </c>
      <c r="D61" s="70">
        <v>431</v>
      </c>
      <c r="E61" s="69" t="s">
        <v>13</v>
      </c>
      <c r="F61" s="70">
        <v>1.5659666666666667</v>
      </c>
      <c r="G61" s="70" t="s">
        <v>256</v>
      </c>
      <c r="H61" s="70">
        <v>1.4407123716851578</v>
      </c>
      <c r="I61" s="70">
        <v>0.187916</v>
      </c>
      <c r="J61" s="70">
        <v>4.6547999999999999E-2</v>
      </c>
      <c r="K61" s="116">
        <v>9</v>
      </c>
    </row>
    <row r="62" spans="1:11" ht="15">
      <c r="A62" s="36" t="s">
        <v>69</v>
      </c>
      <c r="B62" s="37" t="s">
        <v>17</v>
      </c>
      <c r="C62" s="42" t="s">
        <v>74</v>
      </c>
      <c r="D62" s="70">
        <v>22.97</v>
      </c>
      <c r="E62" s="69" t="s">
        <v>13</v>
      </c>
      <c r="F62" s="67">
        <v>7.8863666666666679E-2</v>
      </c>
      <c r="G62" s="70" t="s">
        <v>256</v>
      </c>
      <c r="H62" s="71">
        <v>0.53204262703109251</v>
      </c>
      <c r="I62" s="70">
        <v>9.4636400000000006E-3</v>
      </c>
      <c r="J62" s="66">
        <v>2.6645200000000001E-3</v>
      </c>
      <c r="K62" s="116">
        <v>10</v>
      </c>
    </row>
    <row r="63" spans="1:11" ht="15">
      <c r="A63" s="36" t="s">
        <v>69</v>
      </c>
      <c r="B63" s="37" t="s">
        <v>17</v>
      </c>
      <c r="C63" s="63" t="s">
        <v>273</v>
      </c>
      <c r="D63" s="67">
        <v>14.45</v>
      </c>
      <c r="E63" s="69" t="s">
        <v>13</v>
      </c>
      <c r="F63" s="67">
        <v>5.6836666666666667E-2</v>
      </c>
      <c r="G63" s="70" t="s">
        <v>256</v>
      </c>
      <c r="H63" s="67">
        <v>0.47701362223460753</v>
      </c>
      <c r="I63" s="67">
        <v>6.8203999999999999E-3</v>
      </c>
      <c r="J63" s="66">
        <v>1.4450000000000001E-3</v>
      </c>
      <c r="K63" s="116">
        <v>14</v>
      </c>
    </row>
    <row r="64" spans="1:11" ht="15">
      <c r="A64" s="36" t="s">
        <v>69</v>
      </c>
      <c r="B64" s="37" t="s">
        <v>269</v>
      </c>
      <c r="C64" s="42" t="s">
        <v>76</v>
      </c>
      <c r="D64" s="70">
        <v>721</v>
      </c>
      <c r="E64" s="69" t="s">
        <v>13</v>
      </c>
      <c r="F64" s="70">
        <v>2.6496750000000002</v>
      </c>
      <c r="G64" s="70" t="s">
        <v>256</v>
      </c>
      <c r="H64" s="70">
        <v>1.7167743756496456</v>
      </c>
      <c r="I64" s="70">
        <v>0.31796099999999999</v>
      </c>
      <c r="J64" s="70">
        <v>7.5704999999999995E-2</v>
      </c>
      <c r="K64" s="116">
        <v>9</v>
      </c>
    </row>
    <row r="65" spans="1:11" ht="15">
      <c r="A65" s="36" t="s">
        <v>69</v>
      </c>
      <c r="B65" s="37" t="s">
        <v>269</v>
      </c>
      <c r="C65" s="63" t="s">
        <v>270</v>
      </c>
      <c r="D65" s="67">
        <v>0.98</v>
      </c>
      <c r="E65" s="69" t="s">
        <v>13</v>
      </c>
      <c r="F65" s="67">
        <v>3.4626666666666668E-3</v>
      </c>
      <c r="G65" s="70" t="s">
        <v>256</v>
      </c>
      <c r="H65" s="67">
        <v>0.18769910181339963</v>
      </c>
      <c r="I65" s="67">
        <v>4.1552000000000001E-4</v>
      </c>
      <c r="J65" s="66">
        <v>1.0779999999999999E-4</v>
      </c>
      <c r="K65" s="116">
        <v>14</v>
      </c>
    </row>
    <row r="66" spans="1:11" ht="15">
      <c r="A66" s="36" t="s">
        <v>36</v>
      </c>
      <c r="B66" s="37" t="s">
        <v>32</v>
      </c>
      <c r="C66" s="42" t="s">
        <v>79</v>
      </c>
      <c r="D66" s="70">
        <v>276</v>
      </c>
      <c r="E66" s="69" t="s">
        <v>13</v>
      </c>
      <c r="F66" s="70">
        <v>1.3294000000000001</v>
      </c>
      <c r="G66" s="70" t="s">
        <v>256</v>
      </c>
      <c r="H66" s="70">
        <v>1.3641702568733274</v>
      </c>
      <c r="I66" s="70">
        <v>0.159528</v>
      </c>
      <c r="J66" s="70">
        <v>1.7664000000000003E-2</v>
      </c>
      <c r="K66" s="116">
        <v>9</v>
      </c>
    </row>
    <row r="67" spans="1:11" ht="15">
      <c r="A67" s="36" t="s">
        <v>20</v>
      </c>
      <c r="B67" s="37" t="s">
        <v>20</v>
      </c>
      <c r="C67" s="63" t="s">
        <v>81</v>
      </c>
      <c r="D67" s="67">
        <v>1.43</v>
      </c>
      <c r="E67" s="69" t="s">
        <v>13</v>
      </c>
      <c r="F67" s="67">
        <v>5.6842500000000001E-3</v>
      </c>
      <c r="G67" s="70" t="s">
        <v>256</v>
      </c>
      <c r="H67" s="67">
        <v>0.22141938404141823</v>
      </c>
      <c r="I67" s="67">
        <v>6.8210999999999999E-4</v>
      </c>
      <c r="J67" s="66">
        <v>1.0867999999999998E-4</v>
      </c>
      <c r="K67" s="116">
        <v>14</v>
      </c>
    </row>
    <row r="68" spans="1:11" ht="15">
      <c r="A68" s="36" t="s">
        <v>20</v>
      </c>
      <c r="B68" s="37" t="s">
        <v>20</v>
      </c>
      <c r="C68" s="63" t="s">
        <v>274</v>
      </c>
      <c r="D68" s="67">
        <v>1.33</v>
      </c>
      <c r="E68" s="69" t="s">
        <v>13</v>
      </c>
      <c r="F68" s="67">
        <v>4.8212500000000009E-3</v>
      </c>
      <c r="G68" s="70" t="s">
        <v>256</v>
      </c>
      <c r="H68" s="67">
        <v>0.20959360961665274</v>
      </c>
      <c r="I68" s="67">
        <v>5.7855000000000005E-4</v>
      </c>
      <c r="J68" s="66">
        <v>1.4763000000000002E-4</v>
      </c>
      <c r="K68" s="116">
        <v>14</v>
      </c>
    </row>
    <row r="69" spans="1:11" ht="15">
      <c r="A69" s="36" t="s">
        <v>43</v>
      </c>
      <c r="B69" s="37" t="s">
        <v>44</v>
      </c>
      <c r="C69" s="63" t="s">
        <v>275</v>
      </c>
      <c r="D69" s="67">
        <v>5.93</v>
      </c>
      <c r="E69" s="69" t="s">
        <v>13</v>
      </c>
      <c r="F69" s="67">
        <v>2.0507916666666667E-2</v>
      </c>
      <c r="G69" s="70" t="s">
        <v>256</v>
      </c>
      <c r="H69" s="67">
        <v>0.33959652583784539</v>
      </c>
      <c r="I69" s="67">
        <v>2.4609499999999999E-3</v>
      </c>
      <c r="J69" s="66">
        <v>6.6416000000000001E-4</v>
      </c>
      <c r="K69" s="116">
        <v>14</v>
      </c>
    </row>
    <row r="70" spans="1:11" ht="15">
      <c r="A70" s="36" t="s">
        <v>43</v>
      </c>
      <c r="B70" s="37" t="s">
        <v>44</v>
      </c>
      <c r="C70" s="63" t="s">
        <v>276</v>
      </c>
      <c r="D70" s="67">
        <v>2.19</v>
      </c>
      <c r="E70" s="69" t="s">
        <v>13</v>
      </c>
      <c r="F70" s="67">
        <v>8.4862500000000007E-3</v>
      </c>
      <c r="G70" s="70" t="s">
        <v>256</v>
      </c>
      <c r="H70" s="67">
        <v>0.25306336303842597</v>
      </c>
      <c r="I70" s="67">
        <v>1.0183500000000001E-3</v>
      </c>
      <c r="J70" s="66">
        <v>2.7593999999999996E-4</v>
      </c>
      <c r="K70" s="116">
        <v>14</v>
      </c>
    </row>
    <row r="71" spans="1:11" ht="15">
      <c r="A71" s="36" t="s">
        <v>43</v>
      </c>
      <c r="B71" s="37" t="s">
        <v>44</v>
      </c>
      <c r="C71" s="63" t="s">
        <v>84</v>
      </c>
      <c r="D71" s="67">
        <v>396.16</v>
      </c>
      <c r="E71" s="69" t="s">
        <v>13</v>
      </c>
      <c r="F71" s="67">
        <v>1.7959253333333338</v>
      </c>
      <c r="G71" s="70" t="s">
        <v>256</v>
      </c>
      <c r="H71" s="67">
        <v>1.5080381961117728</v>
      </c>
      <c r="I71" s="67">
        <v>0.21551104000000004</v>
      </c>
      <c r="J71" s="66">
        <v>2.8523520000000004E-2</v>
      </c>
      <c r="K71" s="116">
        <v>14</v>
      </c>
    </row>
    <row r="72" spans="1:11" ht="15">
      <c r="A72" s="36" t="s">
        <v>43</v>
      </c>
      <c r="B72" s="37" t="s">
        <v>44</v>
      </c>
      <c r="C72" s="63" t="s">
        <v>277</v>
      </c>
      <c r="D72" s="67">
        <v>18.600000000000001</v>
      </c>
      <c r="E72" s="69" t="s">
        <v>13</v>
      </c>
      <c r="F72" s="67">
        <v>5.8744999999999999E-2</v>
      </c>
      <c r="G72" s="70" t="s">
        <v>256</v>
      </c>
      <c r="H72" s="67">
        <v>0.48229360475439048</v>
      </c>
      <c r="I72" s="67">
        <v>7.0493999999999999E-3</v>
      </c>
      <c r="J72" s="66">
        <v>1.8228000000000003E-3</v>
      </c>
      <c r="K72" s="116">
        <v>14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2"/>
  <sheetViews>
    <sheetView zoomScaleNormal="100" workbookViewId="0">
      <selection activeCell="C1" sqref="C1"/>
    </sheetView>
  </sheetViews>
  <sheetFormatPr defaultColWidth="9.140625" defaultRowHeight="12.75" customHeight="1"/>
  <cols>
    <col min="1" max="1" width="12.140625" customWidth="1"/>
    <col min="2" max="2" width="15.85546875" customWidth="1"/>
    <col min="3" max="3" width="22.7109375" style="4" customWidth="1"/>
    <col min="4" max="4" width="9.42578125" style="6" customWidth="1"/>
    <col min="5" max="5" width="15.85546875" style="6" customWidth="1"/>
    <col min="6" max="6" width="10.28515625" style="6" customWidth="1"/>
    <col min="7" max="7" width="14.85546875" style="14" customWidth="1"/>
    <col min="8" max="8" width="7.7109375" style="6" customWidth="1"/>
    <col min="9" max="9" width="14.140625" style="6" customWidth="1"/>
    <col min="10" max="10" width="37.42578125" style="6" customWidth="1"/>
    <col min="11" max="11" width="19.7109375" style="6" customWidth="1"/>
    <col min="12" max="12" width="27.140625" style="6" customWidth="1"/>
  </cols>
  <sheetData>
    <row r="1" spans="1:13" ht="12.75" customHeight="1">
      <c r="A1" s="2" t="s">
        <v>82</v>
      </c>
      <c r="B1" s="2" t="s">
        <v>239</v>
      </c>
      <c r="C1" s="2" t="s">
        <v>4</v>
      </c>
      <c r="D1" s="5" t="s">
        <v>87</v>
      </c>
      <c r="E1" s="5" t="s">
        <v>47</v>
      </c>
      <c r="F1" s="5" t="s">
        <v>9</v>
      </c>
      <c r="G1" s="19" t="s">
        <v>88</v>
      </c>
      <c r="H1" s="5" t="s">
        <v>9</v>
      </c>
      <c r="I1" s="8" t="s">
        <v>3</v>
      </c>
      <c r="J1" s="23" t="s">
        <v>141</v>
      </c>
      <c r="K1" s="21" t="s">
        <v>9</v>
      </c>
      <c r="L1" s="5" t="s">
        <v>101</v>
      </c>
      <c r="M1" s="1" t="s">
        <v>7</v>
      </c>
    </row>
    <row r="2" spans="1:13" s="10" customFormat="1" ht="12.75" customHeight="1">
      <c r="A2" s="12" t="s">
        <v>35</v>
      </c>
      <c r="B2" s="24" t="s">
        <v>18</v>
      </c>
      <c r="C2" s="25" t="s">
        <v>39</v>
      </c>
      <c r="D2" s="22">
        <v>6</v>
      </c>
      <c r="E2" s="16">
        <v>1.75</v>
      </c>
      <c r="F2" s="22" t="s">
        <v>5</v>
      </c>
      <c r="G2" s="26">
        <v>1.75</v>
      </c>
      <c r="H2" s="20" t="s">
        <v>11</v>
      </c>
      <c r="I2" s="53">
        <f t="shared" ref="I2:I51" si="0">((G2/(4/3*3.142))^0.3333)*2</f>
        <v>1.4951118248919606</v>
      </c>
      <c r="J2" s="14">
        <v>27.25</v>
      </c>
      <c r="K2" s="6" t="s">
        <v>90</v>
      </c>
      <c r="L2" s="26">
        <v>4.7694500000000008E-2</v>
      </c>
      <c r="M2" s="6">
        <v>1</v>
      </c>
    </row>
    <row r="3" spans="1:13" s="10" customFormat="1" ht="12.75" customHeight="1">
      <c r="A3" s="12" t="s">
        <v>35</v>
      </c>
      <c r="B3" s="24" t="s">
        <v>18</v>
      </c>
      <c r="C3" s="25" t="s">
        <v>24</v>
      </c>
      <c r="D3" s="22">
        <v>10</v>
      </c>
      <c r="E3" s="16">
        <v>290</v>
      </c>
      <c r="F3" s="22" t="s">
        <v>13</v>
      </c>
      <c r="G3" s="26">
        <v>7</v>
      </c>
      <c r="H3" s="20" t="s">
        <v>11</v>
      </c>
      <c r="I3" s="53">
        <f t="shared" si="0"/>
        <v>2.3732324144859223</v>
      </c>
      <c r="J3" s="14">
        <v>0.11</v>
      </c>
      <c r="K3" s="6" t="s">
        <v>91</v>
      </c>
      <c r="L3" s="26">
        <v>3.1899999999999998E-2</v>
      </c>
      <c r="M3" s="6">
        <v>15</v>
      </c>
    </row>
    <row r="4" spans="1:13" s="10" customFormat="1" ht="12.75" customHeight="1">
      <c r="A4" s="10" t="s">
        <v>35</v>
      </c>
      <c r="B4" s="11" t="s">
        <v>18</v>
      </c>
      <c r="C4" s="27" t="s">
        <v>19</v>
      </c>
      <c r="D4" s="6">
        <v>1.1000000000000001</v>
      </c>
      <c r="E4" s="14">
        <v>14</v>
      </c>
      <c r="F4" s="22" t="s">
        <v>13</v>
      </c>
      <c r="G4" s="26">
        <v>2.98</v>
      </c>
      <c r="H4" s="20" t="s">
        <v>11</v>
      </c>
      <c r="I4" s="53">
        <f t="shared" si="0"/>
        <v>1.7853582533450429</v>
      </c>
      <c r="J4" s="14">
        <v>2.27</v>
      </c>
      <c r="K4" s="6" t="s">
        <v>92</v>
      </c>
      <c r="L4" s="14">
        <v>2.2699999999999999E-3</v>
      </c>
      <c r="M4" s="6">
        <v>16</v>
      </c>
    </row>
    <row r="5" spans="1:13" s="10" customFormat="1" ht="12.75" customHeight="1">
      <c r="A5" s="12" t="s">
        <v>35</v>
      </c>
      <c r="B5" s="24" t="s">
        <v>18</v>
      </c>
      <c r="C5" s="25" t="s">
        <v>19</v>
      </c>
      <c r="D5" s="22">
        <v>10</v>
      </c>
      <c r="E5" s="16">
        <v>6</v>
      </c>
      <c r="F5" s="22" t="s">
        <v>13</v>
      </c>
      <c r="G5" s="26">
        <v>0.128</v>
      </c>
      <c r="H5" s="20" t="s">
        <v>11</v>
      </c>
      <c r="I5" s="53">
        <f t="shared" si="0"/>
        <v>0.62531979610691868</v>
      </c>
      <c r="J5" s="14">
        <v>0.93</v>
      </c>
      <c r="K5" s="6" t="s">
        <v>91</v>
      </c>
      <c r="L5" s="26">
        <v>5.5799999999999999E-3</v>
      </c>
      <c r="M5" s="6">
        <v>15</v>
      </c>
    </row>
    <row r="6" spans="1:13" s="10" customFormat="1" ht="12.75" customHeight="1">
      <c r="A6" s="12" t="s">
        <v>35</v>
      </c>
      <c r="B6" s="24" t="s">
        <v>18</v>
      </c>
      <c r="C6" s="25" t="s">
        <v>56</v>
      </c>
      <c r="D6" s="22">
        <v>5</v>
      </c>
      <c r="E6" s="16">
        <v>1.3299000000000001</v>
      </c>
      <c r="F6" s="22" t="s">
        <v>5</v>
      </c>
      <c r="G6" s="26">
        <v>1.33</v>
      </c>
      <c r="H6" s="20" t="s">
        <v>11</v>
      </c>
      <c r="I6" s="53">
        <f t="shared" si="0"/>
        <v>1.3644224187352856</v>
      </c>
      <c r="J6" s="26">
        <v>0.14000000000000001</v>
      </c>
      <c r="K6" s="20" t="s">
        <v>93</v>
      </c>
      <c r="L6" s="26">
        <v>4.2500000000000003E-3</v>
      </c>
      <c r="M6" s="6">
        <v>17</v>
      </c>
    </row>
    <row r="7" spans="1:13" s="10" customFormat="1" ht="12.75" customHeight="1">
      <c r="A7" s="12" t="s">
        <v>35</v>
      </c>
      <c r="B7" s="24" t="s">
        <v>18</v>
      </c>
      <c r="C7" s="25" t="s">
        <v>52</v>
      </c>
      <c r="D7" s="22">
        <v>34</v>
      </c>
      <c r="E7" s="16">
        <v>20.9</v>
      </c>
      <c r="F7" s="22" t="s">
        <v>46</v>
      </c>
      <c r="G7" s="26">
        <v>2.0899999999999998E-2</v>
      </c>
      <c r="H7" s="20" t="s">
        <v>11</v>
      </c>
      <c r="I7" s="53">
        <f t="shared" si="0"/>
        <v>0.34180141152963761</v>
      </c>
      <c r="J7" s="26">
        <v>5.8000000000000003E-2</v>
      </c>
      <c r="K7" s="20" t="s">
        <v>94</v>
      </c>
      <c r="L7" s="26">
        <v>1.4599999999999999E-3</v>
      </c>
      <c r="M7" s="6">
        <v>18</v>
      </c>
    </row>
    <row r="8" spans="1:13" s="10" customFormat="1" ht="12.75" customHeight="1">
      <c r="A8" s="12" t="s">
        <v>35</v>
      </c>
      <c r="B8" s="24" t="s">
        <v>18</v>
      </c>
      <c r="C8" s="25" t="s">
        <v>53</v>
      </c>
      <c r="D8" s="22">
        <v>28</v>
      </c>
      <c r="E8" s="16">
        <v>25.8</v>
      </c>
      <c r="F8" s="22" t="s">
        <v>46</v>
      </c>
      <c r="G8" s="26">
        <v>2.58E-2</v>
      </c>
      <c r="H8" s="20" t="s">
        <v>11</v>
      </c>
      <c r="I8" s="53">
        <f t="shared" si="0"/>
        <v>0.3666586564528842</v>
      </c>
      <c r="J8" s="26">
        <v>0.04</v>
      </c>
      <c r="K8" s="20" t="s">
        <v>94</v>
      </c>
      <c r="L8" s="26">
        <v>9.8799999999999995E-4</v>
      </c>
      <c r="M8" s="6">
        <v>18</v>
      </c>
    </row>
    <row r="9" spans="1:13" s="10" customFormat="1" ht="12.75" customHeight="1">
      <c r="A9" s="12" t="s">
        <v>35</v>
      </c>
      <c r="B9" s="24" t="s">
        <v>18</v>
      </c>
      <c r="C9" s="25" t="s">
        <v>42</v>
      </c>
      <c r="D9" s="22">
        <v>6</v>
      </c>
      <c r="E9" s="16">
        <v>13.71</v>
      </c>
      <c r="F9" s="22" t="s">
        <v>5</v>
      </c>
      <c r="G9" s="26">
        <v>13.71</v>
      </c>
      <c r="H9" s="20" t="s">
        <v>11</v>
      </c>
      <c r="I9" s="53">
        <f t="shared" si="0"/>
        <v>2.9692288961940476</v>
      </c>
      <c r="J9" s="14">
        <v>4.74</v>
      </c>
      <c r="K9" s="6" t="s">
        <v>90</v>
      </c>
      <c r="L9" s="26">
        <v>6.5081370000000013E-2</v>
      </c>
      <c r="M9" s="6">
        <v>1</v>
      </c>
    </row>
    <row r="10" spans="1:13" s="10" customFormat="1" ht="12.75" customHeight="1">
      <c r="A10" s="12" t="s">
        <v>35</v>
      </c>
      <c r="B10" s="24" t="s">
        <v>18</v>
      </c>
      <c r="C10" s="25" t="s">
        <v>42</v>
      </c>
      <c r="D10" s="22">
        <v>10</v>
      </c>
      <c r="E10" s="16">
        <v>5.8579999999999997</v>
      </c>
      <c r="F10" s="22" t="s">
        <v>5</v>
      </c>
      <c r="G10" s="26">
        <v>5.8579999999999997</v>
      </c>
      <c r="H10" s="20" t="s">
        <v>11</v>
      </c>
      <c r="I10" s="53">
        <f t="shared" si="0"/>
        <v>2.2364539430848427</v>
      </c>
      <c r="J10" s="26">
        <v>0.19900000000000001</v>
      </c>
      <c r="K10" s="20" t="s">
        <v>93</v>
      </c>
      <c r="L10" s="26">
        <v>2.7085199350600001E-2</v>
      </c>
      <c r="M10" s="6">
        <v>17</v>
      </c>
    </row>
    <row r="11" spans="1:13" s="10" customFormat="1" ht="12.75" customHeight="1">
      <c r="A11" s="12" t="s">
        <v>35</v>
      </c>
      <c r="B11" s="24" t="s">
        <v>18</v>
      </c>
      <c r="C11" s="25" t="s">
        <v>111</v>
      </c>
      <c r="D11" s="22">
        <v>5</v>
      </c>
      <c r="E11" s="16">
        <f>(0.1286+0.1445)/2</f>
        <v>0.13655</v>
      </c>
      <c r="F11" s="22" t="s">
        <v>5</v>
      </c>
      <c r="G11" s="26">
        <v>0.13655</v>
      </c>
      <c r="H11" s="20" t="s">
        <v>11</v>
      </c>
      <c r="I11" s="53">
        <f t="shared" si="0"/>
        <v>0.63894256345732114</v>
      </c>
      <c r="J11" s="26">
        <v>0.16800000000000001</v>
      </c>
      <c r="K11" s="20" t="s">
        <v>93</v>
      </c>
      <c r="L11" s="26">
        <v>5.2358710152000014E-4</v>
      </c>
      <c r="M11" s="6">
        <v>17</v>
      </c>
    </row>
    <row r="12" spans="1:13" s="10" customFormat="1" ht="12.75" customHeight="1">
      <c r="A12" s="12" t="s">
        <v>35</v>
      </c>
      <c r="B12" s="24" t="s">
        <v>18</v>
      </c>
      <c r="C12" s="27" t="s">
        <v>21</v>
      </c>
      <c r="D12" s="6">
        <v>-1.75</v>
      </c>
      <c r="E12" s="14">
        <v>2.085</v>
      </c>
      <c r="F12" s="6" t="s">
        <v>5</v>
      </c>
      <c r="G12" s="14">
        <v>2.085</v>
      </c>
      <c r="H12" s="20" t="s">
        <v>11</v>
      </c>
      <c r="I12" s="53">
        <f t="shared" si="0"/>
        <v>1.584992254617051</v>
      </c>
      <c r="J12" s="14">
        <v>5.6</v>
      </c>
      <c r="K12" s="6" t="s">
        <v>92</v>
      </c>
      <c r="L12" s="14">
        <v>5.5999999999999999E-3</v>
      </c>
      <c r="M12" s="6">
        <v>9</v>
      </c>
    </row>
    <row r="13" spans="1:13" s="10" customFormat="1" ht="12.75" customHeight="1">
      <c r="A13" s="12" t="s">
        <v>35</v>
      </c>
      <c r="B13" s="24" t="s">
        <v>18</v>
      </c>
      <c r="C13" s="25" t="s">
        <v>25</v>
      </c>
      <c r="D13" s="22">
        <v>10</v>
      </c>
      <c r="E13" s="16">
        <v>99</v>
      </c>
      <c r="F13" s="22" t="s">
        <v>13</v>
      </c>
      <c r="G13" s="26">
        <v>2.48</v>
      </c>
      <c r="H13" s="20" t="s">
        <v>11</v>
      </c>
      <c r="I13" s="53">
        <f t="shared" si="0"/>
        <v>1.6793446689218596</v>
      </c>
      <c r="J13" s="14">
        <v>0.25</v>
      </c>
      <c r="K13" s="6" t="s">
        <v>91</v>
      </c>
      <c r="L13" s="26">
        <v>2.4750000000000001E-2</v>
      </c>
      <c r="M13" s="6">
        <v>15</v>
      </c>
    </row>
    <row r="14" spans="1:13" s="10" customFormat="1" ht="12.75" customHeight="1">
      <c r="A14" s="12" t="s">
        <v>35</v>
      </c>
      <c r="B14" s="24" t="s">
        <v>18</v>
      </c>
      <c r="C14" s="25" t="s">
        <v>26</v>
      </c>
      <c r="D14" s="22">
        <v>10</v>
      </c>
      <c r="E14" s="16">
        <v>43</v>
      </c>
      <c r="F14" s="22" t="s">
        <v>13</v>
      </c>
      <c r="G14" s="26">
        <v>1.1299999999999999</v>
      </c>
      <c r="H14" s="20" t="s">
        <v>11</v>
      </c>
      <c r="I14" s="53">
        <f t="shared" si="0"/>
        <v>1.2922904649589262</v>
      </c>
      <c r="J14" s="14">
        <v>0.28000000000000003</v>
      </c>
      <c r="K14" s="6" t="s">
        <v>91</v>
      </c>
      <c r="L14" s="26">
        <v>1.204E-2</v>
      </c>
      <c r="M14" s="6">
        <v>15</v>
      </c>
    </row>
    <row r="15" spans="1:13" s="10" customFormat="1" ht="12.75" customHeight="1">
      <c r="A15" s="12" t="s">
        <v>35</v>
      </c>
      <c r="B15" s="24" t="s">
        <v>18</v>
      </c>
      <c r="C15" s="25" t="s">
        <v>27</v>
      </c>
      <c r="D15" s="22">
        <v>10</v>
      </c>
      <c r="E15" s="16">
        <v>31</v>
      </c>
      <c r="F15" s="22" t="s">
        <v>13</v>
      </c>
      <c r="G15" s="26">
        <v>0.67400000000000004</v>
      </c>
      <c r="H15" s="20" t="s">
        <v>11</v>
      </c>
      <c r="I15" s="53">
        <f t="shared" si="0"/>
        <v>1.0878310186903546</v>
      </c>
      <c r="J15" s="14">
        <v>0.57999999999999996</v>
      </c>
      <c r="K15" s="6" t="s">
        <v>91</v>
      </c>
      <c r="L15" s="26">
        <v>1.7979999999999999E-2</v>
      </c>
      <c r="M15" s="6">
        <v>15</v>
      </c>
    </row>
    <row r="16" spans="1:13" s="10" customFormat="1" ht="12.75" customHeight="1">
      <c r="A16" s="10" t="s">
        <v>35</v>
      </c>
      <c r="B16" s="24" t="s">
        <v>18</v>
      </c>
      <c r="C16" s="25" t="s">
        <v>28</v>
      </c>
      <c r="D16" s="22">
        <v>15</v>
      </c>
      <c r="E16" s="16">
        <v>310</v>
      </c>
      <c r="F16" s="22" t="s">
        <v>13</v>
      </c>
      <c r="G16" s="26">
        <v>8.61</v>
      </c>
      <c r="H16" s="20" t="s">
        <v>11</v>
      </c>
      <c r="I16" s="53">
        <f t="shared" si="0"/>
        <v>2.5427616051315023</v>
      </c>
      <c r="J16" s="14">
        <v>0.16</v>
      </c>
      <c r="K16" s="6" t="s">
        <v>91</v>
      </c>
      <c r="L16" s="26">
        <v>4.9599999999999998E-2</v>
      </c>
      <c r="M16" s="6">
        <v>15</v>
      </c>
    </row>
    <row r="17" spans="1:13" s="10" customFormat="1" ht="12.75" customHeight="1">
      <c r="A17" s="10" t="s">
        <v>35</v>
      </c>
      <c r="B17" s="24" t="s">
        <v>18</v>
      </c>
      <c r="C17" s="25" t="s">
        <v>51</v>
      </c>
      <c r="D17" s="22">
        <v>12</v>
      </c>
      <c r="E17" s="16">
        <v>118.4</v>
      </c>
      <c r="F17" s="22" t="s">
        <v>46</v>
      </c>
      <c r="G17" s="26">
        <v>0.11840000000000001</v>
      </c>
      <c r="H17" s="20" t="s">
        <v>11</v>
      </c>
      <c r="I17" s="53">
        <f t="shared" si="0"/>
        <v>0.60928041352596018</v>
      </c>
      <c r="J17" s="26">
        <v>0.127</v>
      </c>
      <c r="K17" s="20" t="s">
        <v>94</v>
      </c>
      <c r="L17" s="26">
        <f>((J17*0.0821*(273+D17))/1)/1000</f>
        <v>2.9716095000000002E-3</v>
      </c>
      <c r="M17" s="6">
        <v>18</v>
      </c>
    </row>
    <row r="18" spans="1:13" s="13" customFormat="1" ht="12.75" customHeight="1">
      <c r="A18" s="10" t="s">
        <v>35</v>
      </c>
      <c r="B18" s="24" t="s">
        <v>18</v>
      </c>
      <c r="C18" s="25" t="s">
        <v>112</v>
      </c>
      <c r="D18" s="22">
        <v>5</v>
      </c>
      <c r="E18" s="16">
        <f>(0.369+0.7157)/2</f>
        <v>0.54235</v>
      </c>
      <c r="F18" s="22" t="s">
        <v>5</v>
      </c>
      <c r="G18" s="26">
        <v>0.54235</v>
      </c>
      <c r="H18" s="20" t="s">
        <v>11</v>
      </c>
      <c r="I18" s="53">
        <f t="shared" si="0"/>
        <v>1.0118228904820963</v>
      </c>
      <c r="J18" s="26">
        <v>0.25900000000000001</v>
      </c>
      <c r="K18" s="20" t="s">
        <v>93</v>
      </c>
      <c r="L18" s="26">
        <f>((J18*0.0821*(273+D18))/1)/1000</f>
        <v>5.9113642000000006E-3</v>
      </c>
      <c r="M18" s="7">
        <v>17</v>
      </c>
    </row>
    <row r="19" spans="1:13" s="10" customFormat="1" ht="12.75" customHeight="1">
      <c r="A19" s="10" t="s">
        <v>35</v>
      </c>
      <c r="B19" s="24" t="s">
        <v>18</v>
      </c>
      <c r="C19" s="25" t="s">
        <v>29</v>
      </c>
      <c r="D19" s="22">
        <v>10</v>
      </c>
      <c r="E19" s="16">
        <v>16</v>
      </c>
      <c r="F19" s="22" t="s">
        <v>13</v>
      </c>
      <c r="G19" s="26">
        <v>0.41</v>
      </c>
      <c r="H19" s="20" t="s">
        <v>11</v>
      </c>
      <c r="I19" s="53">
        <f t="shared" si="0"/>
        <v>0.92174322506642825</v>
      </c>
      <c r="J19" s="14">
        <v>0.26</v>
      </c>
      <c r="K19" s="6" t="s">
        <v>91</v>
      </c>
      <c r="L19" s="26">
        <v>4.1600000000000005E-3</v>
      </c>
      <c r="M19" s="6">
        <v>15</v>
      </c>
    </row>
    <row r="20" spans="1:13" s="10" customFormat="1" ht="12.75" customHeight="1">
      <c r="A20" s="12" t="s">
        <v>35</v>
      </c>
      <c r="B20" s="24" t="s">
        <v>18</v>
      </c>
      <c r="C20" s="25" t="s">
        <v>30</v>
      </c>
      <c r="D20" s="22">
        <v>10</v>
      </c>
      <c r="E20" s="16">
        <v>15</v>
      </c>
      <c r="F20" s="22" t="s">
        <v>13</v>
      </c>
      <c r="G20" s="26">
        <v>0.39500000000000002</v>
      </c>
      <c r="H20" s="20" t="s">
        <v>11</v>
      </c>
      <c r="I20" s="53">
        <f t="shared" si="0"/>
        <v>0.91036364640740519</v>
      </c>
      <c r="J20" s="14">
        <v>0.16</v>
      </c>
      <c r="K20" s="6" t="s">
        <v>91</v>
      </c>
      <c r="L20" s="26">
        <v>2.3999999999999998E-3</v>
      </c>
      <c r="M20" s="6">
        <v>15</v>
      </c>
    </row>
    <row r="21" spans="1:13" s="10" customFormat="1" ht="12.75" customHeight="1">
      <c r="A21" s="12" t="s">
        <v>35</v>
      </c>
      <c r="B21" s="24" t="s">
        <v>18</v>
      </c>
      <c r="C21" s="25" t="s">
        <v>41</v>
      </c>
      <c r="D21" s="22">
        <v>6</v>
      </c>
      <c r="E21" s="16">
        <v>25.45</v>
      </c>
      <c r="F21" s="22" t="s">
        <v>5</v>
      </c>
      <c r="G21" s="26">
        <v>25.5</v>
      </c>
      <c r="H21" s="20" t="s">
        <v>11</v>
      </c>
      <c r="I21" s="53">
        <f t="shared" si="0"/>
        <v>3.6514800892049104</v>
      </c>
      <c r="J21" s="14">
        <v>5.5469999999999997</v>
      </c>
      <c r="K21" s="6" t="s">
        <v>90</v>
      </c>
      <c r="L21" s="26">
        <v>0.1414485</v>
      </c>
      <c r="M21" s="6">
        <v>1</v>
      </c>
    </row>
    <row r="22" spans="1:13" s="10" customFormat="1" ht="12.75" customHeight="1">
      <c r="A22" s="12" t="s">
        <v>35</v>
      </c>
      <c r="B22" s="24" t="s">
        <v>18</v>
      </c>
      <c r="C22" s="25" t="s">
        <v>31</v>
      </c>
      <c r="D22" s="22">
        <v>15</v>
      </c>
      <c r="E22" s="16">
        <v>24</v>
      </c>
      <c r="F22" s="22" t="s">
        <v>13</v>
      </c>
      <c r="G22" s="26">
        <v>0.55800000000000005</v>
      </c>
      <c r="H22" s="20" t="s">
        <v>11</v>
      </c>
      <c r="I22" s="53">
        <f t="shared" si="0"/>
        <v>1.0214621373605242</v>
      </c>
      <c r="J22" s="14">
        <v>0.31</v>
      </c>
      <c r="K22" s="6" t="s">
        <v>91</v>
      </c>
      <c r="L22" s="26">
        <v>7.4399999999999996E-3</v>
      </c>
      <c r="M22" s="6">
        <v>15</v>
      </c>
    </row>
    <row r="23" spans="1:13" s="10" customFormat="1" ht="12.75" customHeight="1">
      <c r="A23" s="12" t="s">
        <v>35</v>
      </c>
      <c r="B23" s="24" t="s">
        <v>18</v>
      </c>
      <c r="C23" s="25" t="s">
        <v>57</v>
      </c>
      <c r="D23" s="22">
        <v>5</v>
      </c>
      <c r="E23" s="16">
        <f>(0.3987+0.4751)/2</f>
        <v>0.43690000000000001</v>
      </c>
      <c r="F23" s="22" t="s">
        <v>5</v>
      </c>
      <c r="G23" s="26">
        <v>0.43690000000000001</v>
      </c>
      <c r="H23" s="20" t="s">
        <v>11</v>
      </c>
      <c r="I23" s="53">
        <f t="shared" si="0"/>
        <v>0.94147421526669062</v>
      </c>
      <c r="J23" s="26">
        <v>0.11700000000000001</v>
      </c>
      <c r="K23" s="20" t="s">
        <v>93</v>
      </c>
      <c r="L23" s="26">
        <v>1.17E-3</v>
      </c>
      <c r="M23" s="6">
        <v>17</v>
      </c>
    </row>
    <row r="24" spans="1:13" s="10" customFormat="1" ht="12.75" customHeight="1">
      <c r="A24" s="12" t="s">
        <v>35</v>
      </c>
      <c r="B24" s="24" t="s">
        <v>18</v>
      </c>
      <c r="C24" s="25" t="s">
        <v>58</v>
      </c>
      <c r="D24" s="22">
        <v>5</v>
      </c>
      <c r="E24" s="16">
        <f>(0.2871+0.4127)/2</f>
        <v>0.34989999999999999</v>
      </c>
      <c r="F24" s="22" t="s">
        <v>5</v>
      </c>
      <c r="G24" s="26">
        <v>0.34989999999999999</v>
      </c>
      <c r="H24" s="20" t="s">
        <v>11</v>
      </c>
      <c r="I24" s="53">
        <f t="shared" si="0"/>
        <v>0.87431033228233901</v>
      </c>
      <c r="J24" s="26">
        <v>0.14000000000000001</v>
      </c>
      <c r="K24" s="20" t="s">
        <v>93</v>
      </c>
      <c r="L24" s="26">
        <v>1.1199999999999999E-3</v>
      </c>
      <c r="M24" s="6">
        <v>17</v>
      </c>
    </row>
    <row r="25" spans="1:13" s="10" customFormat="1" ht="12.75" customHeight="1">
      <c r="A25" s="12" t="s">
        <v>35</v>
      </c>
      <c r="B25" s="10" t="s">
        <v>0</v>
      </c>
      <c r="C25" s="25" t="s">
        <v>8</v>
      </c>
      <c r="D25" s="22">
        <v>15</v>
      </c>
      <c r="E25" s="17">
        <v>120</v>
      </c>
      <c r="F25" s="22" t="s">
        <v>48</v>
      </c>
      <c r="G25" s="26">
        <v>58.3</v>
      </c>
      <c r="H25" s="20" t="s">
        <v>11</v>
      </c>
      <c r="I25" s="53">
        <f t="shared" si="0"/>
        <v>4.8102364403188016</v>
      </c>
      <c r="J25" s="6" t="s">
        <v>49</v>
      </c>
      <c r="K25" s="6"/>
      <c r="L25" s="26">
        <v>0.24</v>
      </c>
      <c r="M25" s="6">
        <v>19</v>
      </c>
    </row>
    <row r="26" spans="1:13" s="10" customFormat="1" ht="12.75" customHeight="1">
      <c r="A26" s="12" t="s">
        <v>35</v>
      </c>
      <c r="B26" s="10" t="s">
        <v>0</v>
      </c>
      <c r="C26" s="25" t="s">
        <v>8</v>
      </c>
      <c r="D26" s="22">
        <v>28</v>
      </c>
      <c r="E26" s="16">
        <v>1330</v>
      </c>
      <c r="F26" s="22" t="s">
        <v>5</v>
      </c>
      <c r="G26" s="17">
        <v>1330</v>
      </c>
      <c r="H26" s="20" t="s">
        <v>11</v>
      </c>
      <c r="I26" s="53">
        <f t="shared" si="0"/>
        <v>13.641082850304597</v>
      </c>
      <c r="J26" s="6" t="s">
        <v>106</v>
      </c>
      <c r="K26" s="22" t="s">
        <v>104</v>
      </c>
      <c r="L26" s="26">
        <v>9.4295402871076757</v>
      </c>
      <c r="M26" s="6">
        <v>20</v>
      </c>
    </row>
    <row r="27" spans="1:13" s="10" customFormat="1" ht="12.75" customHeight="1">
      <c r="A27" s="12" t="s">
        <v>35</v>
      </c>
      <c r="B27" s="10" t="s">
        <v>0</v>
      </c>
      <c r="C27" s="25" t="s">
        <v>8</v>
      </c>
      <c r="D27" s="22">
        <v>20</v>
      </c>
      <c r="E27" s="16">
        <v>0.56000000000000005</v>
      </c>
      <c r="F27" s="22" t="s">
        <v>100</v>
      </c>
      <c r="G27" s="28">
        <v>622</v>
      </c>
      <c r="H27" s="20" t="s">
        <v>11</v>
      </c>
      <c r="I27" s="53">
        <f t="shared" si="0"/>
        <v>10.588621636873343</v>
      </c>
      <c r="J27" s="22" t="s">
        <v>105</v>
      </c>
      <c r="K27" s="22" t="s">
        <v>104</v>
      </c>
      <c r="L27" s="26">
        <v>2.5186041389432599</v>
      </c>
      <c r="M27" s="6">
        <v>21</v>
      </c>
    </row>
    <row r="28" spans="1:13" s="10" customFormat="1" ht="12.75" customHeight="1">
      <c r="A28" s="12" t="s">
        <v>35</v>
      </c>
      <c r="B28" s="10" t="s">
        <v>0</v>
      </c>
      <c r="C28" s="25" t="s">
        <v>10</v>
      </c>
      <c r="D28" s="22">
        <v>10</v>
      </c>
      <c r="E28" s="16">
        <v>490</v>
      </c>
      <c r="F28" s="22" t="s">
        <v>13</v>
      </c>
      <c r="G28" s="26">
        <v>11.7</v>
      </c>
      <c r="H28" s="20" t="s">
        <v>11</v>
      </c>
      <c r="I28" s="53">
        <f t="shared" si="0"/>
        <v>2.816407177592211</v>
      </c>
      <c r="J28" s="14">
        <v>0.14000000000000001</v>
      </c>
      <c r="K28" s="6" t="s">
        <v>91</v>
      </c>
      <c r="L28" s="26">
        <v>6.8600000000000008E-2</v>
      </c>
      <c r="M28" s="6">
        <v>15</v>
      </c>
    </row>
    <row r="29" spans="1:13" s="10" customFormat="1" ht="12.75" customHeight="1">
      <c r="A29" s="12" t="s">
        <v>35</v>
      </c>
      <c r="B29" s="10" t="s">
        <v>0</v>
      </c>
      <c r="C29" s="25" t="s">
        <v>2</v>
      </c>
      <c r="D29" s="22">
        <v>10</v>
      </c>
      <c r="E29" s="16">
        <v>240</v>
      </c>
      <c r="F29" s="22" t="s">
        <v>13</v>
      </c>
      <c r="G29" s="26">
        <v>10.3</v>
      </c>
      <c r="H29" s="20" t="s">
        <v>11</v>
      </c>
      <c r="I29" s="53">
        <f t="shared" si="0"/>
        <v>2.6992787871748125</v>
      </c>
      <c r="J29" s="14">
        <v>0.48</v>
      </c>
      <c r="K29" s="6" t="s">
        <v>91</v>
      </c>
      <c r="L29" s="26">
        <v>0.11519999999999998</v>
      </c>
      <c r="M29" s="6">
        <v>15</v>
      </c>
    </row>
    <row r="30" spans="1:13" s="10" customFormat="1" ht="12.75" customHeight="1">
      <c r="A30" s="12" t="s">
        <v>35</v>
      </c>
      <c r="B30" s="10" t="s">
        <v>0</v>
      </c>
      <c r="C30" s="25" t="s">
        <v>2</v>
      </c>
      <c r="D30" s="22">
        <v>6</v>
      </c>
      <c r="E30" s="16">
        <v>145.91</v>
      </c>
      <c r="F30" s="22" t="s">
        <v>5</v>
      </c>
      <c r="G30" s="26">
        <v>146</v>
      </c>
      <c r="H30" s="20" t="s">
        <v>11</v>
      </c>
      <c r="I30" s="53">
        <f t="shared" si="0"/>
        <v>6.5320259522914679</v>
      </c>
      <c r="J30" s="14">
        <v>3.169</v>
      </c>
      <c r="K30" s="6" t="s">
        <v>90</v>
      </c>
      <c r="L30" s="26">
        <v>0.46267399999999997</v>
      </c>
      <c r="M30" s="6">
        <v>1</v>
      </c>
    </row>
    <row r="31" spans="1:13" s="10" customFormat="1" ht="12.75" customHeight="1">
      <c r="A31" s="12" t="s">
        <v>35</v>
      </c>
      <c r="B31" s="24" t="s">
        <v>0</v>
      </c>
      <c r="C31" s="25" t="s">
        <v>1</v>
      </c>
      <c r="D31" s="22">
        <v>24</v>
      </c>
      <c r="E31" s="16">
        <v>7800</v>
      </c>
      <c r="F31" s="22" t="s">
        <v>5</v>
      </c>
      <c r="G31" s="26">
        <v>7800</v>
      </c>
      <c r="H31" s="20" t="s">
        <v>11</v>
      </c>
      <c r="I31" s="53">
        <f t="shared" si="0"/>
        <v>24.598250834231564</v>
      </c>
      <c r="J31" s="6" t="s">
        <v>103</v>
      </c>
      <c r="K31" s="6" t="s">
        <v>102</v>
      </c>
      <c r="L31" s="26">
        <v>178.42500000000004</v>
      </c>
      <c r="M31" s="6">
        <v>22</v>
      </c>
    </row>
    <row r="32" spans="1:13" s="10" customFormat="1" ht="12.75" customHeight="1">
      <c r="A32" s="12" t="s">
        <v>35</v>
      </c>
      <c r="B32" s="10" t="s">
        <v>0</v>
      </c>
      <c r="C32" s="25" t="s">
        <v>59</v>
      </c>
      <c r="D32" s="22">
        <v>5</v>
      </c>
      <c r="E32" s="16">
        <f>(0.1866+0.3453)/2</f>
        <v>0.26595000000000002</v>
      </c>
      <c r="F32" s="22" t="s">
        <v>5</v>
      </c>
      <c r="G32" s="26">
        <v>0.26595000000000002</v>
      </c>
      <c r="H32" s="20" t="s">
        <v>11</v>
      </c>
      <c r="I32" s="53">
        <f t="shared" si="0"/>
        <v>0.79791188306997052</v>
      </c>
      <c r="J32" s="14">
        <v>0.33</v>
      </c>
      <c r="K32" s="20" t="s">
        <v>93</v>
      </c>
      <c r="L32" s="26">
        <v>2.0200000000000001E-3</v>
      </c>
      <c r="M32" s="6">
        <v>17</v>
      </c>
    </row>
    <row r="33" spans="1:13" s="10" customFormat="1" ht="12.75" customHeight="1">
      <c r="A33" s="12" t="s">
        <v>35</v>
      </c>
      <c r="B33" s="24" t="s">
        <v>0</v>
      </c>
      <c r="C33" s="25" t="s">
        <v>50</v>
      </c>
      <c r="D33" s="22">
        <v>18</v>
      </c>
      <c r="E33" s="16">
        <v>147.9</v>
      </c>
      <c r="F33" s="22" t="s">
        <v>13</v>
      </c>
      <c r="G33" s="26">
        <v>5.7</v>
      </c>
      <c r="H33" s="20" t="s">
        <v>89</v>
      </c>
      <c r="I33" s="53">
        <f t="shared" si="0"/>
        <v>2.2161654712957453</v>
      </c>
      <c r="J33" s="14">
        <v>1.02</v>
      </c>
      <c r="K33" s="6" t="s">
        <v>91</v>
      </c>
      <c r="L33" s="26">
        <v>0.151</v>
      </c>
      <c r="M33" s="6">
        <v>23</v>
      </c>
    </row>
    <row r="34" spans="1:13" s="10" customFormat="1" ht="12.75" customHeight="1">
      <c r="A34" s="12" t="s">
        <v>35</v>
      </c>
      <c r="B34" s="10" t="s">
        <v>0</v>
      </c>
      <c r="C34" s="25" t="s">
        <v>60</v>
      </c>
      <c r="D34" s="22">
        <v>5</v>
      </c>
      <c r="E34" s="16">
        <v>22.93</v>
      </c>
      <c r="F34" s="22" t="s">
        <v>5</v>
      </c>
      <c r="G34" s="26">
        <v>22.93</v>
      </c>
      <c r="H34" s="20" t="s">
        <v>11</v>
      </c>
      <c r="I34" s="53">
        <f t="shared" si="0"/>
        <v>3.52445334664396</v>
      </c>
      <c r="J34" s="26">
        <v>0.152</v>
      </c>
      <c r="K34" s="20" t="s">
        <v>93</v>
      </c>
      <c r="L34" s="26">
        <v>7.9500000000000001E-2</v>
      </c>
      <c r="M34" s="6">
        <v>17</v>
      </c>
    </row>
    <row r="35" spans="1:13" s="10" customFormat="1" ht="12.75" customHeight="1">
      <c r="A35" s="12" t="s">
        <v>35</v>
      </c>
      <c r="B35" s="24" t="s">
        <v>0</v>
      </c>
      <c r="C35" s="25" t="s">
        <v>40</v>
      </c>
      <c r="D35" s="22">
        <v>6</v>
      </c>
      <c r="E35" s="16">
        <v>298.25</v>
      </c>
      <c r="F35" s="22" t="s">
        <v>5</v>
      </c>
      <c r="G35" s="26">
        <v>298.25</v>
      </c>
      <c r="H35" s="20" t="s">
        <v>11</v>
      </c>
      <c r="I35" s="53">
        <f t="shared" si="0"/>
        <v>8.2879430748310945</v>
      </c>
      <c r="J35" s="14">
        <v>0.42899999999999999</v>
      </c>
      <c r="K35" s="6" t="s">
        <v>90</v>
      </c>
      <c r="L35" s="26">
        <v>0.12794924999999999</v>
      </c>
      <c r="M35" s="6">
        <v>1</v>
      </c>
    </row>
    <row r="36" spans="1:13" s="10" customFormat="1" ht="12.75" customHeight="1">
      <c r="A36" s="12" t="s">
        <v>35</v>
      </c>
      <c r="B36" s="24" t="s">
        <v>0</v>
      </c>
      <c r="C36" s="25" t="s">
        <v>6</v>
      </c>
      <c r="D36" s="22">
        <v>26</v>
      </c>
      <c r="E36" s="16">
        <v>1213</v>
      </c>
      <c r="F36" s="22" t="s">
        <v>5</v>
      </c>
      <c r="G36" s="26">
        <v>1213</v>
      </c>
      <c r="H36" s="20" t="s">
        <v>11</v>
      </c>
      <c r="I36" s="53">
        <f t="shared" si="0"/>
        <v>13.228783217572378</v>
      </c>
      <c r="J36" s="6" t="s">
        <v>108</v>
      </c>
      <c r="K36" s="6" t="s">
        <v>107</v>
      </c>
      <c r="L36" s="26">
        <v>28.854515335423919</v>
      </c>
      <c r="M36" s="6">
        <v>22</v>
      </c>
    </row>
    <row r="37" spans="1:13" s="13" customFormat="1" ht="12.75" customHeight="1">
      <c r="A37" s="12" t="s">
        <v>35</v>
      </c>
      <c r="B37" s="10" t="s">
        <v>0</v>
      </c>
      <c r="C37" s="25" t="s">
        <v>38</v>
      </c>
      <c r="D37" s="22">
        <v>30</v>
      </c>
      <c r="E37" s="16">
        <v>1000</v>
      </c>
      <c r="F37" s="22" t="s">
        <v>22</v>
      </c>
      <c r="G37" s="26">
        <v>1000</v>
      </c>
      <c r="H37" s="20" t="s">
        <v>11</v>
      </c>
      <c r="I37" s="53">
        <f t="shared" si="0"/>
        <v>12.404209560302597</v>
      </c>
      <c r="J37" s="14">
        <v>0.05</v>
      </c>
      <c r="K37" s="6" t="s">
        <v>95</v>
      </c>
      <c r="L37" s="26">
        <v>50</v>
      </c>
      <c r="M37" s="7">
        <v>15</v>
      </c>
    </row>
    <row r="38" spans="1:13" s="13" customFormat="1" ht="12.75" customHeight="1">
      <c r="A38" s="95" t="s">
        <v>307</v>
      </c>
      <c r="B38" s="10" t="s">
        <v>318</v>
      </c>
      <c r="C38" s="33" t="s">
        <v>303</v>
      </c>
      <c r="D38" s="35">
        <v>6</v>
      </c>
      <c r="E38" s="6">
        <v>46.34</v>
      </c>
      <c r="F38" s="22" t="s">
        <v>22</v>
      </c>
      <c r="G38" s="26">
        <v>46.34</v>
      </c>
      <c r="H38" s="20" t="s">
        <v>11</v>
      </c>
      <c r="I38" s="53">
        <f t="shared" si="0"/>
        <v>4.4558672044646919</v>
      </c>
      <c r="J38" s="14" t="s">
        <v>313</v>
      </c>
      <c r="K38" s="44" t="s">
        <v>422</v>
      </c>
      <c r="L38" s="26">
        <v>0.27006952000000001</v>
      </c>
      <c r="M38" s="7">
        <v>1</v>
      </c>
    </row>
    <row r="39" spans="1:13" s="13" customFormat="1" ht="12.75" customHeight="1">
      <c r="A39" s="95" t="s">
        <v>307</v>
      </c>
      <c r="B39" s="10" t="s">
        <v>318</v>
      </c>
      <c r="C39" s="33" t="s">
        <v>302</v>
      </c>
      <c r="D39" s="35">
        <v>6</v>
      </c>
      <c r="E39" s="6">
        <v>24.38</v>
      </c>
      <c r="F39" s="22" t="s">
        <v>22</v>
      </c>
      <c r="G39" s="26">
        <v>24.38</v>
      </c>
      <c r="H39" s="20" t="s">
        <v>11</v>
      </c>
      <c r="I39" s="53">
        <f t="shared" si="0"/>
        <v>3.5972235450962935</v>
      </c>
      <c r="J39" s="14" t="s">
        <v>312</v>
      </c>
      <c r="K39" s="44" t="s">
        <v>422</v>
      </c>
      <c r="L39" s="26">
        <v>5.2733939999999993E-2</v>
      </c>
      <c r="M39" s="7">
        <v>1</v>
      </c>
    </row>
    <row r="40" spans="1:13" s="13" customFormat="1" ht="12.75" customHeight="1">
      <c r="A40" s="95" t="s">
        <v>307</v>
      </c>
      <c r="B40" s="10" t="s">
        <v>317</v>
      </c>
      <c r="C40" s="33" t="s">
        <v>306</v>
      </c>
      <c r="D40" s="35">
        <v>25</v>
      </c>
      <c r="E40" s="6">
        <v>40</v>
      </c>
      <c r="F40" s="6" t="s">
        <v>148</v>
      </c>
      <c r="G40" s="26">
        <v>9.3439999999999994</v>
      </c>
      <c r="H40" s="20" t="s">
        <v>11</v>
      </c>
      <c r="I40" s="53">
        <f t="shared" si="0"/>
        <v>2.6130498012789705</v>
      </c>
      <c r="J40" s="14" t="s">
        <v>311</v>
      </c>
      <c r="K40" s="44" t="s">
        <v>423</v>
      </c>
      <c r="L40" s="26">
        <v>1.2055117422468729</v>
      </c>
      <c r="M40" s="7">
        <v>13</v>
      </c>
    </row>
    <row r="41" spans="1:13" s="13" customFormat="1" ht="12.75" customHeight="1">
      <c r="A41" s="95" t="s">
        <v>307</v>
      </c>
      <c r="B41" s="10" t="s">
        <v>317</v>
      </c>
      <c r="C41" s="106" t="s">
        <v>306</v>
      </c>
      <c r="D41" s="97">
        <v>21</v>
      </c>
      <c r="E41" s="7">
        <v>1</v>
      </c>
      <c r="F41" s="97" t="s">
        <v>34</v>
      </c>
      <c r="G41" s="26">
        <v>33.670033670033668</v>
      </c>
      <c r="H41" s="20" t="s">
        <v>11</v>
      </c>
      <c r="I41" s="53">
        <f t="shared" si="0"/>
        <v>4.0058932337446409</v>
      </c>
      <c r="J41" s="14" t="s">
        <v>315</v>
      </c>
      <c r="K41" s="44" t="s">
        <v>424</v>
      </c>
      <c r="L41" s="26">
        <v>0.34100000000000003</v>
      </c>
      <c r="M41" s="7">
        <v>8</v>
      </c>
    </row>
    <row r="42" spans="1:13" s="13" customFormat="1" ht="12.75" customHeight="1">
      <c r="A42" s="95" t="s">
        <v>307</v>
      </c>
      <c r="B42" s="10" t="s">
        <v>317</v>
      </c>
      <c r="C42" s="106" t="s">
        <v>306</v>
      </c>
      <c r="D42" s="97">
        <v>26.1</v>
      </c>
      <c r="E42" s="7">
        <v>3.87</v>
      </c>
      <c r="F42" s="22" t="s">
        <v>22</v>
      </c>
      <c r="G42" s="26">
        <v>3.87</v>
      </c>
      <c r="H42" s="20" t="s">
        <v>11</v>
      </c>
      <c r="I42" s="53">
        <f t="shared" si="0"/>
        <v>1.9478394586152004</v>
      </c>
      <c r="J42" s="14">
        <v>2.06E-2</v>
      </c>
      <c r="K42" s="44" t="s">
        <v>424</v>
      </c>
      <c r="L42" s="26">
        <v>2.06E-2</v>
      </c>
      <c r="M42" s="7">
        <v>24</v>
      </c>
    </row>
    <row r="43" spans="1:13" s="13" customFormat="1" ht="12.75" customHeight="1">
      <c r="A43" s="95" t="s">
        <v>307</v>
      </c>
      <c r="B43" s="10" t="s">
        <v>317</v>
      </c>
      <c r="C43" s="106" t="s">
        <v>306</v>
      </c>
      <c r="D43" s="97">
        <v>21</v>
      </c>
      <c r="E43" s="97">
        <v>55000</v>
      </c>
      <c r="F43" s="97" t="s">
        <v>46</v>
      </c>
      <c r="G43" s="26">
        <v>55</v>
      </c>
      <c r="H43" s="20" t="s">
        <v>11</v>
      </c>
      <c r="I43" s="53">
        <f t="shared" si="0"/>
        <v>4.7177180175196769</v>
      </c>
      <c r="J43" s="14" t="s">
        <v>316</v>
      </c>
      <c r="K43" s="44" t="s">
        <v>425</v>
      </c>
      <c r="L43" s="26">
        <v>1.224678330823374</v>
      </c>
      <c r="M43" s="7">
        <v>25</v>
      </c>
    </row>
    <row r="44" spans="1:13" s="13" customFormat="1" ht="12.75" customHeight="1">
      <c r="A44" s="95" t="s">
        <v>307</v>
      </c>
      <c r="B44" s="10" t="s">
        <v>317</v>
      </c>
      <c r="C44" s="106" t="s">
        <v>305</v>
      </c>
      <c r="D44" s="97">
        <v>-1.7</v>
      </c>
      <c r="E44" s="7">
        <v>71.17</v>
      </c>
      <c r="F44" s="22" t="s">
        <v>22</v>
      </c>
      <c r="G44" s="26">
        <v>71.17</v>
      </c>
      <c r="H44" s="20" t="s">
        <v>11</v>
      </c>
      <c r="I44" s="53">
        <f t="shared" si="0"/>
        <v>5.140906123641698</v>
      </c>
      <c r="J44" s="14">
        <v>40.9</v>
      </c>
      <c r="K44" s="44" t="s">
        <v>422</v>
      </c>
      <c r="L44" s="26">
        <v>4.0899999999999999E-2</v>
      </c>
      <c r="M44" s="7">
        <v>9</v>
      </c>
    </row>
    <row r="45" spans="1:13" s="13" customFormat="1" ht="12.75" customHeight="1">
      <c r="A45" s="95" t="s">
        <v>307</v>
      </c>
      <c r="B45" s="10" t="s">
        <v>317</v>
      </c>
      <c r="C45" s="106" t="s">
        <v>305</v>
      </c>
      <c r="D45" s="97">
        <v>-0.8</v>
      </c>
      <c r="E45" s="7">
        <v>401.58</v>
      </c>
      <c r="F45" s="97" t="s">
        <v>13</v>
      </c>
      <c r="G45" s="26">
        <v>13.52121212121212</v>
      </c>
      <c r="H45" s="20" t="s">
        <v>11</v>
      </c>
      <c r="I45" s="53">
        <f t="shared" si="0"/>
        <v>2.9555383766963916</v>
      </c>
      <c r="J45" s="14">
        <v>15.4</v>
      </c>
      <c r="K45" s="44" t="s">
        <v>422</v>
      </c>
      <c r="L45" s="26">
        <v>1.54E-2</v>
      </c>
      <c r="M45" s="7">
        <v>10</v>
      </c>
    </row>
    <row r="46" spans="1:13" s="13" customFormat="1" ht="12.75" customHeight="1">
      <c r="A46" s="95" t="s">
        <v>307</v>
      </c>
      <c r="B46" s="10" t="s">
        <v>318</v>
      </c>
      <c r="C46" s="34" t="s">
        <v>301</v>
      </c>
      <c r="D46" s="96">
        <v>25</v>
      </c>
      <c r="E46" s="7">
        <v>70</v>
      </c>
      <c r="F46" s="7" t="s">
        <v>148</v>
      </c>
      <c r="G46" s="26">
        <v>34.444788935440691</v>
      </c>
      <c r="H46" s="20" t="s">
        <v>11</v>
      </c>
      <c r="I46" s="53">
        <f t="shared" si="0"/>
        <v>4.036382983116316</v>
      </c>
      <c r="J46" s="14" t="s">
        <v>308</v>
      </c>
      <c r="K46" s="44" t="s">
        <v>423</v>
      </c>
      <c r="L46" s="26">
        <v>0.25040754924726599</v>
      </c>
      <c r="M46" s="7">
        <v>13</v>
      </c>
    </row>
    <row r="47" spans="1:13" s="13" customFormat="1" ht="12.75" customHeight="1">
      <c r="A47" s="95" t="s">
        <v>307</v>
      </c>
      <c r="B47" s="10" t="s">
        <v>318</v>
      </c>
      <c r="C47" s="33" t="s">
        <v>324</v>
      </c>
      <c r="D47" s="35">
        <v>25</v>
      </c>
      <c r="E47" s="6">
        <v>60</v>
      </c>
      <c r="F47" s="6" t="s">
        <v>148</v>
      </c>
      <c r="G47" s="26">
        <v>16.766655835318819</v>
      </c>
      <c r="H47" s="20" t="s">
        <v>11</v>
      </c>
      <c r="I47" s="53">
        <f t="shared" si="0"/>
        <v>3.1752439443460143</v>
      </c>
      <c r="J47" s="14" t="s">
        <v>309</v>
      </c>
      <c r="K47" s="44" t="s">
        <v>423</v>
      </c>
      <c r="L47" s="26">
        <v>1.4024392870878803</v>
      </c>
      <c r="M47" s="7">
        <v>13</v>
      </c>
    </row>
    <row r="48" spans="1:13" s="13" customFormat="1" ht="12.75" customHeight="1">
      <c r="A48" s="95" t="s">
        <v>307</v>
      </c>
      <c r="B48" s="10" t="s">
        <v>318</v>
      </c>
      <c r="C48" s="33" t="s">
        <v>380</v>
      </c>
      <c r="D48" s="35">
        <v>25</v>
      </c>
      <c r="E48" s="6">
        <v>40</v>
      </c>
      <c r="F48" s="6" t="s">
        <v>148</v>
      </c>
      <c r="G48" s="26">
        <v>9.3134499901761316</v>
      </c>
      <c r="H48" s="20" t="s">
        <v>11</v>
      </c>
      <c r="I48" s="53">
        <f t="shared" si="0"/>
        <v>2.6101992066851434</v>
      </c>
      <c r="J48" s="14" t="s">
        <v>310</v>
      </c>
      <c r="K48" s="44" t="s">
        <v>423</v>
      </c>
      <c r="L48" s="26">
        <v>1.0255750172766738</v>
      </c>
      <c r="M48" s="7">
        <v>13</v>
      </c>
    </row>
    <row r="49" spans="1:13" s="13" customFormat="1" ht="12.75" customHeight="1">
      <c r="A49" s="95" t="s">
        <v>307</v>
      </c>
      <c r="B49" s="10" t="s">
        <v>318</v>
      </c>
      <c r="C49" s="106" t="s">
        <v>304</v>
      </c>
      <c r="D49" s="97">
        <v>15</v>
      </c>
      <c r="E49" s="98">
        <v>0.2</v>
      </c>
      <c r="F49" s="22" t="s">
        <v>22</v>
      </c>
      <c r="G49" s="15">
        <v>0.15760098370523531</v>
      </c>
      <c r="H49" s="20" t="s">
        <v>11</v>
      </c>
      <c r="I49" s="53">
        <f t="shared" si="0"/>
        <v>0.67021706880064047</v>
      </c>
      <c r="J49" s="14" t="s">
        <v>314</v>
      </c>
      <c r="K49" s="44" t="s">
        <v>426</v>
      </c>
      <c r="L49" s="26">
        <v>5.5799999999999999E-3</v>
      </c>
      <c r="M49" s="7">
        <v>26</v>
      </c>
    </row>
    <row r="50" spans="1:13" s="13" customFormat="1" ht="12.75" customHeight="1">
      <c r="A50" s="13" t="s">
        <v>37</v>
      </c>
      <c r="B50" s="13" t="s">
        <v>15</v>
      </c>
      <c r="C50" s="29" t="s">
        <v>70</v>
      </c>
      <c r="D50" s="7">
        <v>-0.8</v>
      </c>
      <c r="E50" s="15">
        <v>137.93</v>
      </c>
      <c r="F50" s="7" t="s">
        <v>13</v>
      </c>
      <c r="G50" s="15">
        <v>0.49299999999999999</v>
      </c>
      <c r="H50" s="20" t="s">
        <v>89</v>
      </c>
      <c r="I50" s="53">
        <f t="shared" si="0"/>
        <v>0.98015548122453566</v>
      </c>
      <c r="J50" s="15">
        <v>42.8</v>
      </c>
      <c r="K50" s="6" t="s">
        <v>92</v>
      </c>
      <c r="L50" s="26">
        <v>4.2799999999999998E-2</v>
      </c>
      <c r="M50" s="7">
        <v>10</v>
      </c>
    </row>
    <row r="51" spans="1:13" s="13" customFormat="1" ht="12.75" customHeight="1">
      <c r="A51" s="13" t="s">
        <v>69</v>
      </c>
      <c r="B51" s="13" t="s">
        <v>16</v>
      </c>
      <c r="C51" s="29" t="s">
        <v>73</v>
      </c>
      <c r="D51" s="7">
        <v>-0.8</v>
      </c>
      <c r="E51" s="15">
        <v>105.3</v>
      </c>
      <c r="F51" s="7" t="s">
        <v>13</v>
      </c>
      <c r="G51" s="15">
        <v>0.376</v>
      </c>
      <c r="H51" s="20" t="s">
        <v>89</v>
      </c>
      <c r="I51" s="53">
        <f t="shared" si="0"/>
        <v>0.89552807049079486</v>
      </c>
      <c r="J51" s="15">
        <v>22.33</v>
      </c>
      <c r="K51" s="6" t="s">
        <v>92</v>
      </c>
      <c r="L51" s="26">
        <v>2.2329999999999999E-2</v>
      </c>
      <c r="M51" s="7">
        <v>10</v>
      </c>
    </row>
    <row r="52" spans="1:13" s="13" customFormat="1" ht="12.75" customHeight="1">
      <c r="A52" s="13" t="s">
        <v>69</v>
      </c>
      <c r="B52" s="13" t="s">
        <v>16</v>
      </c>
      <c r="C52" s="29" t="s">
        <v>71</v>
      </c>
      <c r="D52" s="7">
        <v>-1</v>
      </c>
      <c r="E52" s="15">
        <v>13.12</v>
      </c>
      <c r="F52" s="7" t="s">
        <v>13</v>
      </c>
      <c r="G52" s="15">
        <v>4.6899999999999997E-2</v>
      </c>
      <c r="H52" s="20" t="s">
        <v>89</v>
      </c>
      <c r="I52" s="53">
        <f t="shared" ref="I52:I101" si="1">((G52/(4/3*3.142))^0.3333)*2</f>
        <v>0.4474772940662714</v>
      </c>
      <c r="J52" s="15">
        <v>5.56</v>
      </c>
      <c r="K52" s="6" t="s">
        <v>92</v>
      </c>
      <c r="L52" s="26">
        <v>5.5599999999999998E-3</v>
      </c>
      <c r="M52" s="7">
        <v>10</v>
      </c>
    </row>
    <row r="53" spans="1:13" s="13" customFormat="1" ht="12.75" customHeight="1">
      <c r="A53" s="13" t="s">
        <v>69</v>
      </c>
      <c r="B53" s="13" t="s">
        <v>16</v>
      </c>
      <c r="C53" s="29" t="s">
        <v>72</v>
      </c>
      <c r="D53" s="7">
        <v>-1.1000000000000001</v>
      </c>
      <c r="E53" s="15">
        <v>12.14</v>
      </c>
      <c r="F53" s="7" t="s">
        <v>13</v>
      </c>
      <c r="G53" s="15">
        <v>4.3400000000000001E-2</v>
      </c>
      <c r="H53" s="20" t="s">
        <v>89</v>
      </c>
      <c r="I53" s="53">
        <f t="shared" si="1"/>
        <v>0.43605816368697309</v>
      </c>
      <c r="J53" s="15">
        <v>6.07</v>
      </c>
      <c r="K53" s="6" t="s">
        <v>92</v>
      </c>
      <c r="L53" s="26">
        <v>6.0699999999999999E-3</v>
      </c>
      <c r="M53" s="7">
        <v>10</v>
      </c>
    </row>
    <row r="54" spans="1:13" s="13" customFormat="1" ht="12.75" customHeight="1">
      <c r="A54" s="13" t="s">
        <v>69</v>
      </c>
      <c r="B54" s="13" t="s">
        <v>159</v>
      </c>
      <c r="C54" s="29" t="s">
        <v>387</v>
      </c>
      <c r="D54" s="7">
        <v>7.3</v>
      </c>
      <c r="E54" s="15">
        <v>0.78500000000000003</v>
      </c>
      <c r="F54" s="7" t="s">
        <v>13</v>
      </c>
      <c r="G54" s="15">
        <f>E54/1000*0.45/0.12</f>
        <v>2.9437500000000002E-3</v>
      </c>
      <c r="H54" s="20" t="s">
        <v>89</v>
      </c>
      <c r="I54" s="53">
        <f t="shared" si="1"/>
        <v>0.17784996041174134</v>
      </c>
      <c r="J54" s="15">
        <v>0.68</v>
      </c>
      <c r="K54" s="6" t="s">
        <v>92</v>
      </c>
      <c r="L54" s="26">
        <f>J54/1000</f>
        <v>6.8000000000000005E-4</v>
      </c>
      <c r="M54" s="7">
        <v>27</v>
      </c>
    </row>
    <row r="55" spans="1:13" s="13" customFormat="1" ht="12.75" customHeight="1">
      <c r="A55" s="13" t="s">
        <v>69</v>
      </c>
      <c r="B55" s="13" t="s">
        <v>159</v>
      </c>
      <c r="C55" s="29" t="s">
        <v>120</v>
      </c>
      <c r="D55" s="7">
        <v>-1</v>
      </c>
      <c r="E55" s="15">
        <v>1.0429999999999999</v>
      </c>
      <c r="F55" s="7" t="s">
        <v>13</v>
      </c>
      <c r="G55" s="15">
        <f t="shared" ref="G55:G74" si="2">E55/1000*0.45/0.12</f>
        <v>3.9112499999999998E-3</v>
      </c>
      <c r="H55" s="20" t="s">
        <v>394</v>
      </c>
      <c r="I55" s="53">
        <f t="shared" si="1"/>
        <v>0.19551850880056537</v>
      </c>
      <c r="J55" s="15">
        <v>1.179</v>
      </c>
      <c r="K55" s="7" t="s">
        <v>92</v>
      </c>
      <c r="L55" s="26">
        <f t="shared" ref="L55:L74" si="3">J55/1000</f>
        <v>1.1790000000000001E-3</v>
      </c>
      <c r="M55" s="7">
        <v>27</v>
      </c>
    </row>
    <row r="56" spans="1:13" s="13" customFormat="1" ht="12.75" customHeight="1">
      <c r="A56" s="13" t="s">
        <v>69</v>
      </c>
      <c r="B56" s="13" t="s">
        <v>159</v>
      </c>
      <c r="C56" s="29" t="s">
        <v>409</v>
      </c>
      <c r="D56" s="7">
        <v>-0.2</v>
      </c>
      <c r="E56" s="15">
        <v>0.39400000000000002</v>
      </c>
      <c r="F56" s="7" t="s">
        <v>13</v>
      </c>
      <c r="G56" s="15">
        <f t="shared" si="2"/>
        <v>1.4775000000000003E-3</v>
      </c>
      <c r="H56" s="20" t="s">
        <v>394</v>
      </c>
      <c r="I56" s="53">
        <f t="shared" si="1"/>
        <v>0.1413424473897652</v>
      </c>
      <c r="J56" s="15">
        <v>0.21099999999999999</v>
      </c>
      <c r="K56" s="6" t="s">
        <v>393</v>
      </c>
      <c r="L56" s="26">
        <f t="shared" si="3"/>
        <v>2.1100000000000001E-4</v>
      </c>
      <c r="M56" s="7">
        <v>27</v>
      </c>
    </row>
    <row r="57" spans="1:13" s="13" customFormat="1" ht="12.75" customHeight="1">
      <c r="A57" s="13" t="s">
        <v>69</v>
      </c>
      <c r="B57" s="13" t="s">
        <v>159</v>
      </c>
      <c r="C57" s="29" t="s">
        <v>119</v>
      </c>
      <c r="D57" s="7">
        <v>-1.4</v>
      </c>
      <c r="E57" s="15">
        <v>0.26500000000000001</v>
      </c>
      <c r="F57" s="7" t="s">
        <v>13</v>
      </c>
      <c r="G57" s="15">
        <f t="shared" si="2"/>
        <v>9.9375000000000006E-4</v>
      </c>
      <c r="H57" s="20" t="s">
        <v>394</v>
      </c>
      <c r="I57" s="53">
        <f t="shared" si="1"/>
        <v>0.12384017756487005</v>
      </c>
      <c r="J57" s="15">
        <v>0.32</v>
      </c>
      <c r="K57" s="7" t="s">
        <v>393</v>
      </c>
      <c r="L57" s="26">
        <f t="shared" si="3"/>
        <v>3.2000000000000003E-4</v>
      </c>
      <c r="M57" s="7">
        <v>27</v>
      </c>
    </row>
    <row r="58" spans="1:13" s="13" customFormat="1" ht="12.75" customHeight="1">
      <c r="A58" s="13" t="s">
        <v>69</v>
      </c>
      <c r="B58" s="13" t="s">
        <v>159</v>
      </c>
      <c r="C58" s="29" t="s">
        <v>161</v>
      </c>
      <c r="D58" s="7">
        <v>0.1</v>
      </c>
      <c r="E58" s="15">
        <v>0.38700000000000001</v>
      </c>
      <c r="F58" s="7" t="s">
        <v>13</v>
      </c>
      <c r="G58" s="15">
        <f t="shared" si="2"/>
        <v>1.4512500000000001E-3</v>
      </c>
      <c r="H58" s="20" t="s">
        <v>394</v>
      </c>
      <c r="I58" s="53">
        <f t="shared" si="1"/>
        <v>0.1405004712486175</v>
      </c>
      <c r="J58" s="15">
        <v>0.32800000000000001</v>
      </c>
      <c r="K58" s="6" t="s">
        <v>393</v>
      </c>
      <c r="L58" s="26">
        <f t="shared" si="3"/>
        <v>3.28E-4</v>
      </c>
      <c r="M58" s="7">
        <v>27</v>
      </c>
    </row>
    <row r="59" spans="1:13" s="13" customFormat="1" ht="12.75" customHeight="1">
      <c r="A59" s="13" t="s">
        <v>69</v>
      </c>
      <c r="B59" s="13" t="s">
        <v>159</v>
      </c>
      <c r="C59" s="29" t="s">
        <v>410</v>
      </c>
      <c r="D59" s="7">
        <v>2.2999999999999998</v>
      </c>
      <c r="E59" s="15">
        <v>0.47399999999999998</v>
      </c>
      <c r="F59" s="7" t="s">
        <v>13</v>
      </c>
      <c r="G59" s="15">
        <f t="shared" si="2"/>
        <v>1.7775E-3</v>
      </c>
      <c r="H59" s="20" t="s">
        <v>394</v>
      </c>
      <c r="I59" s="53">
        <f t="shared" si="1"/>
        <v>0.150324800978757</v>
      </c>
      <c r="J59" s="15">
        <v>0.61599999999999999</v>
      </c>
      <c r="K59" s="7" t="s">
        <v>393</v>
      </c>
      <c r="L59" s="26">
        <f t="shared" si="3"/>
        <v>6.1600000000000001E-4</v>
      </c>
      <c r="M59" s="7">
        <v>27</v>
      </c>
    </row>
    <row r="60" spans="1:13" s="13" customFormat="1" ht="12.75" customHeight="1">
      <c r="A60" s="13" t="s">
        <v>69</v>
      </c>
      <c r="B60" s="13" t="s">
        <v>159</v>
      </c>
      <c r="C60" s="29" t="s">
        <v>411</v>
      </c>
      <c r="D60" s="7">
        <v>0.1</v>
      </c>
      <c r="E60" s="15">
        <v>0.35299999999999998</v>
      </c>
      <c r="F60" s="7" t="s">
        <v>13</v>
      </c>
      <c r="G60" s="15">
        <f t="shared" si="2"/>
        <v>1.3237499999999998E-3</v>
      </c>
      <c r="H60" s="20" t="s">
        <v>394</v>
      </c>
      <c r="I60" s="53">
        <f t="shared" si="1"/>
        <v>0.13625957360148364</v>
      </c>
      <c r="J60" s="15">
        <v>0.41060000000000002</v>
      </c>
      <c r="K60" s="6" t="s">
        <v>393</v>
      </c>
      <c r="L60" s="26">
        <f t="shared" si="3"/>
        <v>4.1060000000000001E-4</v>
      </c>
      <c r="M60" s="7">
        <v>27</v>
      </c>
    </row>
    <row r="61" spans="1:13" s="13" customFormat="1" ht="12.75" customHeight="1">
      <c r="A61" s="13" t="s">
        <v>69</v>
      </c>
      <c r="B61" s="13" t="s">
        <v>159</v>
      </c>
      <c r="C61" s="29" t="s">
        <v>387</v>
      </c>
      <c r="D61" s="7">
        <v>7.3</v>
      </c>
      <c r="E61" s="15">
        <v>0.78500000000000003</v>
      </c>
      <c r="F61" s="7" t="s">
        <v>13</v>
      </c>
      <c r="G61" s="15">
        <f t="shared" si="2"/>
        <v>2.9437500000000002E-3</v>
      </c>
      <c r="H61" s="20" t="s">
        <v>394</v>
      </c>
      <c r="I61" s="53">
        <f t="shared" si="1"/>
        <v>0.17784996041174134</v>
      </c>
      <c r="J61" s="15">
        <v>0.68</v>
      </c>
      <c r="K61" s="7" t="s">
        <v>393</v>
      </c>
      <c r="L61" s="26">
        <f t="shared" si="3"/>
        <v>6.8000000000000005E-4</v>
      </c>
      <c r="M61" s="7">
        <v>27</v>
      </c>
    </row>
    <row r="62" spans="1:13" s="13" customFormat="1" ht="12.75" customHeight="1">
      <c r="A62" s="13" t="s">
        <v>69</v>
      </c>
      <c r="B62" s="13" t="s">
        <v>159</v>
      </c>
      <c r="C62" s="29" t="s">
        <v>412</v>
      </c>
      <c r="D62" s="7">
        <v>8.1999999999999993</v>
      </c>
      <c r="E62" s="15">
        <v>0.14799999999999999</v>
      </c>
      <c r="F62" s="7" t="s">
        <v>13</v>
      </c>
      <c r="G62" s="15">
        <f t="shared" si="2"/>
        <v>5.5499999999999994E-4</v>
      </c>
      <c r="H62" s="20" t="s">
        <v>394</v>
      </c>
      <c r="I62" s="53">
        <f t="shared" si="1"/>
        <v>0.10198632579965412</v>
      </c>
      <c r="J62" s="15">
        <v>0.38200000000000001</v>
      </c>
      <c r="K62" s="6" t="s">
        <v>393</v>
      </c>
      <c r="L62" s="26">
        <f t="shared" si="3"/>
        <v>3.8200000000000002E-4</v>
      </c>
      <c r="M62" s="7">
        <v>27</v>
      </c>
    </row>
    <row r="63" spans="1:13" s="13" customFormat="1" ht="12.75" customHeight="1">
      <c r="A63" s="13" t="s">
        <v>69</v>
      </c>
      <c r="B63" s="13" t="s">
        <v>159</v>
      </c>
      <c r="C63" s="29" t="s">
        <v>390</v>
      </c>
      <c r="D63" s="7">
        <v>19.7</v>
      </c>
      <c r="E63" s="15">
        <v>0.5</v>
      </c>
      <c r="F63" s="7" t="s">
        <v>13</v>
      </c>
      <c r="G63" s="15">
        <f t="shared" si="2"/>
        <v>1.8750000000000001E-3</v>
      </c>
      <c r="H63" s="20" t="s">
        <v>394</v>
      </c>
      <c r="I63" s="53">
        <f t="shared" si="1"/>
        <v>0.15302430605324768</v>
      </c>
      <c r="J63" s="15">
        <v>1.64</v>
      </c>
      <c r="K63" s="7" t="s">
        <v>393</v>
      </c>
      <c r="L63" s="26">
        <f t="shared" si="3"/>
        <v>1.64E-3</v>
      </c>
      <c r="M63" s="7">
        <v>27</v>
      </c>
    </row>
    <row r="64" spans="1:13" s="13" customFormat="1" ht="12.75" customHeight="1">
      <c r="A64" s="13" t="s">
        <v>69</v>
      </c>
      <c r="B64" s="13" t="s">
        <v>159</v>
      </c>
      <c r="C64" s="29" t="s">
        <v>413</v>
      </c>
      <c r="D64" s="7">
        <v>24</v>
      </c>
      <c r="E64" s="15">
        <v>0.29099999999999998</v>
      </c>
      <c r="F64" s="7" t="s">
        <v>13</v>
      </c>
      <c r="G64" s="15">
        <f t="shared" si="2"/>
        <v>1.09125E-3</v>
      </c>
      <c r="H64" s="20" t="s">
        <v>394</v>
      </c>
      <c r="I64" s="53">
        <f t="shared" si="1"/>
        <v>0.12776422045592783</v>
      </c>
      <c r="J64" s="15">
        <v>1.3380000000000001</v>
      </c>
      <c r="K64" s="6" t="s">
        <v>393</v>
      </c>
      <c r="L64" s="26">
        <f t="shared" si="3"/>
        <v>1.338E-3</v>
      </c>
      <c r="M64" s="7">
        <v>27</v>
      </c>
    </row>
    <row r="65" spans="1:13" s="13" customFormat="1" ht="12.75" customHeight="1">
      <c r="A65" s="13" t="s">
        <v>69</v>
      </c>
      <c r="B65" s="13" t="s">
        <v>159</v>
      </c>
      <c r="C65" s="29" t="s">
        <v>414</v>
      </c>
      <c r="D65" s="7">
        <v>27.6</v>
      </c>
      <c r="E65" s="15">
        <v>0.16700000000000001</v>
      </c>
      <c r="F65" s="7" t="s">
        <v>13</v>
      </c>
      <c r="G65" s="15">
        <f t="shared" si="2"/>
        <v>6.2625000000000007E-4</v>
      </c>
      <c r="H65" s="20" t="s">
        <v>394</v>
      </c>
      <c r="I65" s="53">
        <f t="shared" si="1"/>
        <v>0.10617569588843541</v>
      </c>
      <c r="J65" s="15">
        <v>1.399</v>
      </c>
      <c r="K65" s="7" t="s">
        <v>393</v>
      </c>
      <c r="L65" s="26">
        <f t="shared" si="3"/>
        <v>1.3990000000000001E-3</v>
      </c>
      <c r="M65" s="7">
        <v>27</v>
      </c>
    </row>
    <row r="66" spans="1:13" s="13" customFormat="1" ht="12.75" customHeight="1">
      <c r="A66" s="13" t="s">
        <v>69</v>
      </c>
      <c r="B66" s="13" t="s">
        <v>159</v>
      </c>
      <c r="C66" s="29" t="s">
        <v>415</v>
      </c>
      <c r="D66" s="7">
        <v>24</v>
      </c>
      <c r="E66" s="15">
        <v>0.104</v>
      </c>
      <c r="F66" s="7" t="s">
        <v>13</v>
      </c>
      <c r="G66" s="15">
        <f t="shared" si="2"/>
        <v>3.8999999999999999E-4</v>
      </c>
      <c r="H66" s="20" t="s">
        <v>394</v>
      </c>
      <c r="I66" s="53">
        <f t="shared" si="1"/>
        <v>9.0671526686195325E-2</v>
      </c>
      <c r="J66" s="15">
        <v>0.65500000000000003</v>
      </c>
      <c r="K66" s="6" t="s">
        <v>393</v>
      </c>
      <c r="L66" s="26">
        <f t="shared" si="3"/>
        <v>6.5499999999999998E-4</v>
      </c>
      <c r="M66" s="7">
        <v>27</v>
      </c>
    </row>
    <row r="67" spans="1:13" s="13" customFormat="1" ht="12.75" customHeight="1">
      <c r="A67" s="13" t="s">
        <v>69</v>
      </c>
      <c r="B67" s="13" t="s">
        <v>159</v>
      </c>
      <c r="C67" s="29" t="s">
        <v>416</v>
      </c>
      <c r="D67" s="7">
        <v>27.4</v>
      </c>
      <c r="E67" s="15">
        <v>0.13700000000000001</v>
      </c>
      <c r="F67" s="7" t="s">
        <v>13</v>
      </c>
      <c r="G67" s="15">
        <f t="shared" si="2"/>
        <v>5.137500000000001E-4</v>
      </c>
      <c r="H67" s="20" t="s">
        <v>394</v>
      </c>
      <c r="I67" s="53">
        <f t="shared" si="1"/>
        <v>9.9394575053098094E-2</v>
      </c>
      <c r="J67" s="15">
        <v>0.90500000000000003</v>
      </c>
      <c r="K67" s="7" t="s">
        <v>393</v>
      </c>
      <c r="L67" s="26">
        <f t="shared" si="3"/>
        <v>9.0499999999999999E-4</v>
      </c>
      <c r="M67" s="7">
        <v>27</v>
      </c>
    </row>
    <row r="68" spans="1:13" s="13" customFormat="1" ht="12.75" customHeight="1">
      <c r="A68" s="13" t="s">
        <v>69</v>
      </c>
      <c r="B68" s="13" t="s">
        <v>159</v>
      </c>
      <c r="C68" s="29" t="s">
        <v>417</v>
      </c>
      <c r="D68" s="7">
        <v>24</v>
      </c>
      <c r="E68" s="15">
        <v>0.23300000000000001</v>
      </c>
      <c r="F68" s="7" t="s">
        <v>13</v>
      </c>
      <c r="G68" s="15">
        <f t="shared" si="2"/>
        <v>8.7375000000000018E-4</v>
      </c>
      <c r="H68" s="20" t="s">
        <v>394</v>
      </c>
      <c r="I68" s="53">
        <f t="shared" si="1"/>
        <v>0.11864063014709582</v>
      </c>
      <c r="J68" s="15">
        <v>1.89</v>
      </c>
      <c r="K68" s="6" t="s">
        <v>393</v>
      </c>
      <c r="L68" s="26">
        <f t="shared" si="3"/>
        <v>1.89E-3</v>
      </c>
      <c r="M68" s="7">
        <v>27</v>
      </c>
    </row>
    <row r="69" spans="1:13" s="13" customFormat="1" ht="12.75" customHeight="1">
      <c r="A69" s="13" t="s">
        <v>69</v>
      </c>
      <c r="B69" s="13" t="s">
        <v>159</v>
      </c>
      <c r="C69" s="29" t="s">
        <v>418</v>
      </c>
      <c r="D69" s="7">
        <v>26.4</v>
      </c>
      <c r="E69" s="15">
        <v>0.221</v>
      </c>
      <c r="F69" s="7" t="s">
        <v>13</v>
      </c>
      <c r="G69" s="15">
        <f t="shared" si="2"/>
        <v>8.2875000000000006E-4</v>
      </c>
      <c r="H69" s="20" t="s">
        <v>394</v>
      </c>
      <c r="I69" s="53">
        <f t="shared" si="1"/>
        <v>0.11656808478790469</v>
      </c>
      <c r="J69" s="15">
        <v>1.5149999999999999</v>
      </c>
      <c r="K69" s="7" t="s">
        <v>393</v>
      </c>
      <c r="L69" s="26">
        <f t="shared" si="3"/>
        <v>1.5149999999999999E-3</v>
      </c>
      <c r="M69" s="7">
        <v>27</v>
      </c>
    </row>
    <row r="70" spans="1:13" s="13" customFormat="1" ht="12.75" customHeight="1">
      <c r="A70" s="13" t="s">
        <v>69</v>
      </c>
      <c r="B70" s="13" t="s">
        <v>159</v>
      </c>
      <c r="C70" s="29" t="s">
        <v>419</v>
      </c>
      <c r="D70" s="7">
        <v>26.4</v>
      </c>
      <c r="E70" s="15">
        <v>0.7</v>
      </c>
      <c r="F70" s="7" t="s">
        <v>13</v>
      </c>
      <c r="G70" s="15">
        <f t="shared" si="2"/>
        <v>2.6250000000000002E-3</v>
      </c>
      <c r="H70" s="20" t="s">
        <v>394</v>
      </c>
      <c r="I70" s="53">
        <f t="shared" si="1"/>
        <v>0.17118467907761911</v>
      </c>
      <c r="J70" s="15">
        <v>3.43</v>
      </c>
      <c r="K70" s="6" t="s">
        <v>393</v>
      </c>
      <c r="L70" s="26">
        <f t="shared" si="3"/>
        <v>3.4300000000000003E-3</v>
      </c>
      <c r="M70" s="7">
        <v>27</v>
      </c>
    </row>
    <row r="71" spans="1:13" s="13" customFormat="1" ht="12.75" customHeight="1">
      <c r="A71" s="13" t="s">
        <v>69</v>
      </c>
      <c r="B71" s="13" t="s">
        <v>159</v>
      </c>
      <c r="C71" s="29" t="s">
        <v>391</v>
      </c>
      <c r="D71" s="7">
        <v>-1.7</v>
      </c>
      <c r="E71" s="15">
        <v>1.08</v>
      </c>
      <c r="F71" s="7" t="s">
        <v>13</v>
      </c>
      <c r="G71" s="15">
        <f t="shared" si="2"/>
        <v>4.0499999999999998E-3</v>
      </c>
      <c r="H71" s="20" t="s">
        <v>394</v>
      </c>
      <c r="I71" s="53">
        <f t="shared" si="1"/>
        <v>0.1978034462936549</v>
      </c>
      <c r="J71" s="15">
        <v>0.438</v>
      </c>
      <c r="K71" s="7" t="s">
        <v>393</v>
      </c>
      <c r="L71" s="26">
        <f t="shared" si="3"/>
        <v>4.3800000000000002E-4</v>
      </c>
      <c r="M71" s="7">
        <v>27</v>
      </c>
    </row>
    <row r="72" spans="1:13" s="13" customFormat="1" ht="12.75" customHeight="1">
      <c r="A72" s="13" t="s">
        <v>69</v>
      </c>
      <c r="B72" s="13" t="s">
        <v>159</v>
      </c>
      <c r="C72" s="29" t="s">
        <v>392</v>
      </c>
      <c r="D72" s="7">
        <v>1.3</v>
      </c>
      <c r="E72" s="15">
        <v>3.95</v>
      </c>
      <c r="F72" s="7" t="s">
        <v>13</v>
      </c>
      <c r="G72" s="15">
        <f t="shared" si="2"/>
        <v>1.4812500000000003E-2</v>
      </c>
      <c r="H72" s="20" t="s">
        <v>394</v>
      </c>
      <c r="I72" s="53">
        <f t="shared" si="1"/>
        <v>0.3047470626017767</v>
      </c>
      <c r="J72" s="15">
        <v>1.4850000000000001</v>
      </c>
      <c r="K72" s="7" t="s">
        <v>393</v>
      </c>
      <c r="L72" s="26">
        <f t="shared" si="3"/>
        <v>1.485E-3</v>
      </c>
      <c r="M72" s="7">
        <v>27</v>
      </c>
    </row>
    <row r="73" spans="1:13" s="13" customFormat="1" ht="12.75" customHeight="1">
      <c r="A73" s="13" t="s">
        <v>69</v>
      </c>
      <c r="B73" s="13" t="s">
        <v>159</v>
      </c>
      <c r="C73" s="29" t="s">
        <v>388</v>
      </c>
      <c r="D73" s="7">
        <v>6.3</v>
      </c>
      <c r="E73" s="15">
        <v>1.587</v>
      </c>
      <c r="F73" s="7" t="s">
        <v>13</v>
      </c>
      <c r="G73" s="15">
        <f t="shared" si="2"/>
        <v>5.9512499999999999E-3</v>
      </c>
      <c r="H73" s="20" t="s">
        <v>394</v>
      </c>
      <c r="I73" s="53">
        <f t="shared" si="1"/>
        <v>0.22487750074641472</v>
      </c>
      <c r="J73" s="15">
        <v>1.67</v>
      </c>
      <c r="K73" s="7" t="s">
        <v>393</v>
      </c>
      <c r="L73" s="26">
        <f t="shared" si="3"/>
        <v>1.6699999999999998E-3</v>
      </c>
      <c r="M73" s="7">
        <v>27</v>
      </c>
    </row>
    <row r="74" spans="1:13" s="13" customFormat="1" ht="12.75" customHeight="1">
      <c r="A74" s="13" t="s">
        <v>69</v>
      </c>
      <c r="B74" s="13" t="s">
        <v>159</v>
      </c>
      <c r="C74" s="29" t="s">
        <v>389</v>
      </c>
      <c r="D74" s="7">
        <v>6</v>
      </c>
      <c r="E74" s="15">
        <v>1.01</v>
      </c>
      <c r="F74" s="7" t="s">
        <v>13</v>
      </c>
      <c r="G74" s="15">
        <f t="shared" si="2"/>
        <v>3.7875000000000005E-3</v>
      </c>
      <c r="H74" s="20" t="s">
        <v>394</v>
      </c>
      <c r="I74" s="53">
        <f t="shared" si="1"/>
        <v>0.19343454227488074</v>
      </c>
      <c r="J74" s="15">
        <v>0.79500000000000004</v>
      </c>
      <c r="K74" s="7" t="s">
        <v>393</v>
      </c>
      <c r="L74" s="26">
        <f t="shared" si="3"/>
        <v>7.9500000000000003E-4</v>
      </c>
      <c r="M74" s="7">
        <v>27</v>
      </c>
    </row>
    <row r="75" spans="1:13" s="13" customFormat="1" ht="12.75" customHeight="1">
      <c r="A75" s="13" t="s">
        <v>69</v>
      </c>
      <c r="B75" s="13" t="s">
        <v>23</v>
      </c>
      <c r="C75" s="29" t="s">
        <v>78</v>
      </c>
      <c r="D75" s="7">
        <v>-1.7</v>
      </c>
      <c r="E75" s="15">
        <v>593.9</v>
      </c>
      <c r="F75" s="7" t="s">
        <v>13</v>
      </c>
      <c r="G75" s="15">
        <v>2.12</v>
      </c>
      <c r="H75" s="20" t="s">
        <v>89</v>
      </c>
      <c r="I75" s="53">
        <f t="shared" si="1"/>
        <v>1.5938110635001137</v>
      </c>
      <c r="J75" s="15">
        <v>54.5</v>
      </c>
      <c r="K75" s="7" t="s">
        <v>92</v>
      </c>
      <c r="L75" s="26">
        <v>5.45E-2</v>
      </c>
      <c r="M75" s="7">
        <v>9</v>
      </c>
    </row>
    <row r="76" spans="1:13" s="13" customFormat="1" ht="12.75" customHeight="1">
      <c r="A76" s="13" t="s">
        <v>69</v>
      </c>
      <c r="B76" s="13" t="s">
        <v>17</v>
      </c>
      <c r="C76" s="29" t="s">
        <v>77</v>
      </c>
      <c r="D76" s="7">
        <v>-1.7</v>
      </c>
      <c r="E76" s="15">
        <v>46.93</v>
      </c>
      <c r="F76" s="7" t="s">
        <v>13</v>
      </c>
      <c r="G76" s="15">
        <v>0.16800000000000001</v>
      </c>
      <c r="H76" s="20" t="s">
        <v>89</v>
      </c>
      <c r="I76" s="53">
        <f t="shared" si="1"/>
        <v>0.68464379794774188</v>
      </c>
      <c r="J76" s="15">
        <v>24.9</v>
      </c>
      <c r="K76" s="7" t="s">
        <v>92</v>
      </c>
      <c r="L76" s="26">
        <v>2.4899999999999999E-2</v>
      </c>
      <c r="M76" s="7">
        <v>9</v>
      </c>
    </row>
    <row r="77" spans="1:13" s="13" customFormat="1" ht="12.75" customHeight="1">
      <c r="A77" s="13" t="s">
        <v>69</v>
      </c>
      <c r="B77" s="13" t="s">
        <v>17</v>
      </c>
      <c r="C77" s="29" t="s">
        <v>75</v>
      </c>
      <c r="D77" s="7">
        <v>-1.6</v>
      </c>
      <c r="E77" s="15">
        <v>350.7</v>
      </c>
      <c r="F77" s="7" t="s">
        <v>13</v>
      </c>
      <c r="G77" s="15">
        <v>1.25</v>
      </c>
      <c r="H77" s="20" t="s">
        <v>89</v>
      </c>
      <c r="I77" s="53">
        <f t="shared" si="1"/>
        <v>1.3365007353979326</v>
      </c>
      <c r="J77" s="15">
        <v>119</v>
      </c>
      <c r="K77" s="6" t="s">
        <v>92</v>
      </c>
      <c r="L77" s="26">
        <v>0.11899999999999999</v>
      </c>
      <c r="M77" s="7">
        <v>9</v>
      </c>
    </row>
    <row r="78" spans="1:13" s="13" customFormat="1" ht="12.75" customHeight="1">
      <c r="A78" s="13" t="s">
        <v>69</v>
      </c>
      <c r="B78" s="13" t="s">
        <v>17</v>
      </c>
      <c r="C78" s="29" t="s">
        <v>75</v>
      </c>
      <c r="D78" s="7">
        <v>-1</v>
      </c>
      <c r="E78" s="15">
        <v>353.78</v>
      </c>
      <c r="F78" s="7" t="s">
        <v>13</v>
      </c>
      <c r="G78" s="15">
        <v>1.26</v>
      </c>
      <c r="H78" s="20" t="s">
        <v>89</v>
      </c>
      <c r="I78" s="53">
        <f t="shared" si="1"/>
        <v>1.3400549194436089</v>
      </c>
      <c r="J78" s="15">
        <v>123.57</v>
      </c>
      <c r="K78" s="6" t="s">
        <v>92</v>
      </c>
      <c r="L78" s="26">
        <v>0.12357</v>
      </c>
      <c r="M78" s="7">
        <v>10</v>
      </c>
    </row>
    <row r="79" spans="1:13" s="13" customFormat="1" ht="12.75" customHeight="1">
      <c r="A79" s="13" t="s">
        <v>69</v>
      </c>
      <c r="B79" s="13" t="s">
        <v>17</v>
      </c>
      <c r="C79" s="29" t="s">
        <v>74</v>
      </c>
      <c r="D79" s="7">
        <v>-0.8</v>
      </c>
      <c r="E79" s="15">
        <v>22.97</v>
      </c>
      <c r="F79" s="7" t="s">
        <v>13</v>
      </c>
      <c r="G79" s="15">
        <v>8.2000000000000003E-2</v>
      </c>
      <c r="H79" s="20" t="s">
        <v>89</v>
      </c>
      <c r="I79" s="53">
        <f t="shared" si="1"/>
        <v>0.53906762712117107</v>
      </c>
      <c r="J79" s="15">
        <v>8.35</v>
      </c>
      <c r="K79" s="6" t="s">
        <v>92</v>
      </c>
      <c r="L79" s="26">
        <v>8.3499999999999998E-3</v>
      </c>
      <c r="M79" s="7">
        <v>10</v>
      </c>
    </row>
    <row r="80" spans="1:13" s="13" customFormat="1" ht="12.75" customHeight="1">
      <c r="A80" s="13" t="s">
        <v>69</v>
      </c>
      <c r="B80" s="13" t="s">
        <v>17</v>
      </c>
      <c r="C80" s="29" t="s">
        <v>80</v>
      </c>
      <c r="D80" s="7">
        <v>1.9</v>
      </c>
      <c r="E80" s="15">
        <v>34.78</v>
      </c>
      <c r="F80" s="7" t="s">
        <v>13</v>
      </c>
      <c r="G80" s="15">
        <v>0.124</v>
      </c>
      <c r="H80" s="20" t="s">
        <v>89</v>
      </c>
      <c r="I80" s="53">
        <f t="shared" si="1"/>
        <v>0.61873764839814349</v>
      </c>
      <c r="J80" s="15">
        <v>13.77</v>
      </c>
      <c r="K80" s="6" t="s">
        <v>92</v>
      </c>
      <c r="L80" s="26">
        <v>1.3769999999999999E-2</v>
      </c>
      <c r="M80" s="7">
        <v>16</v>
      </c>
    </row>
    <row r="81" spans="1:13" s="13" customFormat="1" ht="12.75" customHeight="1">
      <c r="A81" s="13" t="s">
        <v>69</v>
      </c>
      <c r="B81" s="13" t="s">
        <v>33</v>
      </c>
      <c r="C81" s="29" t="s">
        <v>76</v>
      </c>
      <c r="D81" s="7">
        <v>-1.6</v>
      </c>
      <c r="E81" s="15">
        <v>170.5</v>
      </c>
      <c r="F81" s="7" t="s">
        <v>13</v>
      </c>
      <c r="G81" s="15">
        <v>0.60899999999999999</v>
      </c>
      <c r="H81" s="20" t="s">
        <v>89</v>
      </c>
      <c r="I81" s="53">
        <f t="shared" si="1"/>
        <v>1.0516761821930596</v>
      </c>
      <c r="J81" s="15">
        <v>29.4</v>
      </c>
      <c r="K81" s="6" t="s">
        <v>92</v>
      </c>
      <c r="L81" s="26">
        <v>2.9399999999999999E-2</v>
      </c>
      <c r="M81" s="7">
        <v>9</v>
      </c>
    </row>
    <row r="82" spans="1:13" s="13" customFormat="1" ht="12.75" customHeight="1">
      <c r="A82" s="13" t="s">
        <v>36</v>
      </c>
      <c r="B82" s="13" t="s">
        <v>32</v>
      </c>
      <c r="C82" s="29" t="s">
        <v>67</v>
      </c>
      <c r="D82" s="7">
        <v>5</v>
      </c>
      <c r="E82" s="15">
        <v>12200</v>
      </c>
      <c r="F82" s="7" t="s">
        <v>5</v>
      </c>
      <c r="G82" s="15">
        <v>6440</v>
      </c>
      <c r="H82" s="20" t="s">
        <v>89</v>
      </c>
      <c r="I82" s="53">
        <f t="shared" si="1"/>
        <v>23.076543254574627</v>
      </c>
      <c r="J82" s="15">
        <v>3.5</v>
      </c>
      <c r="K82" s="20" t="s">
        <v>93</v>
      </c>
      <c r="L82" s="26">
        <v>975</v>
      </c>
      <c r="M82" s="7">
        <v>28</v>
      </c>
    </row>
    <row r="83" spans="1:13" s="13" customFormat="1" ht="12.75" customHeight="1">
      <c r="A83" s="13" t="s">
        <v>36</v>
      </c>
      <c r="B83" s="13" t="s">
        <v>32</v>
      </c>
      <c r="C83" s="29" t="s">
        <v>61</v>
      </c>
      <c r="D83" s="7">
        <v>15</v>
      </c>
      <c r="E83" s="15">
        <v>400</v>
      </c>
      <c r="F83" s="7" t="s">
        <v>5</v>
      </c>
      <c r="G83" s="15">
        <v>211</v>
      </c>
      <c r="H83" s="20" t="s">
        <v>89</v>
      </c>
      <c r="I83" s="53">
        <f t="shared" si="1"/>
        <v>7.3850329452195496</v>
      </c>
      <c r="J83" s="15">
        <v>313</v>
      </c>
      <c r="K83" s="20" t="s">
        <v>96</v>
      </c>
      <c r="L83" s="26">
        <v>125.2</v>
      </c>
      <c r="M83" s="7">
        <v>29</v>
      </c>
    </row>
    <row r="84" spans="1:13" s="13" customFormat="1" ht="12.75" customHeight="1">
      <c r="A84" s="13" t="s">
        <v>36</v>
      </c>
      <c r="B84" s="13" t="s">
        <v>32</v>
      </c>
      <c r="C84" s="29" t="s">
        <v>61</v>
      </c>
      <c r="D84" s="7">
        <v>5</v>
      </c>
      <c r="E84" s="15">
        <v>600</v>
      </c>
      <c r="F84" s="7" t="s">
        <v>5</v>
      </c>
      <c r="G84" s="15">
        <f>E84*0.1479*0.45/0.126</f>
        <v>316.9285714285715</v>
      </c>
      <c r="H84" s="20" t="s">
        <v>89</v>
      </c>
      <c r="I84" s="53">
        <f t="shared" si="1"/>
        <v>8.457451715309416</v>
      </c>
      <c r="J84" s="15">
        <v>4</v>
      </c>
      <c r="K84" s="20" t="s">
        <v>93</v>
      </c>
      <c r="L84" s="15">
        <f>(((J84*G84)*0.0821*(273+D84))/1)/1000</f>
        <v>28.934057314285724</v>
      </c>
      <c r="M84" s="7">
        <v>28</v>
      </c>
    </row>
    <row r="85" spans="1:13" s="13" customFormat="1" ht="12.75" customHeight="1">
      <c r="A85" s="13" t="s">
        <v>36</v>
      </c>
      <c r="B85" s="13" t="s">
        <v>32</v>
      </c>
      <c r="C85" s="29" t="s">
        <v>55</v>
      </c>
      <c r="D85" s="7">
        <v>5</v>
      </c>
      <c r="E85" s="15">
        <v>1004</v>
      </c>
      <c r="F85" s="7" t="s">
        <v>5</v>
      </c>
      <c r="G85" s="15">
        <v>530</v>
      </c>
      <c r="H85" s="20" t="s">
        <v>89</v>
      </c>
      <c r="I85" s="53">
        <f t="shared" si="1"/>
        <v>10.03853279337992</v>
      </c>
      <c r="J85" s="15">
        <v>4.62</v>
      </c>
      <c r="K85" s="20" t="s">
        <v>93</v>
      </c>
      <c r="L85" s="26">
        <v>106</v>
      </c>
      <c r="M85" s="7">
        <v>28</v>
      </c>
    </row>
    <row r="86" spans="1:13" s="13" customFormat="1" ht="12.75" customHeight="1">
      <c r="A86" s="13" t="s">
        <v>36</v>
      </c>
      <c r="B86" s="13" t="s">
        <v>32</v>
      </c>
      <c r="C86" s="29" t="s">
        <v>66</v>
      </c>
      <c r="D86" s="7">
        <v>5</v>
      </c>
      <c r="E86" s="15">
        <v>41</v>
      </c>
      <c r="F86" s="7" t="s">
        <v>5</v>
      </c>
      <c r="G86" s="15">
        <v>21.7</v>
      </c>
      <c r="H86" s="20" t="s">
        <v>89</v>
      </c>
      <c r="I86" s="53">
        <f t="shared" si="1"/>
        <v>3.46027905525552</v>
      </c>
      <c r="J86" s="15">
        <v>5.66</v>
      </c>
      <c r="K86" s="20" t="s">
        <v>93</v>
      </c>
      <c r="L86" s="26">
        <v>5.3</v>
      </c>
      <c r="M86" s="7">
        <v>28</v>
      </c>
    </row>
    <row r="87" spans="1:13" s="13" customFormat="1" ht="12.75" customHeight="1">
      <c r="A87" s="13" t="s">
        <v>36</v>
      </c>
      <c r="B87" s="13" t="s">
        <v>32</v>
      </c>
      <c r="C87" s="29" t="s">
        <v>65</v>
      </c>
      <c r="D87" s="7">
        <v>5</v>
      </c>
      <c r="E87" s="15">
        <v>100</v>
      </c>
      <c r="F87" s="7" t="s">
        <v>5</v>
      </c>
      <c r="G87" s="15">
        <v>52.8</v>
      </c>
      <c r="H87" s="20" t="s">
        <v>89</v>
      </c>
      <c r="I87" s="53">
        <f t="shared" si="1"/>
        <v>4.6539635880356016</v>
      </c>
      <c r="J87" s="15">
        <v>7.7</v>
      </c>
      <c r="K87" s="20" t="s">
        <v>93</v>
      </c>
      <c r="L87" s="26">
        <v>17.600000000000001</v>
      </c>
      <c r="M87" s="7">
        <v>28</v>
      </c>
    </row>
    <row r="88" spans="1:13" s="13" customFormat="1" ht="12.75" customHeight="1">
      <c r="A88" s="13" t="s">
        <v>36</v>
      </c>
      <c r="B88" s="13" t="s">
        <v>32</v>
      </c>
      <c r="C88" s="29" t="s">
        <v>64</v>
      </c>
      <c r="D88" s="7">
        <v>5</v>
      </c>
      <c r="E88" s="15">
        <v>41.1</v>
      </c>
      <c r="F88" s="7" t="s">
        <v>5</v>
      </c>
      <c r="G88" s="15">
        <v>21.7</v>
      </c>
      <c r="H88" s="20" t="s">
        <v>89</v>
      </c>
      <c r="I88" s="53">
        <f t="shared" si="1"/>
        <v>3.46027905525552</v>
      </c>
      <c r="J88" s="15">
        <v>3.86</v>
      </c>
      <c r="K88" s="20" t="s">
        <v>93</v>
      </c>
      <c r="L88" s="26">
        <v>3.62</v>
      </c>
      <c r="M88" s="7">
        <v>28</v>
      </c>
    </row>
    <row r="89" spans="1:13" s="13" customFormat="1" ht="12.75" customHeight="1">
      <c r="A89" s="13" t="s">
        <v>36</v>
      </c>
      <c r="B89" s="13" t="s">
        <v>32</v>
      </c>
      <c r="C89" s="29" t="s">
        <v>64</v>
      </c>
      <c r="D89" s="7">
        <v>5</v>
      </c>
      <c r="E89" s="15">
        <v>40</v>
      </c>
      <c r="F89" s="7" t="s">
        <v>5</v>
      </c>
      <c r="G89" s="15">
        <f>E89*0.1479*0.45/0.126</f>
        <v>21.12857142857143</v>
      </c>
      <c r="H89" s="20" t="s">
        <v>89</v>
      </c>
      <c r="I89" s="53">
        <f t="shared" si="1"/>
        <v>3.4296382204645628</v>
      </c>
      <c r="J89" s="15">
        <v>6.58</v>
      </c>
      <c r="K89" s="20" t="s">
        <v>93</v>
      </c>
      <c r="L89" s="15">
        <f>(((J89*G89)*0.0821*(273+D89))/1)/1000</f>
        <v>3.173101618800001</v>
      </c>
      <c r="M89" s="7">
        <v>28</v>
      </c>
    </row>
    <row r="90" spans="1:13" s="13" customFormat="1" ht="12.75" customHeight="1">
      <c r="A90" s="13" t="s">
        <v>36</v>
      </c>
      <c r="B90" s="13" t="s">
        <v>32</v>
      </c>
      <c r="C90" s="29" t="s">
        <v>79</v>
      </c>
      <c r="D90" s="7">
        <v>-0.8</v>
      </c>
      <c r="E90" s="15">
        <v>64.44</v>
      </c>
      <c r="F90" s="7" t="s">
        <v>13</v>
      </c>
      <c r="G90" s="15">
        <v>0.23</v>
      </c>
      <c r="H90" s="20" t="s">
        <v>89</v>
      </c>
      <c r="I90" s="53">
        <f t="shared" si="1"/>
        <v>0.76020895733096683</v>
      </c>
      <c r="J90" s="15">
        <v>23.7</v>
      </c>
      <c r="K90" s="6" t="s">
        <v>92</v>
      </c>
      <c r="L90" s="26">
        <v>2.3699999999999999E-2</v>
      </c>
      <c r="M90" s="7">
        <v>9</v>
      </c>
    </row>
    <row r="91" spans="1:13" s="13" customFormat="1" ht="12.75" customHeight="1">
      <c r="A91" s="13" t="s">
        <v>36</v>
      </c>
      <c r="B91" s="13" t="s">
        <v>32</v>
      </c>
      <c r="C91" s="29" t="s">
        <v>63</v>
      </c>
      <c r="D91" s="7">
        <v>5</v>
      </c>
      <c r="E91" s="15">
        <v>3.6</v>
      </c>
      <c r="F91" s="7" t="s">
        <v>5</v>
      </c>
      <c r="G91" s="15">
        <f>E91*0.1479*0.45/0.126</f>
        <v>1.9015714285714287</v>
      </c>
      <c r="H91" s="20" t="s">
        <v>89</v>
      </c>
      <c r="I91" s="53">
        <f t="shared" si="1"/>
        <v>1.5370830688127433</v>
      </c>
      <c r="J91" s="15">
        <v>10.45</v>
      </c>
      <c r="K91" s="20" t="s">
        <v>93</v>
      </c>
      <c r="L91" s="15">
        <f>(((J91*G91)*0.0821*(273+D91))/1)/1000</f>
        <v>0.45354134840142851</v>
      </c>
      <c r="M91" s="7">
        <v>28</v>
      </c>
    </row>
    <row r="92" spans="1:13" s="13" customFormat="1" ht="12.75" customHeight="1">
      <c r="A92" s="13" t="s">
        <v>36</v>
      </c>
      <c r="B92" s="13" t="s">
        <v>32</v>
      </c>
      <c r="C92" s="29" t="s">
        <v>62</v>
      </c>
      <c r="D92" s="7">
        <v>5</v>
      </c>
      <c r="E92" s="15">
        <v>750</v>
      </c>
      <c r="F92" s="7" t="s">
        <v>5</v>
      </c>
      <c r="G92" s="15">
        <v>396</v>
      </c>
      <c r="H92" s="20" t="s">
        <v>89</v>
      </c>
      <c r="I92" s="53">
        <f t="shared" si="1"/>
        <v>9.1092139003566466</v>
      </c>
      <c r="J92" s="15">
        <v>2.41</v>
      </c>
      <c r="K92" s="20" t="s">
        <v>93</v>
      </c>
      <c r="L92" s="26">
        <v>41.3</v>
      </c>
      <c r="M92" s="7">
        <v>28</v>
      </c>
    </row>
    <row r="93" spans="1:13" s="13" customFormat="1" ht="12.75" customHeight="1">
      <c r="A93" s="13" t="s">
        <v>36</v>
      </c>
      <c r="B93" s="13" t="s">
        <v>32</v>
      </c>
      <c r="C93" s="29" t="s">
        <v>68</v>
      </c>
      <c r="D93" s="7">
        <v>5</v>
      </c>
      <c r="E93" s="15">
        <v>1300</v>
      </c>
      <c r="F93" s="7" t="s">
        <v>5</v>
      </c>
      <c r="G93" s="15">
        <v>687</v>
      </c>
      <c r="H93" s="20" t="s">
        <v>89</v>
      </c>
      <c r="I93" s="53">
        <f t="shared" si="1"/>
        <v>10.945277457167121</v>
      </c>
      <c r="J93" s="15">
        <v>2.9</v>
      </c>
      <c r="K93" s="20" t="s">
        <v>93</v>
      </c>
      <c r="L93" s="26">
        <v>86</v>
      </c>
      <c r="M93" s="7">
        <v>28</v>
      </c>
    </row>
    <row r="94" spans="1:13" s="13" customFormat="1" ht="12.75" customHeight="1">
      <c r="A94" s="13" t="s">
        <v>36</v>
      </c>
      <c r="B94" s="13" t="s">
        <v>405</v>
      </c>
      <c r="C94" s="29" t="s">
        <v>406</v>
      </c>
      <c r="D94" s="7">
        <v>-0.9</v>
      </c>
      <c r="E94" s="15">
        <v>6.45</v>
      </c>
      <c r="F94" s="7" t="s">
        <v>13</v>
      </c>
      <c r="G94" s="15">
        <f>E94/1000*100/11.8</f>
        <v>5.4661016949152541E-2</v>
      </c>
      <c r="H94" s="20" t="s">
        <v>89</v>
      </c>
      <c r="I94" s="53">
        <f t="shared" si="1"/>
        <v>0.47090909089781618</v>
      </c>
      <c r="J94" s="15">
        <v>3.22</v>
      </c>
      <c r="K94" s="6" t="s">
        <v>92</v>
      </c>
      <c r="L94" s="26">
        <f>J94/1000</f>
        <v>3.2200000000000002E-3</v>
      </c>
      <c r="M94" s="7">
        <v>10</v>
      </c>
    </row>
    <row r="95" spans="1:13" s="13" customFormat="1" ht="12.75" customHeight="1">
      <c r="A95" s="13" t="s">
        <v>36</v>
      </c>
      <c r="B95" s="13" t="s">
        <v>405</v>
      </c>
      <c r="C95" s="29" t="s">
        <v>407</v>
      </c>
      <c r="D95" s="7">
        <v>-1.3</v>
      </c>
      <c r="E95" s="15">
        <v>25.34</v>
      </c>
      <c r="F95" s="7" t="s">
        <v>13</v>
      </c>
      <c r="G95" s="15">
        <f>E95/1000*100/11.8</f>
        <v>0.21474576271186441</v>
      </c>
      <c r="H95" s="20" t="s">
        <v>89</v>
      </c>
      <c r="I95" s="53">
        <f t="shared" si="1"/>
        <v>0.74301839364374067</v>
      </c>
      <c r="J95" s="15">
        <v>6.31</v>
      </c>
      <c r="K95" s="6" t="s">
        <v>92</v>
      </c>
      <c r="L95" s="26">
        <f>J95/1000</f>
        <v>6.3099999999999996E-3</v>
      </c>
      <c r="M95" s="7">
        <v>10</v>
      </c>
    </row>
    <row r="96" spans="1:13" s="13" customFormat="1" ht="12.75" customHeight="1">
      <c r="A96" s="13" t="s">
        <v>36</v>
      </c>
      <c r="B96" s="13" t="s">
        <v>405</v>
      </c>
      <c r="C96" s="29" t="s">
        <v>408</v>
      </c>
      <c r="D96" s="7">
        <v>-1.1000000000000001</v>
      </c>
      <c r="E96" s="15">
        <v>54.74</v>
      </c>
      <c r="F96" s="7" t="s">
        <v>13</v>
      </c>
      <c r="G96" s="15">
        <f>E96/1000*100/11.8</f>
        <v>0.46389830508474578</v>
      </c>
      <c r="H96" s="20" t="s">
        <v>89</v>
      </c>
      <c r="I96" s="53">
        <f t="shared" si="1"/>
        <v>0.96047885707129943</v>
      </c>
      <c r="J96" s="15">
        <v>22.2</v>
      </c>
      <c r="K96" s="6" t="s">
        <v>92</v>
      </c>
      <c r="L96" s="26">
        <f>J96/1000</f>
        <v>2.2200000000000001E-2</v>
      </c>
      <c r="M96" s="7">
        <v>10</v>
      </c>
    </row>
    <row r="97" spans="1:13" s="13" customFormat="1" ht="12.75" customHeight="1">
      <c r="A97" s="13" t="s">
        <v>20</v>
      </c>
      <c r="B97" s="13" t="s">
        <v>386</v>
      </c>
      <c r="C97" s="29" t="s">
        <v>81</v>
      </c>
      <c r="D97" s="7">
        <v>-0.3</v>
      </c>
      <c r="E97" s="15">
        <v>4.5</v>
      </c>
      <c r="F97" s="7" t="s">
        <v>13</v>
      </c>
      <c r="G97" s="15">
        <v>1.61E-2</v>
      </c>
      <c r="H97" s="20" t="s">
        <v>89</v>
      </c>
      <c r="I97" s="53">
        <f t="shared" si="1"/>
        <v>0.31333157316983495</v>
      </c>
      <c r="J97" s="15">
        <v>1.41</v>
      </c>
      <c r="K97" s="6" t="s">
        <v>92</v>
      </c>
      <c r="L97" s="26">
        <v>1.41E-3</v>
      </c>
      <c r="M97" s="7">
        <v>16</v>
      </c>
    </row>
    <row r="98" spans="1:13" s="99" customFormat="1" ht="12.75" customHeight="1">
      <c r="A98" s="99" t="s">
        <v>43</v>
      </c>
      <c r="B98" s="99" t="s">
        <v>44</v>
      </c>
      <c r="C98" s="29" t="s">
        <v>84</v>
      </c>
      <c r="D98" s="96">
        <v>12</v>
      </c>
      <c r="E98" s="100">
        <v>1327</v>
      </c>
      <c r="F98" s="96" t="s">
        <v>46</v>
      </c>
      <c r="G98" s="100">
        <v>13.2</v>
      </c>
      <c r="H98" s="101" t="s">
        <v>124</v>
      </c>
      <c r="I98" s="53">
        <f t="shared" si="1"/>
        <v>2.9319488266790317</v>
      </c>
      <c r="J98" s="100">
        <v>451</v>
      </c>
      <c r="K98" s="96" t="s">
        <v>98</v>
      </c>
      <c r="L98" s="100">
        <f>J98/1000</f>
        <v>0.45100000000000001</v>
      </c>
      <c r="M98" s="96">
        <v>30</v>
      </c>
    </row>
    <row r="99" spans="1:13" s="13" customFormat="1" ht="12.75" customHeight="1">
      <c r="A99" s="13" t="s">
        <v>43</v>
      </c>
      <c r="B99" s="13" t="s">
        <v>44</v>
      </c>
      <c r="C99" s="29" t="s">
        <v>86</v>
      </c>
      <c r="D99" s="7">
        <v>10</v>
      </c>
      <c r="E99" s="15">
        <v>297</v>
      </c>
      <c r="F99" s="7" t="s">
        <v>5</v>
      </c>
      <c r="G99" s="15">
        <v>2830</v>
      </c>
      <c r="H99" s="20" t="s">
        <v>89</v>
      </c>
      <c r="I99" s="53">
        <f t="shared" si="1"/>
        <v>17.544844106867387</v>
      </c>
      <c r="J99" s="7" t="s">
        <v>109</v>
      </c>
      <c r="K99" s="7" t="s">
        <v>97</v>
      </c>
      <c r="L99" s="26">
        <v>82.9</v>
      </c>
      <c r="M99" s="7">
        <v>31</v>
      </c>
    </row>
    <row r="100" spans="1:13" s="13" customFormat="1" ht="12.75" customHeight="1">
      <c r="A100" s="13" t="s">
        <v>43</v>
      </c>
      <c r="B100" s="13" t="s">
        <v>44</v>
      </c>
      <c r="C100" s="29" t="s">
        <v>54</v>
      </c>
      <c r="D100" s="7">
        <v>10</v>
      </c>
      <c r="E100" s="15">
        <v>485</v>
      </c>
      <c r="F100" s="7" t="s">
        <v>5</v>
      </c>
      <c r="G100" s="15">
        <v>4420</v>
      </c>
      <c r="H100" s="20" t="s">
        <v>89</v>
      </c>
      <c r="I100" s="53">
        <f t="shared" si="1"/>
        <v>20.355807588875017</v>
      </c>
      <c r="J100" s="7" t="s">
        <v>110</v>
      </c>
      <c r="K100" s="7" t="s">
        <v>97</v>
      </c>
      <c r="L100" s="26">
        <v>123</v>
      </c>
      <c r="M100" s="7">
        <v>31</v>
      </c>
    </row>
    <row r="101" spans="1:13" s="13" customFormat="1" ht="12.75" customHeight="1">
      <c r="A101" s="13" t="s">
        <v>43</v>
      </c>
      <c r="B101" s="13" t="s">
        <v>44</v>
      </c>
      <c r="C101" s="29" t="s">
        <v>85</v>
      </c>
      <c r="D101" s="7">
        <v>19</v>
      </c>
      <c r="E101" s="15">
        <v>189</v>
      </c>
      <c r="F101" s="7" t="s">
        <v>5</v>
      </c>
      <c r="G101" s="15">
        <v>1840</v>
      </c>
      <c r="H101" s="20" t="s">
        <v>89</v>
      </c>
      <c r="I101" s="53">
        <f t="shared" si="1"/>
        <v>15.199625063777797</v>
      </c>
      <c r="J101" s="15">
        <v>0.3</v>
      </c>
      <c r="K101" s="7" t="s">
        <v>99</v>
      </c>
      <c r="L101" s="26">
        <v>552</v>
      </c>
      <c r="M101" s="7">
        <v>30</v>
      </c>
    </row>
    <row r="102" spans="1:13" s="13" customFormat="1" ht="12.75" customHeight="1">
      <c r="C102" s="29"/>
      <c r="D102" s="7"/>
      <c r="E102" s="15"/>
      <c r="F102" s="7"/>
      <c r="G102" s="15"/>
      <c r="H102" s="20"/>
      <c r="I102" s="53"/>
      <c r="J102" s="15"/>
      <c r="K102" s="7"/>
      <c r="L102" s="26"/>
    </row>
    <row r="103" spans="1:13" s="13" customFormat="1" ht="12.75" customHeight="1">
      <c r="A103" s="12"/>
      <c r="C103" s="29"/>
      <c r="D103" s="7"/>
      <c r="E103" s="15"/>
      <c r="F103" s="7"/>
      <c r="G103" s="15"/>
      <c r="H103" s="20"/>
      <c r="I103" s="53"/>
      <c r="J103" s="15"/>
      <c r="K103" s="7"/>
      <c r="L103" s="26"/>
    </row>
    <row r="104" spans="1:13" s="13" customFormat="1" ht="12.75" customHeight="1">
      <c r="A104" s="10"/>
      <c r="C104" s="29"/>
      <c r="D104" s="7"/>
      <c r="E104" s="15"/>
      <c r="F104" s="7"/>
      <c r="G104" s="15"/>
      <c r="H104" s="20"/>
      <c r="I104" s="53"/>
      <c r="J104" s="15"/>
      <c r="K104" s="7"/>
      <c r="L104" s="26"/>
    </row>
    <row r="105" spans="1:13" s="13" customFormat="1" ht="12.75" customHeight="1">
      <c r="A105" s="12"/>
      <c r="C105" s="29"/>
      <c r="D105" s="7"/>
      <c r="E105" s="15"/>
      <c r="F105" s="7"/>
      <c r="G105" s="15"/>
      <c r="H105" s="20"/>
      <c r="I105" s="53"/>
      <c r="J105" s="15"/>
      <c r="K105" s="7"/>
      <c r="L105" s="26"/>
    </row>
    <row r="106" spans="1:13" s="13" customFormat="1" ht="12.75" customHeight="1">
      <c r="A106" s="12"/>
      <c r="C106" s="29"/>
      <c r="D106" s="7"/>
      <c r="E106" s="15"/>
      <c r="F106" s="7"/>
      <c r="G106" s="15"/>
      <c r="H106" s="20"/>
      <c r="I106" s="53"/>
      <c r="J106" s="15"/>
      <c r="K106" s="7"/>
      <c r="L106" s="26"/>
    </row>
    <row r="107" spans="1:13" s="13" customFormat="1" ht="12.75" customHeight="1">
      <c r="A107" s="12"/>
      <c r="C107" s="29"/>
      <c r="D107" s="7"/>
      <c r="E107" s="15"/>
      <c r="F107" s="7"/>
      <c r="G107" s="15"/>
      <c r="H107" s="20"/>
      <c r="I107" s="53"/>
      <c r="J107" s="15"/>
      <c r="K107" s="7"/>
      <c r="L107" s="26"/>
    </row>
    <row r="108" spans="1:13" s="13" customFormat="1" ht="12.75" customHeight="1">
      <c r="A108" s="12"/>
      <c r="C108" s="29"/>
      <c r="D108" s="7"/>
      <c r="E108" s="15"/>
      <c r="F108" s="7"/>
      <c r="G108" s="15"/>
      <c r="H108" s="20"/>
      <c r="I108" s="53"/>
      <c r="J108" s="15"/>
      <c r="K108" s="7"/>
      <c r="L108" s="26"/>
    </row>
    <row r="109" spans="1:13" s="13" customFormat="1" ht="12.75" customHeight="1">
      <c r="A109" s="12"/>
      <c r="C109" s="29"/>
      <c r="D109" s="7"/>
      <c r="E109" s="15"/>
      <c r="F109" s="7"/>
      <c r="G109" s="15"/>
      <c r="H109" s="20"/>
      <c r="I109" s="53"/>
      <c r="J109" s="15"/>
      <c r="K109" s="7"/>
      <c r="L109" s="26"/>
    </row>
    <row r="110" spans="1:13" s="13" customFormat="1" ht="12.75" customHeight="1">
      <c r="A110" s="12"/>
      <c r="C110" s="29"/>
      <c r="D110" s="7"/>
      <c r="E110" s="15"/>
      <c r="F110" s="7"/>
      <c r="G110" s="15"/>
      <c r="H110" s="20"/>
      <c r="I110" s="53"/>
      <c r="J110" s="15"/>
      <c r="K110" s="7"/>
      <c r="L110" s="26"/>
    </row>
    <row r="111" spans="1:13" s="13" customFormat="1" ht="12.75" customHeight="1">
      <c r="A111" s="12"/>
      <c r="C111" s="29"/>
      <c r="D111" s="7"/>
      <c r="E111" s="15"/>
      <c r="F111" s="7"/>
      <c r="G111" s="15"/>
      <c r="H111" s="20"/>
      <c r="I111" s="53"/>
      <c r="J111" s="15"/>
      <c r="K111" s="7"/>
      <c r="L111" s="26"/>
    </row>
    <row r="112" spans="1:13" s="13" customFormat="1" ht="12.75" customHeight="1">
      <c r="A112" s="12"/>
      <c r="C112" s="29"/>
      <c r="D112" s="7"/>
      <c r="E112" s="15"/>
      <c r="F112" s="7"/>
      <c r="G112" s="15"/>
      <c r="H112" s="20"/>
      <c r="I112" s="53"/>
      <c r="J112" s="15"/>
      <c r="K112" s="7"/>
      <c r="L112" s="26"/>
    </row>
    <row r="113" spans="1:12" s="13" customFormat="1" ht="12.75" customHeight="1">
      <c r="A113" s="12"/>
      <c r="C113" s="29"/>
      <c r="D113" s="7"/>
      <c r="E113" s="15"/>
      <c r="F113" s="7"/>
      <c r="G113" s="15"/>
      <c r="H113" s="20"/>
      <c r="I113" s="53"/>
      <c r="J113" s="15"/>
      <c r="K113" s="7"/>
      <c r="L113" s="26"/>
    </row>
    <row r="114" spans="1:12" s="13" customFormat="1" ht="12.75" customHeight="1">
      <c r="A114" s="12"/>
      <c r="C114" s="29"/>
      <c r="D114" s="7"/>
      <c r="E114" s="15"/>
      <c r="F114" s="7"/>
      <c r="G114" s="15"/>
      <c r="H114" s="20"/>
      <c r="I114" s="53"/>
      <c r="J114" s="15"/>
      <c r="K114" s="7"/>
      <c r="L114" s="26"/>
    </row>
    <row r="115" spans="1:12" s="3" customFormat="1" ht="12.75" customHeight="1">
      <c r="A115" s="12"/>
      <c r="C115" s="102"/>
      <c r="D115" s="7"/>
      <c r="E115" s="7"/>
      <c r="F115" s="7"/>
      <c r="G115" s="15"/>
      <c r="H115" s="7"/>
      <c r="I115" s="7"/>
      <c r="J115" s="7"/>
      <c r="K115" s="7"/>
      <c r="L115" s="7"/>
    </row>
    <row r="116" spans="1:12" ht="12.75" customHeight="1">
      <c r="A116" s="10"/>
    </row>
    <row r="117" spans="1:12" ht="12.75" customHeight="1">
      <c r="A117" s="10"/>
    </row>
    <row r="118" spans="1:12" ht="12.75" customHeight="1">
      <c r="A118" s="10"/>
    </row>
    <row r="119" spans="1:12" ht="12.75" customHeight="1">
      <c r="A119" s="10"/>
    </row>
    <row r="120" spans="1:12" ht="12.75" customHeight="1">
      <c r="A120" s="12"/>
    </row>
    <row r="121" spans="1:12" ht="12.75" customHeight="1">
      <c r="A121" s="12"/>
    </row>
    <row r="122" spans="1:12" ht="12.75" customHeight="1">
      <c r="A122" s="12"/>
    </row>
    <row r="123" spans="1:12" ht="12.75" customHeight="1">
      <c r="A123" s="12"/>
    </row>
    <row r="124" spans="1:12" ht="12.75" customHeight="1">
      <c r="A124" s="12"/>
    </row>
    <row r="125" spans="1:12" ht="12.75" customHeight="1">
      <c r="A125" s="12"/>
    </row>
    <row r="126" spans="1:12" ht="12.75" customHeight="1">
      <c r="A126" s="12"/>
    </row>
    <row r="127" spans="1:12" ht="12.75" customHeight="1">
      <c r="A127" s="12"/>
    </row>
    <row r="128" spans="1:12" ht="12.75" customHeight="1">
      <c r="A128" s="12"/>
    </row>
    <row r="129" spans="1:1" ht="12.75" customHeight="1">
      <c r="A129" s="12"/>
    </row>
    <row r="130" spans="1:1" ht="12.75" customHeight="1">
      <c r="A130" s="12"/>
    </row>
    <row r="131" spans="1:1" ht="12.75" customHeight="1">
      <c r="A131" s="12"/>
    </row>
    <row r="132" spans="1:1" ht="12.75" customHeight="1">
      <c r="A132" s="12"/>
    </row>
    <row r="133" spans="1:1" ht="12.75" customHeight="1">
      <c r="A133" s="12"/>
    </row>
    <row r="134" spans="1:1" ht="12.75" customHeight="1">
      <c r="A134" s="12"/>
    </row>
    <row r="135" spans="1:1" ht="12.75" customHeight="1">
      <c r="A135" s="12"/>
    </row>
    <row r="136" spans="1:1" ht="12.75" customHeight="1">
      <c r="A136" s="12"/>
    </row>
    <row r="137" spans="1:1" ht="12.75" customHeight="1">
      <c r="A137" s="12"/>
    </row>
    <row r="138" spans="1:1" ht="12.75" customHeight="1">
      <c r="A138" s="95"/>
    </row>
    <row r="139" spans="1:1" ht="12.75" customHeight="1">
      <c r="A139" s="95"/>
    </row>
    <row r="140" spans="1:1" ht="12.75" customHeight="1">
      <c r="A140" s="95"/>
    </row>
    <row r="141" spans="1:1" ht="12.75" customHeight="1">
      <c r="A141" s="95"/>
    </row>
    <row r="142" spans="1:1" ht="12.75" customHeight="1">
      <c r="A142" s="95"/>
    </row>
    <row r="143" spans="1:1" ht="12.75" customHeight="1">
      <c r="A143" s="95"/>
    </row>
    <row r="144" spans="1:1" ht="12.75" customHeight="1">
      <c r="A144" s="95"/>
    </row>
    <row r="145" spans="1:1" ht="12.75" customHeight="1">
      <c r="A145" s="95"/>
    </row>
    <row r="146" spans="1:1" ht="12.75" customHeight="1">
      <c r="A146" s="95"/>
    </row>
    <row r="147" spans="1:1" ht="12.75" customHeight="1">
      <c r="A147" s="95"/>
    </row>
    <row r="148" spans="1:1" ht="12.75" customHeight="1">
      <c r="A148" s="95"/>
    </row>
    <row r="149" spans="1:1" ht="12.75" customHeight="1">
      <c r="A149" s="95"/>
    </row>
    <row r="162" spans="1:1" ht="12.75" customHeight="1">
      <c r="A162" s="95"/>
    </row>
  </sheetData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52"/>
  <sheetViews>
    <sheetView zoomScale="115" zoomScaleNormal="115" workbookViewId="0">
      <selection activeCell="B7" sqref="B7"/>
    </sheetView>
  </sheetViews>
  <sheetFormatPr defaultRowHeight="12.75"/>
  <cols>
    <col min="1" max="1" width="11.140625" customWidth="1"/>
    <col min="2" max="2" width="13.7109375" customWidth="1"/>
    <col min="3" max="3" width="19.85546875" customWidth="1"/>
    <col min="4" max="4" width="10.42578125" style="6" customWidth="1"/>
    <col min="5" max="5" width="16.28515625" style="6" customWidth="1"/>
    <col min="6" max="6" width="9.140625" style="6"/>
    <col min="7" max="7" width="12.28515625" style="6" customWidth="1"/>
    <col min="8" max="8" width="9.140625" style="6"/>
    <col min="9" max="9" width="14.28515625" style="6" customWidth="1"/>
    <col min="10" max="10" width="13.140625" style="14" customWidth="1"/>
    <col min="11" max="11" width="21.7109375" style="6" customWidth="1"/>
    <col min="12" max="12" width="30" style="6" customWidth="1"/>
    <col min="13" max="13" width="9.140625" style="6"/>
    <col min="19" max="22" width="9.140625" style="4"/>
  </cols>
  <sheetData>
    <row r="1" spans="1:54" ht="12.75" customHeight="1">
      <c r="A1" s="9" t="s">
        <v>82</v>
      </c>
      <c r="B1" s="9" t="s">
        <v>239</v>
      </c>
      <c r="C1" s="9" t="s">
        <v>4</v>
      </c>
      <c r="D1" s="5" t="s">
        <v>87</v>
      </c>
      <c r="E1" s="5" t="s">
        <v>47</v>
      </c>
      <c r="F1" s="5" t="s">
        <v>9</v>
      </c>
      <c r="G1" s="19" t="s">
        <v>88</v>
      </c>
      <c r="H1" s="5" t="s">
        <v>9</v>
      </c>
      <c r="I1" s="8" t="s">
        <v>3</v>
      </c>
      <c r="J1" s="58" t="s">
        <v>236</v>
      </c>
      <c r="K1" s="21" t="s">
        <v>237</v>
      </c>
      <c r="L1" s="21" t="s">
        <v>238</v>
      </c>
      <c r="M1" s="21" t="s">
        <v>7</v>
      </c>
      <c r="U1"/>
      <c r="V1"/>
      <c r="AH1" s="2"/>
      <c r="AI1" s="2"/>
      <c r="AJ1" s="2"/>
      <c r="AK1" s="2"/>
      <c r="AL1" s="2"/>
      <c r="AO1" s="9"/>
      <c r="AP1" s="9"/>
      <c r="AQ1" s="9"/>
      <c r="AR1" s="9"/>
      <c r="AV1" s="2"/>
      <c r="AY1" s="9"/>
      <c r="AZ1" s="9"/>
      <c r="BA1" s="9"/>
      <c r="BB1" s="9"/>
    </row>
    <row r="2" spans="1:54" ht="12.75" customHeight="1">
      <c r="A2" t="s">
        <v>35</v>
      </c>
      <c r="B2" t="s">
        <v>18</v>
      </c>
      <c r="C2" s="33" t="s">
        <v>123</v>
      </c>
      <c r="D2" s="35">
        <v>21</v>
      </c>
      <c r="E2" s="32">
        <v>11</v>
      </c>
      <c r="F2" s="6" t="s">
        <v>48</v>
      </c>
      <c r="G2" s="32">
        <f>10^(-12.54+2.789*LOG(11000))</f>
        <v>5.3882060960756616E-2</v>
      </c>
      <c r="H2" s="6" t="s">
        <v>11</v>
      </c>
      <c r="I2" s="18">
        <f t="shared" ref="I2:I34" si="0">((G2/(4/3*3.142))^0.33333)*2</f>
        <v>0.46860047576722136</v>
      </c>
      <c r="J2" s="32">
        <v>0.71599999999999997</v>
      </c>
      <c r="K2" s="6" t="s">
        <v>133</v>
      </c>
      <c r="L2" s="32">
        <f>J2/14/24</f>
        <v>2.1309523809523809E-3</v>
      </c>
      <c r="M2" s="6">
        <v>32</v>
      </c>
      <c r="S2"/>
      <c r="AJ2" s="9"/>
      <c r="AK2" s="9"/>
      <c r="AL2" s="10"/>
      <c r="AV2" s="9"/>
    </row>
    <row r="3" spans="1:54" ht="12.75" customHeight="1">
      <c r="A3" t="s">
        <v>35</v>
      </c>
      <c r="B3" t="s">
        <v>18</v>
      </c>
      <c r="C3" s="33" t="s">
        <v>122</v>
      </c>
      <c r="D3" s="35">
        <v>22</v>
      </c>
      <c r="E3" s="32">
        <v>2037</v>
      </c>
      <c r="F3" s="6" t="s">
        <v>127</v>
      </c>
      <c r="G3" s="32">
        <f>E3/1000000*100/4.14</f>
        <v>4.9202898550724648E-2</v>
      </c>
      <c r="H3" s="6" t="s">
        <v>11</v>
      </c>
      <c r="I3" s="18">
        <f t="shared" si="0"/>
        <v>0.45462329611059976</v>
      </c>
      <c r="J3" s="32">
        <v>49.4</v>
      </c>
      <c r="K3" s="6" t="s">
        <v>134</v>
      </c>
      <c r="L3" s="32">
        <f>J3/1000/14</f>
        <v>3.5285714285714287E-3</v>
      </c>
      <c r="M3" s="6">
        <v>33</v>
      </c>
      <c r="S3"/>
      <c r="AL3" s="10"/>
    </row>
    <row r="4" spans="1:54" ht="12.75" customHeight="1">
      <c r="A4" t="s">
        <v>35</v>
      </c>
      <c r="B4" t="s">
        <v>0</v>
      </c>
      <c r="C4" s="33" t="s">
        <v>8</v>
      </c>
      <c r="D4" s="6">
        <v>20</v>
      </c>
      <c r="E4" s="14">
        <v>885</v>
      </c>
      <c r="F4" s="6" t="s">
        <v>128</v>
      </c>
      <c r="G4" s="14">
        <v>885</v>
      </c>
      <c r="H4" s="6" t="s">
        <v>11</v>
      </c>
      <c r="I4" s="18">
        <f t="shared" si="0"/>
        <v>11.911186667660818</v>
      </c>
      <c r="J4" s="14">
        <f>(E4^1.14)*0.371</f>
        <v>848.96392898320539</v>
      </c>
      <c r="K4" s="6" t="s">
        <v>135</v>
      </c>
      <c r="L4" s="14">
        <f>J4/24</f>
        <v>35.373497040966889</v>
      </c>
      <c r="M4" s="6">
        <v>34</v>
      </c>
      <c r="S4"/>
      <c r="AL4" s="10"/>
    </row>
    <row r="5" spans="1:54" ht="12.75" customHeight="1">
      <c r="A5" t="s">
        <v>35</v>
      </c>
      <c r="B5" t="s">
        <v>0</v>
      </c>
      <c r="C5" s="33" t="s">
        <v>8</v>
      </c>
      <c r="D5" s="6">
        <v>28</v>
      </c>
      <c r="E5" s="14">
        <v>1330</v>
      </c>
      <c r="F5" s="6" t="s">
        <v>128</v>
      </c>
      <c r="G5" s="14">
        <v>1330</v>
      </c>
      <c r="H5" s="6" t="s">
        <v>11</v>
      </c>
      <c r="I5" s="18">
        <f t="shared" si="0"/>
        <v>13.643440393789236</v>
      </c>
      <c r="J5" s="14">
        <f>(E5^0.88)*2.55</f>
        <v>1430.6375654254125</v>
      </c>
      <c r="K5" s="6" t="s">
        <v>135</v>
      </c>
      <c r="L5" s="14">
        <f>J5/24</f>
        <v>59.609898559392185</v>
      </c>
      <c r="M5" s="6">
        <v>34</v>
      </c>
      <c r="S5"/>
      <c r="AL5" s="10"/>
    </row>
    <row r="6" spans="1:54" ht="12.75" customHeight="1">
      <c r="A6" t="s">
        <v>35</v>
      </c>
      <c r="B6" t="s">
        <v>0</v>
      </c>
      <c r="C6" s="33" t="s">
        <v>130</v>
      </c>
      <c r="D6" s="6">
        <v>27</v>
      </c>
      <c r="E6" s="14">
        <v>1.5365172628571435</v>
      </c>
      <c r="F6" s="6" t="s">
        <v>129</v>
      </c>
      <c r="G6" s="14">
        <v>85.36</v>
      </c>
      <c r="H6" s="6" t="s">
        <v>11</v>
      </c>
      <c r="I6" s="18">
        <f t="shared" si="0"/>
        <v>5.4625504587349392</v>
      </c>
      <c r="J6" s="14">
        <v>5.83</v>
      </c>
      <c r="K6" s="6" t="s">
        <v>135</v>
      </c>
      <c r="L6" s="14">
        <v>5.83</v>
      </c>
      <c r="M6" s="6">
        <v>35</v>
      </c>
      <c r="P6" s="30"/>
      <c r="Q6" s="30"/>
      <c r="R6" s="30"/>
      <c r="S6"/>
      <c r="AL6" s="10"/>
    </row>
    <row r="7" spans="1:54" ht="12.75" customHeight="1">
      <c r="A7" t="s">
        <v>35</v>
      </c>
      <c r="B7" t="s">
        <v>0</v>
      </c>
      <c r="C7" s="33" t="s">
        <v>131</v>
      </c>
      <c r="D7" s="6">
        <v>20</v>
      </c>
      <c r="E7" s="14">
        <v>2.8260000000000001</v>
      </c>
      <c r="F7" s="6" t="s">
        <v>12</v>
      </c>
      <c r="G7" s="14">
        <v>297.47000000000003</v>
      </c>
      <c r="H7" s="6" t="s">
        <v>11</v>
      </c>
      <c r="I7" s="18">
        <f t="shared" si="0"/>
        <v>8.2817714913754443</v>
      </c>
      <c r="J7" s="14">
        <f>10^(0.134+(0.974*LOG(E7))+(0.021*D7))</f>
        <v>9.8501236301571087</v>
      </c>
      <c r="K7" s="6" t="s">
        <v>136</v>
      </c>
      <c r="L7" s="14">
        <f>J7/14</f>
        <v>0.70358025929693635</v>
      </c>
      <c r="M7" s="6">
        <v>36</v>
      </c>
      <c r="S7"/>
      <c r="AL7" s="10"/>
    </row>
    <row r="8" spans="1:54" ht="12.75" customHeight="1">
      <c r="A8" t="s">
        <v>35</v>
      </c>
      <c r="B8" t="s">
        <v>0</v>
      </c>
      <c r="C8" s="33" t="s">
        <v>132</v>
      </c>
      <c r="D8" s="35">
        <v>25</v>
      </c>
      <c r="E8" s="14">
        <v>2161</v>
      </c>
      <c r="F8" s="6" t="s">
        <v>128</v>
      </c>
      <c r="G8" s="14">
        <v>2161</v>
      </c>
      <c r="H8" s="6" t="s">
        <v>11</v>
      </c>
      <c r="I8" s="18">
        <f t="shared" si="0"/>
        <v>16.039502878588035</v>
      </c>
      <c r="J8" s="14">
        <v>1555</v>
      </c>
      <c r="K8" s="6" t="s">
        <v>137</v>
      </c>
      <c r="L8" s="14">
        <f>(J8/14)*(E8/1000)</f>
        <v>240.02535714285713</v>
      </c>
      <c r="M8" s="6">
        <v>37</v>
      </c>
      <c r="S8"/>
      <c r="AL8" s="10"/>
    </row>
    <row r="9" spans="1:54" s="30" customFormat="1" ht="12.75" customHeight="1">
      <c r="A9" t="s">
        <v>35</v>
      </c>
      <c r="B9" t="s">
        <v>0</v>
      </c>
      <c r="C9" s="33" t="s">
        <v>50</v>
      </c>
      <c r="D9" s="6">
        <v>20</v>
      </c>
      <c r="E9" s="14">
        <v>28</v>
      </c>
      <c r="F9" s="6" t="s">
        <v>124</v>
      </c>
      <c r="G9" s="14">
        <v>28</v>
      </c>
      <c r="H9" s="6" t="s">
        <v>11</v>
      </c>
      <c r="I9" s="18">
        <f t="shared" si="0"/>
        <v>3.7673122430092327</v>
      </c>
      <c r="J9" s="14">
        <f>EXP(0.9*LN(G9)-1.87)</f>
        <v>3.0925130932805183</v>
      </c>
      <c r="K9" s="7" t="s">
        <v>121</v>
      </c>
      <c r="L9" s="14">
        <f>J9/14</f>
        <v>0.22089379237717988</v>
      </c>
      <c r="M9" s="6">
        <v>38</v>
      </c>
      <c r="N9"/>
      <c r="O9"/>
      <c r="P9"/>
      <c r="Q9"/>
      <c r="R9"/>
      <c r="S9"/>
      <c r="T9" s="4"/>
      <c r="U9" s="4"/>
      <c r="V9" s="4"/>
      <c r="Y9"/>
      <c r="Z9"/>
      <c r="AH9"/>
      <c r="AI9"/>
      <c r="AJ9"/>
      <c r="AK9"/>
      <c r="AL9" s="10"/>
      <c r="AO9"/>
      <c r="AP9"/>
      <c r="AT9"/>
      <c r="AU9"/>
      <c r="AY9"/>
      <c r="AZ9"/>
    </row>
    <row r="10" spans="1:54" s="30" customFormat="1" ht="12.75" customHeight="1">
      <c r="A10" t="s">
        <v>35</v>
      </c>
      <c r="B10" t="s">
        <v>0</v>
      </c>
      <c r="C10" s="34" t="s">
        <v>50</v>
      </c>
      <c r="D10" s="6">
        <v>19</v>
      </c>
      <c r="E10" s="14">
        <v>1.46</v>
      </c>
      <c r="F10" s="6" t="s">
        <v>34</v>
      </c>
      <c r="G10" s="14">
        <v>20.28</v>
      </c>
      <c r="H10" s="6" t="s">
        <v>11</v>
      </c>
      <c r="I10" s="18">
        <f t="shared" si="0"/>
        <v>3.3832601263739392</v>
      </c>
      <c r="J10" s="14">
        <v>28.8</v>
      </c>
      <c r="K10" s="6" t="s">
        <v>140</v>
      </c>
      <c r="L10" s="14">
        <f>J10*E10/24</f>
        <v>1.752</v>
      </c>
      <c r="M10" s="6">
        <v>39</v>
      </c>
      <c r="N10"/>
      <c r="O10"/>
      <c r="S10"/>
      <c r="T10" s="4"/>
      <c r="U10" s="4"/>
      <c r="V10" s="4"/>
      <c r="Y10"/>
      <c r="Z10"/>
      <c r="AH10"/>
      <c r="AI10"/>
      <c r="AJ10"/>
      <c r="AK10"/>
      <c r="AL10" s="10"/>
      <c r="AO10"/>
      <c r="AP10"/>
      <c r="AT10"/>
      <c r="AU10"/>
      <c r="AY10"/>
      <c r="AZ10"/>
    </row>
    <row r="11" spans="1:54" s="103" customFormat="1" ht="12.75" customHeight="1">
      <c r="A11" s="3" t="s">
        <v>307</v>
      </c>
      <c r="B11" s="3" t="s">
        <v>318</v>
      </c>
      <c r="C11" s="34" t="s">
        <v>334</v>
      </c>
      <c r="D11" s="7">
        <v>10.5</v>
      </c>
      <c r="E11" s="15">
        <v>1.6</v>
      </c>
      <c r="F11" s="7" t="s">
        <v>34</v>
      </c>
      <c r="G11" s="15">
        <f>E11*100/3.63</f>
        <v>44.0771349862259</v>
      </c>
      <c r="H11" s="7" t="s">
        <v>11</v>
      </c>
      <c r="I11" s="18">
        <f t="shared" ref="I11:I27" si="1">((G11/(4/3*3.142))^0.33333)*2</f>
        <v>4.382440908107081</v>
      </c>
      <c r="J11" s="15" t="s">
        <v>333</v>
      </c>
      <c r="K11" s="7" t="s">
        <v>332</v>
      </c>
      <c r="L11" s="15">
        <f>(0.06*E11^1.23)/14</f>
        <v>7.6399548737143734E-3</v>
      </c>
      <c r="M11" s="7">
        <v>40</v>
      </c>
      <c r="N11" s="3"/>
      <c r="O11" s="3"/>
      <c r="S11"/>
      <c r="T11" s="4"/>
      <c r="U11" s="4"/>
      <c r="Y11"/>
      <c r="AA11"/>
      <c r="AH11"/>
      <c r="AI11"/>
      <c r="AJ11" s="3"/>
      <c r="AK11" s="3"/>
      <c r="AL11" s="13"/>
      <c r="AY11"/>
      <c r="BA11"/>
    </row>
    <row r="12" spans="1:54" s="103" customFormat="1" ht="12.75" customHeight="1">
      <c r="A12" s="3" t="s">
        <v>307</v>
      </c>
      <c r="B12" s="3" t="s">
        <v>317</v>
      </c>
      <c r="C12" s="34" t="s">
        <v>306</v>
      </c>
      <c r="D12" s="7">
        <v>25</v>
      </c>
      <c r="E12" s="15">
        <v>50</v>
      </c>
      <c r="F12" s="7" t="s">
        <v>148</v>
      </c>
      <c r="G12" s="15">
        <f>(0.033*E12^2.49)/1000*100/3.63</f>
        <v>15.454061124063408</v>
      </c>
      <c r="H12" s="7" t="s">
        <v>11</v>
      </c>
      <c r="I12" s="18">
        <f t="shared" si="1"/>
        <v>3.0902528012765709</v>
      </c>
      <c r="J12" s="15" t="s">
        <v>331</v>
      </c>
      <c r="K12" s="7" t="s">
        <v>328</v>
      </c>
      <c r="L12" s="15">
        <f>(1.17*((0.033*E12^2.49)/1000)^0.82)/14</f>
        <v>5.2023098065893503E-2</v>
      </c>
      <c r="M12" s="7">
        <v>13</v>
      </c>
      <c r="N12" s="3"/>
      <c r="O12" s="3"/>
      <c r="S12"/>
      <c r="T12" s="4"/>
      <c r="U12" s="4"/>
      <c r="Y12"/>
      <c r="AA12"/>
      <c r="AH12"/>
      <c r="AI12"/>
      <c r="AJ12" s="3"/>
      <c r="AK12" s="3"/>
      <c r="AL12" s="13"/>
      <c r="AY12"/>
      <c r="BA12"/>
    </row>
    <row r="13" spans="1:54" s="103" customFormat="1" ht="12.75" customHeight="1">
      <c r="A13" s="3" t="s">
        <v>307</v>
      </c>
      <c r="B13" s="3" t="s">
        <v>317</v>
      </c>
      <c r="C13" s="34" t="s">
        <v>319</v>
      </c>
      <c r="D13" s="7">
        <v>-0.8</v>
      </c>
      <c r="E13" s="15">
        <v>401.58</v>
      </c>
      <c r="F13" s="7" t="s">
        <v>13</v>
      </c>
      <c r="G13" s="15">
        <f>E13*100/3.94/1000</f>
        <v>10.192385786802031</v>
      </c>
      <c r="H13" s="7" t="s">
        <v>11</v>
      </c>
      <c r="I13" s="18">
        <f t="shared" si="1"/>
        <v>2.6899178733987634</v>
      </c>
      <c r="J13" s="15">
        <v>2.2130000000000001</v>
      </c>
      <c r="K13" s="7" t="s">
        <v>336</v>
      </c>
      <c r="L13" s="15">
        <f>J13/14</f>
        <v>0.15807142857142858</v>
      </c>
      <c r="M13" s="7">
        <v>10</v>
      </c>
      <c r="N13" s="3"/>
      <c r="O13" s="3"/>
      <c r="S13"/>
      <c r="T13" s="4"/>
      <c r="U13" s="4"/>
      <c r="Y13"/>
      <c r="AA13"/>
      <c r="AH13"/>
      <c r="AI13"/>
      <c r="AJ13" s="3"/>
      <c r="AK13" s="3"/>
      <c r="AL13" s="13"/>
      <c r="AY13"/>
      <c r="BA13"/>
    </row>
    <row r="14" spans="1:54" s="103" customFormat="1" ht="12.75" customHeight="1">
      <c r="A14" s="3" t="s">
        <v>307</v>
      </c>
      <c r="B14" s="3" t="s">
        <v>318</v>
      </c>
      <c r="C14" s="34" t="s">
        <v>301</v>
      </c>
      <c r="D14" s="7">
        <v>25</v>
      </c>
      <c r="E14" s="15">
        <v>100</v>
      </c>
      <c r="F14" s="7" t="s">
        <v>148</v>
      </c>
      <c r="G14" s="15">
        <f>(0.127*E14^2.17)/1000*100/3.63</f>
        <v>76.541522380604277</v>
      </c>
      <c r="H14" s="7" t="s">
        <v>11</v>
      </c>
      <c r="I14" s="18">
        <f t="shared" si="1"/>
        <v>5.2675643449918477</v>
      </c>
      <c r="J14" s="15" t="s">
        <v>340</v>
      </c>
      <c r="K14" s="7"/>
      <c r="L14" s="15">
        <f>(0.17*((0.127*E14^2.17)/1000)^0.76)/14</f>
        <v>2.6400473347530814E-2</v>
      </c>
      <c r="M14" s="7">
        <v>13</v>
      </c>
      <c r="N14" s="3"/>
      <c r="O14" s="3"/>
      <c r="S14"/>
      <c r="T14" s="4"/>
      <c r="U14" s="4"/>
      <c r="Y14"/>
      <c r="AA14"/>
      <c r="AH14"/>
      <c r="AI14"/>
      <c r="AJ14" s="3"/>
      <c r="AK14" s="3"/>
      <c r="AL14" s="13"/>
      <c r="AY14"/>
      <c r="BA14"/>
    </row>
    <row r="15" spans="1:54" s="103" customFormat="1" ht="12.75" customHeight="1">
      <c r="A15" s="3" t="s">
        <v>307</v>
      </c>
      <c r="B15" s="3" t="s">
        <v>318</v>
      </c>
      <c r="C15" s="34" t="s">
        <v>324</v>
      </c>
      <c r="D15" s="7">
        <v>25</v>
      </c>
      <c r="E15" s="15">
        <v>100</v>
      </c>
      <c r="F15" s="7" t="s">
        <v>148</v>
      </c>
      <c r="G15" s="15">
        <f>(0.045*100^2.3)/1000*100/3.63</f>
        <v>49.352128581012082</v>
      </c>
      <c r="H15" s="7" t="s">
        <v>11</v>
      </c>
      <c r="I15" s="18">
        <f t="shared" si="1"/>
        <v>4.5507196597353676</v>
      </c>
      <c r="J15" s="15" t="s">
        <v>327</v>
      </c>
      <c r="K15" s="7" t="s">
        <v>328</v>
      </c>
      <c r="L15" s="15">
        <f>(0.33*((0.045*E15^2.3)/1000)^0.93)/14</f>
        <v>4.0539047654812699E-2</v>
      </c>
      <c r="M15" s="7">
        <v>13</v>
      </c>
      <c r="N15" s="3"/>
      <c r="O15" s="3"/>
      <c r="S15"/>
      <c r="T15" s="4"/>
      <c r="U15" s="4"/>
      <c r="Y15"/>
      <c r="AA15"/>
      <c r="AH15"/>
      <c r="AI15"/>
      <c r="AJ15" s="3"/>
      <c r="AK15" s="3"/>
      <c r="AL15" s="13"/>
      <c r="AY15"/>
      <c r="BA15"/>
    </row>
    <row r="16" spans="1:54" s="103" customFormat="1" ht="12.75" customHeight="1">
      <c r="A16" s="3" t="s">
        <v>307</v>
      </c>
      <c r="B16" s="3" t="s">
        <v>318</v>
      </c>
      <c r="C16" s="34" t="s">
        <v>320</v>
      </c>
      <c r="D16" s="7">
        <v>23</v>
      </c>
      <c r="E16" s="15">
        <v>4.37</v>
      </c>
      <c r="F16" s="7" t="s">
        <v>34</v>
      </c>
      <c r="G16" s="15">
        <f>(E16+0.0014)/0.0095</f>
        <v>460.1473684210527</v>
      </c>
      <c r="H16" s="7" t="s">
        <v>11</v>
      </c>
      <c r="I16" s="18">
        <f t="shared" si="1"/>
        <v>9.5779787301304253</v>
      </c>
      <c r="J16" s="15" t="s">
        <v>333</v>
      </c>
      <c r="K16" s="7" t="s">
        <v>332</v>
      </c>
      <c r="L16" s="15">
        <f>1.952*E16^0.742/14</f>
        <v>0.41647506427032815</v>
      </c>
      <c r="M16" s="7">
        <v>36</v>
      </c>
      <c r="N16" s="3"/>
      <c r="O16" s="3"/>
      <c r="S16"/>
      <c r="T16" s="4"/>
      <c r="U16" s="4"/>
      <c r="Y16"/>
      <c r="AA16"/>
      <c r="AH16"/>
      <c r="AI16"/>
      <c r="AJ16" s="3"/>
      <c r="AK16" s="3"/>
      <c r="AL16" s="13"/>
      <c r="AY16"/>
      <c r="BA16"/>
    </row>
    <row r="17" spans="1:53" s="103" customFormat="1" ht="12.75" customHeight="1">
      <c r="A17" s="3" t="s">
        <v>307</v>
      </c>
      <c r="B17" s="3" t="s">
        <v>318</v>
      </c>
      <c r="C17" s="34" t="s">
        <v>320</v>
      </c>
      <c r="D17" s="7">
        <v>27</v>
      </c>
      <c r="E17" s="15">
        <v>0.7</v>
      </c>
      <c r="F17" s="7" t="s">
        <v>337</v>
      </c>
      <c r="G17" s="15">
        <f>(E17+0.0014)/0.0095</f>
        <v>73.831578947368413</v>
      </c>
      <c r="H17" s="7" t="s">
        <v>11</v>
      </c>
      <c r="I17" s="18">
        <f t="shared" si="1"/>
        <v>5.2046507039003602</v>
      </c>
      <c r="J17" s="15" t="s">
        <v>338</v>
      </c>
      <c r="K17" s="7" t="s">
        <v>339</v>
      </c>
      <c r="L17" s="15">
        <f>1.48*E17^0.79</f>
        <v>1.1165782579666386</v>
      </c>
      <c r="M17" s="7">
        <v>35</v>
      </c>
      <c r="N17" s="3"/>
      <c r="O17" s="3"/>
      <c r="S17"/>
      <c r="T17" s="4"/>
      <c r="U17" s="4"/>
      <c r="Y17"/>
      <c r="AA17"/>
      <c r="AH17"/>
      <c r="AI17"/>
      <c r="AJ17" s="3"/>
      <c r="AK17" s="3"/>
      <c r="AL17" s="13"/>
      <c r="AY17"/>
      <c r="BA17"/>
    </row>
    <row r="18" spans="1:53" s="103" customFormat="1" ht="12.75" customHeight="1">
      <c r="A18" s="3" t="s">
        <v>307</v>
      </c>
      <c r="B18" s="3" t="s">
        <v>318</v>
      </c>
      <c r="C18" s="34" t="s">
        <v>321</v>
      </c>
      <c r="D18" s="7">
        <v>22</v>
      </c>
      <c r="E18" s="15">
        <v>28</v>
      </c>
      <c r="F18" s="7" t="s">
        <v>5</v>
      </c>
      <c r="G18" s="15">
        <v>28</v>
      </c>
      <c r="H18" s="7" t="s">
        <v>11</v>
      </c>
      <c r="I18" s="18">
        <f t="shared" si="1"/>
        <v>3.7673122430092327</v>
      </c>
      <c r="J18" s="15" t="s">
        <v>335</v>
      </c>
      <c r="K18" s="7"/>
      <c r="L18" s="15">
        <f>0.7*(E18*4.43/100)</f>
        <v>0.86827999999999994</v>
      </c>
      <c r="M18" s="7">
        <v>41</v>
      </c>
      <c r="N18" s="3"/>
      <c r="O18" s="3"/>
      <c r="S18"/>
      <c r="T18" s="4"/>
      <c r="U18" s="4"/>
      <c r="Y18"/>
      <c r="AA18"/>
      <c r="AH18"/>
      <c r="AI18"/>
      <c r="AJ18" s="3"/>
      <c r="AK18" s="3"/>
      <c r="AL18" s="13"/>
      <c r="AY18"/>
      <c r="BA18"/>
    </row>
    <row r="19" spans="1:53" s="103" customFormat="1" ht="12.75" customHeight="1">
      <c r="A19" s="3" t="s">
        <v>307</v>
      </c>
      <c r="B19" s="3" t="s">
        <v>318</v>
      </c>
      <c r="C19" s="34" t="s">
        <v>329</v>
      </c>
      <c r="D19" s="7">
        <v>25</v>
      </c>
      <c r="E19" s="15">
        <v>43</v>
      </c>
      <c r="F19" s="7" t="s">
        <v>148</v>
      </c>
      <c r="G19" s="15">
        <f>(0.121*E19^2.23)/1000*100/3.63</f>
        <v>14.639067092903701</v>
      </c>
      <c r="H19" s="7" t="s">
        <v>11</v>
      </c>
      <c r="I19" s="18">
        <f t="shared" si="1"/>
        <v>3.0349463089768141</v>
      </c>
      <c r="J19" s="15" t="s">
        <v>330</v>
      </c>
      <c r="K19" s="7" t="s">
        <v>328</v>
      </c>
      <c r="L19" s="15">
        <f>(0.74*((0.121*E19^2.23)/1000)^1.06)/14</f>
        <v>2.7042629112764071E-2</v>
      </c>
      <c r="M19" s="7">
        <v>13</v>
      </c>
      <c r="N19" s="3"/>
      <c r="O19" s="3"/>
      <c r="S19"/>
      <c r="T19" s="4"/>
      <c r="U19" s="4"/>
      <c r="Y19"/>
      <c r="AA19"/>
      <c r="AH19"/>
      <c r="AI19"/>
      <c r="AJ19" s="3"/>
      <c r="AK19" s="3"/>
      <c r="AL19" s="13"/>
      <c r="AY19"/>
      <c r="BA19"/>
    </row>
    <row r="20" spans="1:53" ht="12.75" customHeight="1">
      <c r="A20" t="s">
        <v>37</v>
      </c>
      <c r="B20" t="s">
        <v>15</v>
      </c>
      <c r="C20" s="33" t="s">
        <v>70</v>
      </c>
      <c r="D20" s="6">
        <v>-0.8</v>
      </c>
      <c r="E20" s="14">
        <v>137.93</v>
      </c>
      <c r="F20" s="6" t="s">
        <v>13</v>
      </c>
      <c r="G20" s="14">
        <f>E20/1000*0.45/0.126</f>
        <v>0.49260714285714285</v>
      </c>
      <c r="H20" s="6" t="s">
        <v>124</v>
      </c>
      <c r="I20" s="18">
        <f t="shared" si="1"/>
        <v>0.97983216131804274</v>
      </c>
      <c r="J20" s="14">
        <v>4.17</v>
      </c>
      <c r="K20" s="6" t="s">
        <v>138</v>
      </c>
      <c r="L20" s="14">
        <f t="shared" ref="L20:L31" si="2">J20/14</f>
        <v>0.29785714285714288</v>
      </c>
      <c r="M20" s="7">
        <v>10</v>
      </c>
      <c r="S20"/>
      <c r="AL20" s="10"/>
      <c r="AZ20" s="103"/>
    </row>
    <row r="21" spans="1:53" ht="12.75" customHeight="1">
      <c r="A21" t="s">
        <v>69</v>
      </c>
      <c r="B21" t="s">
        <v>16</v>
      </c>
      <c r="C21" s="33" t="s">
        <v>118</v>
      </c>
      <c r="D21" s="6">
        <v>5</v>
      </c>
      <c r="E21" s="14">
        <v>1.06</v>
      </c>
      <c r="F21" s="6" t="s">
        <v>13</v>
      </c>
      <c r="G21" s="14">
        <f t="shared" ref="G21:G33" si="3">E21/1000*0.45/0.126</f>
        <v>3.7857142857142855E-3</v>
      </c>
      <c r="H21" s="6" t="s">
        <v>124</v>
      </c>
      <c r="I21" s="18">
        <f t="shared" si="1"/>
        <v>0.19336347746476393</v>
      </c>
      <c r="J21" s="14">
        <v>0.09</v>
      </c>
      <c r="K21" s="6" t="s">
        <v>138</v>
      </c>
      <c r="L21" s="14">
        <f t="shared" si="2"/>
        <v>6.4285714285714285E-3</v>
      </c>
      <c r="M21" s="7">
        <v>42</v>
      </c>
      <c r="S21"/>
      <c r="AL21" s="10"/>
      <c r="AZ21" s="103"/>
    </row>
    <row r="22" spans="1:53" ht="12.75" customHeight="1">
      <c r="A22" t="s">
        <v>69</v>
      </c>
      <c r="B22" t="s">
        <v>16</v>
      </c>
      <c r="C22" s="33" t="s">
        <v>117</v>
      </c>
      <c r="D22" s="6">
        <v>5</v>
      </c>
      <c r="E22" s="14">
        <v>2.0299999999999998</v>
      </c>
      <c r="F22" s="6" t="s">
        <v>13</v>
      </c>
      <c r="G22" s="14">
        <f t="shared" si="3"/>
        <v>7.2499999999999995E-3</v>
      </c>
      <c r="H22" s="6" t="s">
        <v>124</v>
      </c>
      <c r="I22" s="18">
        <f t="shared" si="1"/>
        <v>0.24012473473514315</v>
      </c>
      <c r="J22" s="14">
        <v>0.22</v>
      </c>
      <c r="K22" s="6" t="s">
        <v>138</v>
      </c>
      <c r="L22" s="14">
        <f t="shared" si="2"/>
        <v>1.5714285714285715E-2</v>
      </c>
      <c r="M22" s="7">
        <v>42</v>
      </c>
      <c r="S22"/>
      <c r="AL22" s="10"/>
      <c r="AZ22" s="103"/>
    </row>
    <row r="23" spans="1:53" ht="12.75" customHeight="1">
      <c r="A23" t="s">
        <v>69</v>
      </c>
      <c r="B23" t="s">
        <v>16</v>
      </c>
      <c r="C23" s="33" t="s">
        <v>116</v>
      </c>
      <c r="D23" s="6">
        <v>5</v>
      </c>
      <c r="E23" s="14">
        <v>6.49</v>
      </c>
      <c r="F23" s="6" t="s">
        <v>13</v>
      </c>
      <c r="G23" s="14">
        <f t="shared" si="3"/>
        <v>2.3178571428571427E-2</v>
      </c>
      <c r="H23" s="6" t="s">
        <v>124</v>
      </c>
      <c r="I23" s="18">
        <f t="shared" si="1"/>
        <v>0.3537404863403264</v>
      </c>
      <c r="J23" s="14">
        <v>0.21</v>
      </c>
      <c r="K23" s="6" t="s">
        <v>138</v>
      </c>
      <c r="L23" s="14">
        <f t="shared" si="2"/>
        <v>1.4999999999999999E-2</v>
      </c>
      <c r="M23" s="7">
        <v>42</v>
      </c>
      <c r="S23"/>
      <c r="AL23" s="10"/>
      <c r="AZ23" s="103"/>
    </row>
    <row r="24" spans="1:53" ht="12.75" customHeight="1">
      <c r="A24" t="s">
        <v>69</v>
      </c>
      <c r="B24" t="s">
        <v>16</v>
      </c>
      <c r="C24" s="33" t="s">
        <v>115</v>
      </c>
      <c r="D24" s="6">
        <v>5</v>
      </c>
      <c r="E24" s="14">
        <v>5.75</v>
      </c>
      <c r="F24" s="6" t="s">
        <v>13</v>
      </c>
      <c r="G24" s="14">
        <f t="shared" si="3"/>
        <v>2.0535714285714286E-2</v>
      </c>
      <c r="H24" s="6" t="s">
        <v>124</v>
      </c>
      <c r="I24" s="18">
        <f t="shared" si="1"/>
        <v>0.3397498913027685</v>
      </c>
      <c r="J24" s="14">
        <v>7.1999999999999995E-2</v>
      </c>
      <c r="K24" s="6" t="s">
        <v>138</v>
      </c>
      <c r="L24" s="14">
        <f t="shared" si="2"/>
        <v>5.1428571428571426E-3</v>
      </c>
      <c r="M24" s="7">
        <v>42</v>
      </c>
      <c r="S24"/>
      <c r="AZ24" s="103"/>
    </row>
    <row r="25" spans="1:53" ht="12.75" customHeight="1">
      <c r="A25" s="3" t="s">
        <v>69</v>
      </c>
      <c r="B25" t="s">
        <v>16</v>
      </c>
      <c r="C25" s="33" t="s">
        <v>395</v>
      </c>
      <c r="D25" s="6">
        <v>-1</v>
      </c>
      <c r="E25" s="14">
        <v>13.12</v>
      </c>
      <c r="F25" s="6" t="s">
        <v>13</v>
      </c>
      <c r="G25" s="14">
        <f t="shared" si="3"/>
        <v>4.6857142857142861E-2</v>
      </c>
      <c r="H25" s="6" t="s">
        <v>124</v>
      </c>
      <c r="I25" s="18">
        <f t="shared" si="1"/>
        <v>0.4472806692009893</v>
      </c>
      <c r="J25" s="14">
        <v>0.67400000000000004</v>
      </c>
      <c r="K25" s="6" t="s">
        <v>138</v>
      </c>
      <c r="L25" s="14">
        <f t="shared" si="2"/>
        <v>4.8142857142857147E-2</v>
      </c>
      <c r="M25" s="6">
        <v>10</v>
      </c>
      <c r="S25"/>
      <c r="AZ25" s="103"/>
    </row>
    <row r="26" spans="1:53" ht="12.75" customHeight="1">
      <c r="A26" s="3" t="s">
        <v>69</v>
      </c>
      <c r="B26" t="s">
        <v>16</v>
      </c>
      <c r="C26" s="33" t="s">
        <v>72</v>
      </c>
      <c r="D26" s="6">
        <v>-1.1000000000000001</v>
      </c>
      <c r="E26" s="14">
        <v>12.14</v>
      </c>
      <c r="F26" s="6" t="s">
        <v>13</v>
      </c>
      <c r="G26" s="14">
        <f t="shared" si="3"/>
        <v>4.3357142857142858E-2</v>
      </c>
      <c r="H26" s="6" t="s">
        <v>124</v>
      </c>
      <c r="I26" s="18">
        <f t="shared" si="1"/>
        <v>0.43585482556681943</v>
      </c>
      <c r="J26" s="14">
        <v>0.43</v>
      </c>
      <c r="K26" s="6" t="s">
        <v>138</v>
      </c>
      <c r="L26" s="14">
        <f t="shared" si="2"/>
        <v>3.0714285714285715E-2</v>
      </c>
      <c r="M26" s="6">
        <v>10</v>
      </c>
      <c r="S26"/>
      <c r="AZ26" s="103"/>
    </row>
    <row r="27" spans="1:53" ht="12.75" customHeight="1">
      <c r="A27" s="3" t="s">
        <v>69</v>
      </c>
      <c r="B27" t="s">
        <v>16</v>
      </c>
      <c r="C27" s="33" t="s">
        <v>73</v>
      </c>
      <c r="D27" s="6">
        <v>-0.8</v>
      </c>
      <c r="E27" s="14">
        <v>105.3</v>
      </c>
      <c r="F27" s="6" t="s">
        <v>13</v>
      </c>
      <c r="G27" s="14">
        <f t="shared" si="3"/>
        <v>0.37607142857142856</v>
      </c>
      <c r="H27" s="6" t="s">
        <v>124</v>
      </c>
      <c r="I27" s="18">
        <f t="shared" si="1"/>
        <v>0.8955200065852158</v>
      </c>
      <c r="J27" s="14">
        <v>2.64</v>
      </c>
      <c r="K27" s="6" t="s">
        <v>138</v>
      </c>
      <c r="L27" s="14">
        <f t="shared" si="2"/>
        <v>0.18857142857142858</v>
      </c>
      <c r="M27" s="6">
        <v>10</v>
      </c>
      <c r="S27"/>
      <c r="AZ27" s="103"/>
    </row>
    <row r="28" spans="1:53" ht="12.75" customHeight="1">
      <c r="A28" s="3" t="s">
        <v>69</v>
      </c>
      <c r="B28" t="s">
        <v>14</v>
      </c>
      <c r="C28" s="34" t="s">
        <v>120</v>
      </c>
      <c r="D28" s="6">
        <v>-0.8</v>
      </c>
      <c r="E28" s="14">
        <v>1.04</v>
      </c>
      <c r="F28" s="6" t="s">
        <v>13</v>
      </c>
      <c r="G28" s="14">
        <f t="shared" si="3"/>
        <v>3.7142857142857147E-3</v>
      </c>
      <c r="H28" s="6" t="s">
        <v>124</v>
      </c>
      <c r="I28" s="18">
        <f t="shared" si="0"/>
        <v>0.19213963739919826</v>
      </c>
      <c r="J28" s="14">
        <v>0.107</v>
      </c>
      <c r="K28" s="6" t="s">
        <v>138</v>
      </c>
      <c r="L28" s="14">
        <f t="shared" si="2"/>
        <v>7.6428571428571431E-3</v>
      </c>
      <c r="M28" s="6">
        <v>10</v>
      </c>
      <c r="S28"/>
      <c r="AZ28" s="103"/>
    </row>
    <row r="29" spans="1:53" ht="12.75" customHeight="1">
      <c r="A29" s="3" t="s">
        <v>69</v>
      </c>
      <c r="B29" t="s">
        <v>14</v>
      </c>
      <c r="C29" s="34" t="s">
        <v>119</v>
      </c>
      <c r="D29" s="6">
        <v>-1.1000000000000001</v>
      </c>
      <c r="E29" s="14">
        <v>0.26500000000000001</v>
      </c>
      <c r="F29" s="6" t="s">
        <v>13</v>
      </c>
      <c r="G29" s="14">
        <f t="shared" si="3"/>
        <v>9.4642857142857137E-4</v>
      </c>
      <c r="H29" s="6" t="s">
        <v>124</v>
      </c>
      <c r="I29" s="18">
        <f t="shared" si="0"/>
        <v>0.12181192065865963</v>
      </c>
      <c r="J29" s="14">
        <v>3.1199999999999999E-2</v>
      </c>
      <c r="K29" s="6" t="s">
        <v>138</v>
      </c>
      <c r="L29" s="14">
        <f t="shared" si="2"/>
        <v>2.2285714285714283E-3</v>
      </c>
      <c r="M29" s="6">
        <v>10</v>
      </c>
      <c r="S29"/>
      <c r="AZ29" s="103"/>
    </row>
    <row r="30" spans="1:53" ht="12.75" customHeight="1">
      <c r="A30" s="3" t="s">
        <v>69</v>
      </c>
      <c r="B30" t="s">
        <v>23</v>
      </c>
      <c r="C30" s="34" t="s">
        <v>272</v>
      </c>
      <c r="D30" s="6">
        <v>-1.7</v>
      </c>
      <c r="E30" s="14">
        <v>593.9</v>
      </c>
      <c r="F30" s="6" t="s">
        <v>13</v>
      </c>
      <c r="G30" s="14">
        <f t="shared" si="3"/>
        <v>2.1210714285714287</v>
      </c>
      <c r="H30" s="6" t="s">
        <v>124</v>
      </c>
      <c r="I30" s="18">
        <f t="shared" si="0"/>
        <v>1.5940469420495516</v>
      </c>
      <c r="J30" s="14">
        <v>3.46</v>
      </c>
      <c r="K30" s="6" t="s">
        <v>138</v>
      </c>
      <c r="L30" s="14">
        <f t="shared" si="2"/>
        <v>0.24714285714285714</v>
      </c>
      <c r="M30" s="6">
        <v>9</v>
      </c>
      <c r="S30"/>
      <c r="AZ30" s="103"/>
    </row>
    <row r="31" spans="1:53" ht="12.75" customHeight="1">
      <c r="A31" s="3" t="s">
        <v>69</v>
      </c>
      <c r="B31" t="s">
        <v>17</v>
      </c>
      <c r="C31" s="34" t="s">
        <v>75</v>
      </c>
      <c r="D31" s="6">
        <v>-1.6</v>
      </c>
      <c r="E31" s="14">
        <v>252.5</v>
      </c>
      <c r="F31" s="6" t="s">
        <v>13</v>
      </c>
      <c r="G31" s="14">
        <f t="shared" si="3"/>
        <v>0.9017857142857143</v>
      </c>
      <c r="H31" s="6" t="s">
        <v>124</v>
      </c>
      <c r="I31" s="18">
        <f t="shared" si="0"/>
        <v>1.1986296884969148</v>
      </c>
      <c r="J31" s="14">
        <v>4.09</v>
      </c>
      <c r="K31" s="6" t="s">
        <v>138</v>
      </c>
      <c r="L31" s="14">
        <f t="shared" si="2"/>
        <v>0.29214285714285715</v>
      </c>
      <c r="M31" s="6">
        <v>9</v>
      </c>
      <c r="S31"/>
      <c r="AZ31" s="103"/>
    </row>
    <row r="32" spans="1:53" ht="12.75" customHeight="1">
      <c r="A32" s="3" t="s">
        <v>69</v>
      </c>
      <c r="B32" t="s">
        <v>17</v>
      </c>
      <c r="C32" s="33" t="s">
        <v>75</v>
      </c>
      <c r="D32" s="6">
        <v>-1</v>
      </c>
      <c r="E32" s="14">
        <v>353.78</v>
      </c>
      <c r="F32" s="6" t="s">
        <v>13</v>
      </c>
      <c r="G32" s="14">
        <f t="shared" si="3"/>
        <v>1.2635000000000001</v>
      </c>
      <c r="H32" s="6" t="s">
        <v>124</v>
      </c>
      <c r="I32" s="18">
        <f t="shared" si="0"/>
        <v>1.3412462082522969</v>
      </c>
      <c r="J32" s="14">
        <v>10.28</v>
      </c>
      <c r="K32" s="6" t="s">
        <v>138</v>
      </c>
      <c r="L32" s="14">
        <f t="shared" ref="L32:L33" si="4">J32/14</f>
        <v>0.73428571428571421</v>
      </c>
      <c r="M32" s="6">
        <v>10</v>
      </c>
      <c r="S32"/>
      <c r="AZ32" s="103"/>
    </row>
    <row r="33" spans="1:52" ht="12.75" customHeight="1">
      <c r="A33" t="s">
        <v>69</v>
      </c>
      <c r="B33" t="s">
        <v>17</v>
      </c>
      <c r="C33" s="33" t="s">
        <v>74</v>
      </c>
      <c r="D33" s="6">
        <v>-0.8</v>
      </c>
      <c r="E33" s="14">
        <v>22.97</v>
      </c>
      <c r="F33" s="6" t="s">
        <v>13</v>
      </c>
      <c r="G33" s="14">
        <f t="shared" si="3"/>
        <v>8.2035714285714267E-2</v>
      </c>
      <c r="H33" s="6" t="s">
        <v>124</v>
      </c>
      <c r="I33" s="18">
        <f t="shared" si="0"/>
        <v>0.53908225741874127</v>
      </c>
      <c r="J33" s="14">
        <v>0.86299999999999999</v>
      </c>
      <c r="K33" s="6" t="s">
        <v>138</v>
      </c>
      <c r="L33" s="14">
        <f t="shared" si="4"/>
        <v>6.1642857142857145E-2</v>
      </c>
      <c r="M33" s="6">
        <v>10</v>
      </c>
      <c r="S33"/>
      <c r="AZ33" s="103"/>
    </row>
    <row r="34" spans="1:52" ht="12.75" customHeight="1">
      <c r="A34" t="s">
        <v>36</v>
      </c>
      <c r="B34" t="s">
        <v>32</v>
      </c>
      <c r="C34" s="33" t="s">
        <v>55</v>
      </c>
      <c r="D34" s="6">
        <v>11.75</v>
      </c>
      <c r="E34" s="14">
        <f>15.16*1/0.6</f>
        <v>25.266666666666669</v>
      </c>
      <c r="F34" s="6" t="s">
        <v>45</v>
      </c>
      <c r="G34" s="14">
        <v>337.87700000000001</v>
      </c>
      <c r="H34" s="6" t="s">
        <v>124</v>
      </c>
      <c r="I34" s="18">
        <f t="shared" si="0"/>
        <v>8.6409510383365529</v>
      </c>
      <c r="J34" s="14">
        <v>14.4</v>
      </c>
      <c r="K34" s="6" t="s">
        <v>139</v>
      </c>
      <c r="L34" s="14">
        <f>((14.4*738)/14)</f>
        <v>759.08571428571429</v>
      </c>
      <c r="M34" s="6">
        <v>43</v>
      </c>
      <c r="S34"/>
      <c r="AZ34" s="103"/>
    </row>
    <row r="35" spans="1:52">
      <c r="E35" s="14"/>
      <c r="AF35" s="4"/>
      <c r="AG35" s="4"/>
    </row>
    <row r="36" spans="1:52">
      <c r="E36" s="14"/>
      <c r="G36" s="15"/>
      <c r="H36" s="14"/>
      <c r="L36" s="14"/>
      <c r="AF36" s="4"/>
      <c r="AG36" s="4"/>
    </row>
    <row r="37" spans="1:52">
      <c r="G37" s="15"/>
      <c r="H37" s="14"/>
      <c r="L37" s="14"/>
      <c r="AF37" s="4"/>
      <c r="AG37" s="4"/>
    </row>
    <row r="38" spans="1:52" ht="10.5" customHeight="1">
      <c r="AF38" s="4"/>
      <c r="AG38" s="4"/>
    </row>
    <row r="39" spans="1:52">
      <c r="AF39" s="4"/>
      <c r="AG39" s="4"/>
    </row>
    <row r="40" spans="1:52">
      <c r="AF40" s="4"/>
      <c r="AG40" s="4"/>
    </row>
    <row r="41" spans="1:52">
      <c r="AF41" s="4"/>
      <c r="AG41" s="4"/>
    </row>
    <row r="42" spans="1:52">
      <c r="AF42" s="4"/>
      <c r="AG42" s="4"/>
    </row>
    <row r="43" spans="1:52">
      <c r="AF43" s="4"/>
      <c r="AG43" s="4"/>
    </row>
    <row r="44" spans="1:52">
      <c r="A44" s="3"/>
      <c r="AF44" s="4"/>
      <c r="AG44" s="4"/>
    </row>
    <row r="45" spans="1:52">
      <c r="A45" s="3"/>
      <c r="AF45" s="4"/>
      <c r="AG45" s="4"/>
    </row>
    <row r="46" spans="1:52">
      <c r="A46" s="3"/>
      <c r="AF46" s="4"/>
      <c r="AG46" s="4"/>
    </row>
    <row r="47" spans="1:52">
      <c r="A47" s="3"/>
      <c r="AF47" s="4"/>
      <c r="AG47" s="4"/>
    </row>
    <row r="48" spans="1:52">
      <c r="A48" s="3"/>
      <c r="AF48" s="4"/>
      <c r="AG48" s="4"/>
    </row>
    <row r="49" spans="1:33">
      <c r="A49" s="3"/>
      <c r="AF49" s="4"/>
      <c r="AG49" s="4"/>
    </row>
    <row r="50" spans="1:33">
      <c r="A50" s="3"/>
      <c r="AF50" s="4"/>
      <c r="AG50" s="4"/>
    </row>
    <row r="51" spans="1:33">
      <c r="A51" s="3"/>
      <c r="AF51" s="4"/>
      <c r="AG51" s="4"/>
    </row>
    <row r="52" spans="1:33">
      <c r="A52" s="3"/>
      <c r="AF52" s="4"/>
      <c r="AG52" s="4"/>
    </row>
  </sheetData>
  <sortState ref="A11:AG19">
    <sortCondition ref="C11:C19"/>
  </sortState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68"/>
  <sheetViews>
    <sheetView zoomScale="115" zoomScaleNormal="115" workbookViewId="0">
      <selection activeCell="C12" sqref="C12"/>
    </sheetView>
  </sheetViews>
  <sheetFormatPr defaultRowHeight="12.75"/>
  <cols>
    <col min="1" max="1" width="12.7109375" style="10" customWidth="1"/>
    <col min="2" max="2" width="14.42578125" style="10" customWidth="1"/>
    <col min="3" max="3" width="20.140625" style="10" customWidth="1"/>
    <col min="4" max="10" width="9.140625" style="6"/>
    <col min="11" max="11" width="20.5703125" style="6" customWidth="1"/>
    <col min="12" max="12" width="19.28515625" style="6" customWidth="1"/>
    <col min="13" max="13" width="8.85546875" style="6" customWidth="1"/>
    <col min="14" max="15" width="9.140625" style="6"/>
    <col min="16" max="16" width="23.42578125" bestFit="1" customWidth="1"/>
    <col min="19" max="25" width="9.140625" style="3"/>
    <col min="34" max="34" width="23.5703125" customWidth="1"/>
  </cols>
  <sheetData>
    <row r="1" spans="1:44" s="9" customFormat="1" ht="14.25">
      <c r="A1" s="77" t="s">
        <v>82</v>
      </c>
      <c r="B1" s="77" t="s">
        <v>239</v>
      </c>
      <c r="C1" s="77" t="s">
        <v>4</v>
      </c>
      <c r="D1" s="21" t="s">
        <v>195</v>
      </c>
      <c r="E1" s="21" t="s">
        <v>293</v>
      </c>
      <c r="F1" s="21" t="s">
        <v>294</v>
      </c>
      <c r="G1" s="21" t="s">
        <v>9</v>
      </c>
      <c r="H1" s="21" t="s">
        <v>295</v>
      </c>
      <c r="I1" s="21" t="s">
        <v>298</v>
      </c>
      <c r="J1" s="21"/>
      <c r="K1" s="21" t="s">
        <v>299</v>
      </c>
      <c r="L1" s="21" t="s">
        <v>296</v>
      </c>
      <c r="M1" s="21" t="s">
        <v>9</v>
      </c>
      <c r="N1" s="21" t="s">
        <v>3</v>
      </c>
      <c r="O1" s="77" t="s">
        <v>7</v>
      </c>
      <c r="S1" s="118"/>
      <c r="T1" s="118"/>
      <c r="U1" s="118"/>
      <c r="V1" s="118"/>
      <c r="W1" s="118"/>
      <c r="X1" s="118"/>
      <c r="Y1" s="118"/>
      <c r="AD1" s="83"/>
      <c r="AE1" s="83"/>
      <c r="AF1" s="108"/>
      <c r="AG1" s="108"/>
      <c r="AO1" s="83"/>
      <c r="AP1" s="83"/>
      <c r="AQ1" s="108"/>
      <c r="AR1" s="108"/>
    </row>
    <row r="2" spans="1:44" s="3" customFormat="1">
      <c r="A2" s="76" t="s">
        <v>35</v>
      </c>
      <c r="B2" s="76" t="s">
        <v>18</v>
      </c>
      <c r="C2" s="82" t="s">
        <v>24</v>
      </c>
      <c r="D2" s="7">
        <v>11.6</v>
      </c>
      <c r="E2" s="7"/>
      <c r="F2" s="7"/>
      <c r="G2" s="7"/>
      <c r="H2" s="7"/>
      <c r="I2" s="7">
        <v>0.10299999999999999</v>
      </c>
      <c r="J2" s="7">
        <f>LOG(I2/(EXP(-0.65/(0.0000865*(273+D2)))))</f>
        <v>10.479754111893506</v>
      </c>
      <c r="K2" s="84">
        <v>606.70000000000005</v>
      </c>
      <c r="L2" s="7">
        <v>0.10251081373344148</v>
      </c>
      <c r="M2" s="7" t="s">
        <v>11</v>
      </c>
      <c r="N2" s="7">
        <f t="shared" ref="N2:N17" si="0">(((L2/((4/3)*3.142))^0.33333)*2)</f>
        <v>0.58064446186834717</v>
      </c>
      <c r="O2" s="7">
        <v>44</v>
      </c>
      <c r="P2" s="107"/>
      <c r="S2" s="76"/>
      <c r="T2" s="76"/>
      <c r="AD2" s="10"/>
      <c r="AE2" s="10"/>
      <c r="AF2" s="109"/>
      <c r="AG2" s="109"/>
      <c r="AO2" s="10"/>
      <c r="AP2" s="10"/>
      <c r="AQ2" s="109"/>
      <c r="AR2" s="109"/>
    </row>
    <row r="3" spans="1:44" s="3" customFormat="1">
      <c r="A3" s="76" t="s">
        <v>35</v>
      </c>
      <c r="B3" s="76" t="s">
        <v>18</v>
      </c>
      <c r="C3" s="80" t="s">
        <v>279</v>
      </c>
      <c r="D3" s="7">
        <v>11.5</v>
      </c>
      <c r="E3" s="7"/>
      <c r="F3" s="7"/>
      <c r="G3" s="7"/>
      <c r="H3" s="7"/>
      <c r="I3" s="76">
        <v>0.60299999999999998</v>
      </c>
      <c r="J3" s="7">
        <f t="shared" ref="J3:J42" si="1">LOG(I3/(EXP(-0.65/(0.0000865*(273+D3)))))</f>
        <v>11.251264750079693</v>
      </c>
      <c r="K3" s="84">
        <v>13.4</v>
      </c>
      <c r="L3" s="7">
        <v>5.2631578947368429E-3</v>
      </c>
      <c r="M3" s="7" t="s">
        <v>11</v>
      </c>
      <c r="N3" s="7">
        <f t="shared" si="0"/>
        <v>0.21581095798108171</v>
      </c>
      <c r="O3" s="7">
        <v>44</v>
      </c>
      <c r="S3" s="76"/>
      <c r="T3" s="76"/>
      <c r="AD3" s="10"/>
      <c r="AE3" s="10"/>
      <c r="AO3" s="10"/>
      <c r="AP3" s="10"/>
    </row>
    <row r="4" spans="1:44" s="3" customFormat="1">
      <c r="A4" s="76" t="s">
        <v>35</v>
      </c>
      <c r="B4" s="76" t="s">
        <v>18</v>
      </c>
      <c r="C4" s="80" t="s">
        <v>279</v>
      </c>
      <c r="D4" s="7">
        <v>1.6</v>
      </c>
      <c r="E4" s="7">
        <v>0.3</v>
      </c>
      <c r="F4" s="7">
        <v>1.6</v>
      </c>
      <c r="G4" s="7" t="s">
        <v>292</v>
      </c>
      <c r="H4" s="7">
        <v>10</v>
      </c>
      <c r="I4" s="7">
        <v>0.16739764335716717</v>
      </c>
      <c r="J4" s="7">
        <f t="shared" si="1"/>
        <v>11.108252420840213</v>
      </c>
      <c r="K4" s="7"/>
      <c r="L4" s="7">
        <v>2.5220980088370981E-4</v>
      </c>
      <c r="M4" s="7" t="s">
        <v>11</v>
      </c>
      <c r="N4" s="7">
        <f t="shared" si="0"/>
        <v>7.8388028934690976E-2</v>
      </c>
      <c r="O4" s="7">
        <v>45</v>
      </c>
      <c r="S4" s="76"/>
      <c r="T4" s="76"/>
      <c r="AD4" s="10"/>
      <c r="AE4" s="10"/>
      <c r="AO4" s="10"/>
      <c r="AP4" s="10"/>
    </row>
    <row r="5" spans="1:44" s="3" customFormat="1">
      <c r="A5" s="76" t="s">
        <v>35</v>
      </c>
      <c r="B5" s="76" t="s">
        <v>18</v>
      </c>
      <c r="C5" s="81" t="s">
        <v>280</v>
      </c>
      <c r="D5" s="7">
        <v>22</v>
      </c>
      <c r="E5" s="7">
        <v>0.8</v>
      </c>
      <c r="F5" s="7">
        <v>4.5</v>
      </c>
      <c r="G5" s="7" t="s">
        <v>48</v>
      </c>
      <c r="H5" s="7">
        <v>16</v>
      </c>
      <c r="I5" s="7">
        <v>0.12399624999999999</v>
      </c>
      <c r="J5" s="7">
        <f t="shared" si="1"/>
        <v>10.156068029341998</v>
      </c>
      <c r="K5" s="7"/>
      <c r="L5" s="7">
        <v>2.1235742317504154</v>
      </c>
      <c r="M5" s="7" t="s">
        <v>11</v>
      </c>
      <c r="N5" s="7">
        <f t="shared" si="0"/>
        <v>1.5946736658271976</v>
      </c>
      <c r="O5" s="7">
        <v>46</v>
      </c>
      <c r="S5" s="76"/>
      <c r="T5" s="76"/>
      <c r="AD5" s="10"/>
      <c r="AE5" s="10"/>
      <c r="AO5" s="10"/>
      <c r="AP5" s="10"/>
    </row>
    <row r="6" spans="1:44" s="3" customFormat="1">
      <c r="A6" s="76" t="s">
        <v>35</v>
      </c>
      <c r="B6" s="76" t="s">
        <v>0</v>
      </c>
      <c r="C6" s="80" t="s">
        <v>8</v>
      </c>
      <c r="D6" s="7">
        <v>12.2</v>
      </c>
      <c r="E6" s="7"/>
      <c r="F6" s="7"/>
      <c r="G6" s="7"/>
      <c r="H6" s="7"/>
      <c r="I6" s="7">
        <v>0.314</v>
      </c>
      <c r="J6" s="7">
        <f t="shared" si="1"/>
        <v>10.939722586691028</v>
      </c>
      <c r="K6" s="7">
        <v>747.6</v>
      </c>
      <c r="L6" s="7">
        <v>0.2492</v>
      </c>
      <c r="M6" s="7" t="s">
        <v>11</v>
      </c>
      <c r="N6" s="7">
        <f t="shared" si="0"/>
        <v>0.7807316542024495</v>
      </c>
      <c r="O6" s="7">
        <v>44</v>
      </c>
      <c r="S6" s="76"/>
      <c r="T6" s="76"/>
      <c r="AD6" s="10"/>
      <c r="AE6" s="10"/>
      <c r="AO6" s="10"/>
      <c r="AP6" s="10"/>
    </row>
    <row r="7" spans="1:44" s="3" customFormat="1">
      <c r="A7" s="76" t="s">
        <v>35</v>
      </c>
      <c r="B7" s="76" t="s">
        <v>0</v>
      </c>
      <c r="C7" s="80" t="s">
        <v>8</v>
      </c>
      <c r="D7" s="7">
        <v>15</v>
      </c>
      <c r="E7" s="7">
        <v>0.08</v>
      </c>
      <c r="F7" s="7">
        <v>0.98</v>
      </c>
      <c r="G7" s="7" t="s">
        <v>13</v>
      </c>
      <c r="H7" s="7">
        <v>10</v>
      </c>
      <c r="I7" s="7">
        <v>0.25</v>
      </c>
      <c r="J7" s="7">
        <f t="shared" si="1"/>
        <v>10.729483571497733</v>
      </c>
      <c r="K7" s="7">
        <f>EXP((LN(E7)+LN(F7))/2)</f>
        <v>0.27999999999999997</v>
      </c>
      <c r="L7" s="7">
        <v>7.3107049608355087E-3</v>
      </c>
      <c r="M7" s="7" t="s">
        <v>11</v>
      </c>
      <c r="N7" s="7">
        <f t="shared" si="0"/>
        <v>0.24079306213899507</v>
      </c>
      <c r="O7" s="7">
        <v>47</v>
      </c>
      <c r="S7" s="76"/>
      <c r="T7" s="76"/>
      <c r="AD7" s="10"/>
      <c r="AE7" s="10"/>
      <c r="AO7" s="10"/>
      <c r="AP7" s="10"/>
    </row>
    <row r="8" spans="1:44" s="3" customFormat="1">
      <c r="A8" s="76" t="s">
        <v>35</v>
      </c>
      <c r="B8" s="76" t="s">
        <v>0</v>
      </c>
      <c r="C8" s="80" t="s">
        <v>8</v>
      </c>
      <c r="D8" s="7">
        <v>23.5</v>
      </c>
      <c r="E8" s="7">
        <v>28</v>
      </c>
      <c r="F8" s="7">
        <v>47</v>
      </c>
      <c r="G8" s="7" t="s">
        <v>48</v>
      </c>
      <c r="H8" s="7">
        <v>4</v>
      </c>
      <c r="I8" s="7">
        <v>0.37589719868142085</v>
      </c>
      <c r="J8" s="7">
        <f t="shared" si="1"/>
        <v>10.5817623306732</v>
      </c>
      <c r="K8" s="7"/>
      <c r="L8" s="7">
        <v>2.9815185761452172</v>
      </c>
      <c r="M8" s="7" t="s">
        <v>11</v>
      </c>
      <c r="N8" s="7">
        <f t="shared" si="0"/>
        <v>1.7856432185306015</v>
      </c>
      <c r="O8" s="7">
        <v>48</v>
      </c>
      <c r="S8" s="76"/>
      <c r="T8" s="76"/>
      <c r="AD8" s="10"/>
      <c r="AE8" s="10"/>
      <c r="AO8" s="10"/>
      <c r="AP8" s="10"/>
    </row>
    <row r="9" spans="1:44" s="3" customFormat="1">
      <c r="A9" s="76" t="s">
        <v>35</v>
      </c>
      <c r="B9" s="76" t="s">
        <v>0</v>
      </c>
      <c r="C9" s="80" t="s">
        <v>8</v>
      </c>
      <c r="D9" s="84">
        <v>10</v>
      </c>
      <c r="E9" s="76">
        <v>5</v>
      </c>
      <c r="F9" s="76">
        <v>88</v>
      </c>
      <c r="G9" s="7" t="s">
        <v>48</v>
      </c>
      <c r="H9" s="7">
        <v>35</v>
      </c>
      <c r="I9" s="7">
        <v>0.22500000000000001</v>
      </c>
      <c r="J9" s="7">
        <f t="shared" si="1"/>
        <v>10.883930030810301</v>
      </c>
      <c r="K9" s="7"/>
      <c r="L9" s="7">
        <v>1.0882475557384741</v>
      </c>
      <c r="M9" s="7" t="s">
        <v>11</v>
      </c>
      <c r="N9" s="7">
        <f t="shared" si="0"/>
        <v>1.2761239948405503</v>
      </c>
      <c r="O9" s="7">
        <v>49</v>
      </c>
      <c r="S9" s="76"/>
      <c r="T9" s="76"/>
      <c r="AD9" s="10"/>
      <c r="AE9" s="10"/>
      <c r="AO9" s="10"/>
      <c r="AP9" s="10"/>
    </row>
    <row r="10" spans="1:44" s="3" customFormat="1">
      <c r="A10" s="76" t="s">
        <v>35</v>
      </c>
      <c r="B10" s="76" t="s">
        <v>0</v>
      </c>
      <c r="C10" s="80" t="s">
        <v>8</v>
      </c>
      <c r="D10" s="7">
        <v>22.75</v>
      </c>
      <c r="E10" s="7">
        <v>7.8100000000000003E-2</v>
      </c>
      <c r="F10" s="7">
        <v>1.2311000000000001</v>
      </c>
      <c r="G10" s="7" t="s">
        <v>5</v>
      </c>
      <c r="H10" s="7">
        <v>33</v>
      </c>
      <c r="I10" s="7">
        <v>8.4000000000000005E-2</v>
      </c>
      <c r="J10" s="7">
        <f t="shared" si="1"/>
        <v>9.9588846828287441</v>
      </c>
      <c r="K10" s="84"/>
      <c r="L10" s="7">
        <v>0.3100788770619502</v>
      </c>
      <c r="M10" s="7" t="s">
        <v>11</v>
      </c>
      <c r="N10" s="7">
        <f t="shared" si="0"/>
        <v>0.8397361565087339</v>
      </c>
      <c r="O10" s="7">
        <v>50</v>
      </c>
      <c r="S10" s="76"/>
      <c r="T10" s="76"/>
      <c r="AD10" s="10"/>
      <c r="AE10" s="10"/>
      <c r="AO10" s="10"/>
      <c r="AP10" s="10"/>
    </row>
    <row r="11" spans="1:44" s="3" customFormat="1">
      <c r="A11" s="76" t="s">
        <v>35</v>
      </c>
      <c r="B11" s="76" t="s">
        <v>0</v>
      </c>
      <c r="C11" s="80" t="s">
        <v>8</v>
      </c>
      <c r="D11" s="7">
        <v>17</v>
      </c>
      <c r="E11" s="7">
        <v>6.3486000000000002</v>
      </c>
      <c r="F11" s="7">
        <v>7.4405000000000001</v>
      </c>
      <c r="G11" s="7" t="s">
        <v>146</v>
      </c>
      <c r="H11" s="7">
        <v>4.3600000000000003</v>
      </c>
      <c r="I11" s="7">
        <v>0.10299999999999999</v>
      </c>
      <c r="J11" s="7">
        <f t="shared" si="1"/>
        <v>10.266232211235517</v>
      </c>
      <c r="K11" s="7"/>
      <c r="L11" s="76">
        <v>3.0815522951653355E-2</v>
      </c>
      <c r="M11" s="7" t="s">
        <v>11</v>
      </c>
      <c r="N11" s="7">
        <f t="shared" si="0"/>
        <v>0.3889663055327362</v>
      </c>
      <c r="O11" s="7">
        <v>51</v>
      </c>
      <c r="S11" s="76"/>
      <c r="T11" s="76"/>
      <c r="AD11" s="10"/>
      <c r="AE11" s="10"/>
      <c r="AO11" s="10"/>
      <c r="AP11" s="10"/>
    </row>
    <row r="12" spans="1:44" s="3" customFormat="1">
      <c r="A12" s="76" t="s">
        <v>35</v>
      </c>
      <c r="B12" s="76" t="s">
        <v>0</v>
      </c>
      <c r="C12" s="80" t="s">
        <v>8</v>
      </c>
      <c r="D12" s="7">
        <v>14</v>
      </c>
      <c r="E12" s="7">
        <v>6.7</v>
      </c>
      <c r="F12" s="7">
        <v>48.5</v>
      </c>
      <c r="G12" s="7" t="s">
        <v>48</v>
      </c>
      <c r="H12" s="7">
        <v>31</v>
      </c>
      <c r="I12" s="7">
        <v>0.17878959872033054</v>
      </c>
      <c r="J12" s="7">
        <f t="shared" si="1"/>
        <v>10.623368542649969</v>
      </c>
      <c r="K12" s="7"/>
      <c r="L12" s="7">
        <v>0.36445272169153309</v>
      </c>
      <c r="M12" s="7" t="s">
        <v>11</v>
      </c>
      <c r="N12" s="7">
        <f t="shared" si="0"/>
        <v>0.88620111241973742</v>
      </c>
      <c r="O12" s="7">
        <v>52</v>
      </c>
      <c r="S12" s="76"/>
      <c r="T12" s="76"/>
      <c r="AD12" s="10"/>
      <c r="AE12" s="10"/>
      <c r="AO12" s="10"/>
      <c r="AP12" s="10"/>
    </row>
    <row r="13" spans="1:44" s="3" customFormat="1">
      <c r="A13" s="76" t="s">
        <v>35</v>
      </c>
      <c r="B13" s="76" t="s">
        <v>0</v>
      </c>
      <c r="C13" s="80" t="s">
        <v>8</v>
      </c>
      <c r="D13" s="7">
        <v>9</v>
      </c>
      <c r="E13" s="7">
        <v>0.1</v>
      </c>
      <c r="F13" s="7">
        <v>66.599999999999994</v>
      </c>
      <c r="G13" s="7" t="s">
        <v>297</v>
      </c>
      <c r="H13" s="7">
        <v>41</v>
      </c>
      <c r="I13" s="7">
        <v>0.15856804074488753</v>
      </c>
      <c r="J13" s="7">
        <f t="shared" si="1"/>
        <v>10.772855894489354</v>
      </c>
      <c r="K13" s="7"/>
      <c r="L13" s="7">
        <v>8.6023252670426251E-4</v>
      </c>
      <c r="M13" s="7" t="s">
        <v>11</v>
      </c>
      <c r="N13" s="7">
        <f t="shared" si="0"/>
        <v>0.11799563313933478</v>
      </c>
      <c r="O13" s="7">
        <v>45</v>
      </c>
      <c r="S13" s="76"/>
      <c r="T13" s="76"/>
      <c r="AD13" s="10"/>
      <c r="AE13" s="10"/>
      <c r="AO13" s="10"/>
      <c r="AP13" s="10"/>
    </row>
    <row r="14" spans="1:44" s="3" customFormat="1">
      <c r="A14" s="76" t="s">
        <v>35</v>
      </c>
      <c r="B14" s="76" t="s">
        <v>0</v>
      </c>
      <c r="C14" s="80" t="s">
        <v>144</v>
      </c>
      <c r="D14" s="7">
        <v>22</v>
      </c>
      <c r="E14" s="7">
        <v>60</v>
      </c>
      <c r="F14" s="7">
        <v>160</v>
      </c>
      <c r="G14" s="7" t="s">
        <v>48</v>
      </c>
      <c r="H14" s="7">
        <v>16</v>
      </c>
      <c r="I14" s="76">
        <v>0.11700000000000001</v>
      </c>
      <c r="J14" s="7">
        <f t="shared" si="1"/>
        <v>10.130845340030229</v>
      </c>
      <c r="K14" s="7"/>
      <c r="L14" s="7">
        <v>409</v>
      </c>
      <c r="M14" s="7" t="s">
        <v>11</v>
      </c>
      <c r="N14" s="7">
        <f t="shared" si="0"/>
        <v>9.2090781954376251</v>
      </c>
      <c r="O14" s="7">
        <v>53</v>
      </c>
      <c r="S14" s="76"/>
      <c r="T14" s="76"/>
      <c r="AD14" s="10"/>
      <c r="AE14" s="10"/>
      <c r="AO14" s="10"/>
      <c r="AP14" s="10"/>
    </row>
    <row r="15" spans="1:44" s="3" customFormat="1">
      <c r="A15" s="76" t="s">
        <v>35</v>
      </c>
      <c r="B15" s="76" t="s">
        <v>0</v>
      </c>
      <c r="C15" s="80" t="s">
        <v>281</v>
      </c>
      <c r="D15" s="7">
        <v>23</v>
      </c>
      <c r="E15" s="7"/>
      <c r="F15" s="7"/>
      <c r="G15" s="7"/>
      <c r="H15" s="7"/>
      <c r="I15" s="76">
        <v>0.74014264639898264</v>
      </c>
      <c r="J15" s="7">
        <f t="shared" si="1"/>
        <v>10.894601057309687</v>
      </c>
      <c r="K15" s="7">
        <v>9.32</v>
      </c>
      <c r="L15" s="7">
        <v>8.8374028492034969E-3</v>
      </c>
      <c r="M15" s="7" t="s">
        <v>11</v>
      </c>
      <c r="N15" s="7">
        <f t="shared" si="0"/>
        <v>0.25650676696190067</v>
      </c>
      <c r="O15" s="7">
        <v>44</v>
      </c>
      <c r="S15" s="76"/>
      <c r="T15" s="76"/>
      <c r="AD15" s="10"/>
      <c r="AE15" s="10"/>
      <c r="AO15" s="10"/>
      <c r="AP15" s="10"/>
    </row>
    <row r="16" spans="1:44" s="3" customFormat="1">
      <c r="A16" s="76" t="s">
        <v>35</v>
      </c>
      <c r="B16" s="76" t="s">
        <v>0</v>
      </c>
      <c r="C16" s="80" t="s">
        <v>147</v>
      </c>
      <c r="D16" s="7">
        <v>25</v>
      </c>
      <c r="E16" s="7">
        <v>22</v>
      </c>
      <c r="F16" s="7">
        <v>53</v>
      </c>
      <c r="G16" s="7" t="s">
        <v>48</v>
      </c>
      <c r="H16" s="7">
        <v>3</v>
      </c>
      <c r="I16" s="7">
        <v>0.88</v>
      </c>
      <c r="J16" s="7">
        <f t="shared" si="1"/>
        <v>10.895773095283724</v>
      </c>
      <c r="K16" s="7"/>
      <c r="L16" s="7">
        <v>3.5389493708975182</v>
      </c>
      <c r="M16" s="7" t="s">
        <v>11</v>
      </c>
      <c r="N16" s="7">
        <f t="shared" si="0"/>
        <v>1.8906307506685949</v>
      </c>
      <c r="O16" s="7">
        <v>54</v>
      </c>
      <c r="S16" s="76"/>
      <c r="T16" s="76"/>
      <c r="AD16" s="10"/>
      <c r="AE16" s="10"/>
      <c r="AO16" s="10"/>
      <c r="AP16" s="10"/>
    </row>
    <row r="17" spans="1:53" s="3" customFormat="1">
      <c r="A17" s="76" t="s">
        <v>35</v>
      </c>
      <c r="B17" s="76" t="s">
        <v>0</v>
      </c>
      <c r="C17" s="80" t="s">
        <v>282</v>
      </c>
      <c r="D17" s="7">
        <v>4.5</v>
      </c>
      <c r="E17" s="7">
        <v>50</v>
      </c>
      <c r="F17" s="7">
        <v>72</v>
      </c>
      <c r="G17" s="7" t="s">
        <v>48</v>
      </c>
      <c r="H17" s="7">
        <v>15</v>
      </c>
      <c r="I17" s="7">
        <v>8.1193866625574512E-2</v>
      </c>
      <c r="J17" s="7">
        <f t="shared" si="1"/>
        <v>10.669827894538216</v>
      </c>
      <c r="K17" s="7"/>
      <c r="L17" s="7">
        <v>12.275103885238956</v>
      </c>
      <c r="M17" s="7" t="s">
        <v>11</v>
      </c>
      <c r="N17" s="7">
        <f t="shared" si="0"/>
        <v>2.8619048615246716</v>
      </c>
      <c r="O17" s="7">
        <v>55</v>
      </c>
      <c r="S17" s="76"/>
      <c r="T17" s="76"/>
      <c r="AD17" s="10"/>
      <c r="AE17" s="10"/>
      <c r="AO17" s="10"/>
      <c r="AP17" s="10"/>
    </row>
    <row r="18" spans="1:53" s="3" customFormat="1">
      <c r="A18" s="76" t="s">
        <v>35</v>
      </c>
      <c r="B18" s="76" t="s">
        <v>0</v>
      </c>
      <c r="C18" s="80" t="s">
        <v>150</v>
      </c>
      <c r="D18" s="7">
        <v>25</v>
      </c>
      <c r="E18" s="7">
        <v>1.5</v>
      </c>
      <c r="F18" s="7">
        <v>29</v>
      </c>
      <c r="G18" s="7" t="s">
        <v>5</v>
      </c>
      <c r="H18" s="7">
        <v>28</v>
      </c>
      <c r="I18" s="7">
        <v>0.10577966863851106</v>
      </c>
      <c r="J18" s="7">
        <f t="shared" si="1"/>
        <v>9.9756926253637754</v>
      </c>
      <c r="K18" s="7"/>
      <c r="L18" s="7">
        <v>6.5954529791364589</v>
      </c>
      <c r="M18" s="7" t="s">
        <v>11</v>
      </c>
      <c r="N18" s="7">
        <f>(((L18/((4/3)*3.142))^0.33333)*2)</f>
        <v>2.3266402791084526</v>
      </c>
      <c r="O18" s="7">
        <v>56</v>
      </c>
      <c r="S18" s="76"/>
      <c r="T18" s="76"/>
      <c r="AD18" s="10"/>
      <c r="AE18" s="10"/>
      <c r="AF18"/>
      <c r="AG18"/>
      <c r="AO18" s="10"/>
      <c r="AP18" s="10"/>
      <c r="AQ18"/>
      <c r="AR18"/>
    </row>
    <row r="19" spans="1:53" s="3" customFormat="1">
      <c r="A19" s="76" t="s">
        <v>307</v>
      </c>
      <c r="B19" s="76" t="s">
        <v>317</v>
      </c>
      <c r="C19" s="80" t="s">
        <v>306</v>
      </c>
      <c r="D19" s="7">
        <v>26</v>
      </c>
      <c r="E19" s="7">
        <v>3.17</v>
      </c>
      <c r="F19" s="7">
        <v>11.8</v>
      </c>
      <c r="G19" s="7" t="s">
        <v>5</v>
      </c>
      <c r="H19" s="7">
        <v>14</v>
      </c>
      <c r="I19" s="7">
        <f>LN(F19/E19)/4</f>
        <v>0.32859198589560751</v>
      </c>
      <c r="J19" s="7">
        <f t="shared" si="1"/>
        <v>10.431321000880219</v>
      </c>
      <c r="K19" s="7"/>
      <c r="L19" s="7">
        <f>EXP((LN(E19)+LN(F19))/2)</f>
        <v>6.1160444733504029</v>
      </c>
      <c r="M19" s="7" t="s">
        <v>11</v>
      </c>
      <c r="N19" s="7">
        <f>(((L19/((4/3)*3.142))^0.33333)*2)</f>
        <v>2.2688442671917386</v>
      </c>
      <c r="O19" s="7">
        <v>24</v>
      </c>
      <c r="T19" s="76"/>
      <c r="AD19" s="10"/>
      <c r="AE19" s="10"/>
      <c r="AF19"/>
      <c r="AG19"/>
      <c r="AO19" s="10"/>
      <c r="AP19" s="10"/>
    </row>
    <row r="20" spans="1:53" s="3" customFormat="1">
      <c r="A20" s="76" t="s">
        <v>307</v>
      </c>
      <c r="B20" s="76" t="s">
        <v>318</v>
      </c>
      <c r="C20" s="80" t="s">
        <v>341</v>
      </c>
      <c r="D20" s="7">
        <v>16</v>
      </c>
      <c r="E20" s="7"/>
      <c r="F20" s="7"/>
      <c r="G20" s="7"/>
      <c r="H20" s="7"/>
      <c r="I20" s="7">
        <v>0.376</v>
      </c>
      <c r="J20" s="7">
        <f t="shared" si="1"/>
        <v>10.867521914456381</v>
      </c>
      <c r="K20" s="7">
        <v>15577.2</v>
      </c>
      <c r="L20" s="7">
        <v>25.178000000000001</v>
      </c>
      <c r="M20" s="7" t="s">
        <v>11</v>
      </c>
      <c r="N20" s="7">
        <f>(((L20/((4/3)*3.142))^0.33333)*2)</f>
        <v>3.6362424850511239</v>
      </c>
      <c r="O20" s="7">
        <v>44</v>
      </c>
      <c r="T20" s="76"/>
      <c r="V20" s="7"/>
      <c r="AD20" s="10"/>
      <c r="AE20" s="10"/>
      <c r="AF20"/>
      <c r="AG20"/>
      <c r="AO20" s="10"/>
      <c r="AP20" s="10"/>
    </row>
    <row r="21" spans="1:53" s="3" customFormat="1">
      <c r="A21" s="76" t="s">
        <v>307</v>
      </c>
      <c r="B21" s="76" t="s">
        <v>318</v>
      </c>
      <c r="C21" s="80" t="s">
        <v>320</v>
      </c>
      <c r="D21" s="7">
        <v>26.3</v>
      </c>
      <c r="E21" s="7">
        <v>0.19</v>
      </c>
      <c r="F21" s="7">
        <f>E21*4.86</f>
        <v>0.92340000000000011</v>
      </c>
      <c r="G21" s="7" t="s">
        <v>325</v>
      </c>
      <c r="H21" s="7">
        <v>4</v>
      </c>
      <c r="I21" s="7">
        <f>LN(F21/E21)/4</f>
        <v>0.39525960947810063</v>
      </c>
      <c r="J21" s="7">
        <f t="shared" si="1"/>
        <v>10.500606279831349</v>
      </c>
      <c r="K21" s="7"/>
      <c r="L21" s="7">
        <f>EXP((LN(E21)+LN(F21))/2)</f>
        <v>0.41886274601592349</v>
      </c>
      <c r="M21" s="7" t="s">
        <v>325</v>
      </c>
      <c r="N21" s="7">
        <f>(((L21/((4/3)*3.142))^0.33333)*2)</f>
        <v>0.92827275070854642</v>
      </c>
      <c r="O21" s="7">
        <v>57</v>
      </c>
      <c r="T21" s="76"/>
      <c r="AD21" s="10"/>
      <c r="AE21" s="10"/>
      <c r="AF21"/>
      <c r="AG21"/>
      <c r="AO21" s="10"/>
      <c r="AP21" s="10"/>
    </row>
    <row r="22" spans="1:53" s="3" customFormat="1">
      <c r="A22" s="76" t="s">
        <v>307</v>
      </c>
      <c r="B22" s="76" t="s">
        <v>318</v>
      </c>
      <c r="C22" s="80" t="s">
        <v>321</v>
      </c>
      <c r="D22" s="7">
        <v>26</v>
      </c>
      <c r="E22" s="7"/>
      <c r="F22" s="7"/>
      <c r="G22" s="7"/>
      <c r="H22" s="7"/>
      <c r="I22" s="7">
        <v>0.78</v>
      </c>
      <c r="J22" s="7">
        <f t="shared" si="1"/>
        <v>10.806758636449009</v>
      </c>
      <c r="K22" s="7">
        <v>44.21</v>
      </c>
      <c r="L22" s="7">
        <f>(K22/1000000)*100/1.91*100/4.43</f>
        <v>5.22496543084396E-2</v>
      </c>
      <c r="M22" s="7" t="s">
        <v>11</v>
      </c>
      <c r="N22" s="7">
        <f>(((L22/((4/3)*3.142))^0.33333)*2)</f>
        <v>0.46381968567400644</v>
      </c>
      <c r="O22" s="7">
        <v>44</v>
      </c>
      <c r="T22" s="76"/>
      <c r="AD22" s="10"/>
      <c r="AE22" s="10"/>
      <c r="AF22"/>
      <c r="AG22"/>
      <c r="AO22" s="10"/>
      <c r="AP22" s="10"/>
    </row>
    <row r="23" spans="1:53" s="3" customFormat="1">
      <c r="A23" s="76" t="s">
        <v>307</v>
      </c>
      <c r="B23" s="76" t="s">
        <v>318</v>
      </c>
      <c r="C23" s="80" t="s">
        <v>342</v>
      </c>
      <c r="D23" s="7">
        <v>13</v>
      </c>
      <c r="E23" s="7"/>
      <c r="F23" s="7"/>
      <c r="G23" s="7"/>
      <c r="H23" s="7"/>
      <c r="I23" s="7">
        <v>0.51</v>
      </c>
      <c r="J23" s="7">
        <f t="shared" si="1"/>
        <v>11.118355302300033</v>
      </c>
      <c r="K23" s="7">
        <v>0.1</v>
      </c>
      <c r="L23" s="7">
        <f>K23/1000000*100/3.514*100/4.15</f>
        <v>6.8572525731840284E-5</v>
      </c>
      <c r="M23" s="7" t="s">
        <v>11</v>
      </c>
      <c r="N23" s="7">
        <f t="shared" ref="N23:N24" si="2">(((L23/((4/3)*3.142))^0.33333)*2)</f>
        <v>5.0782532903959732E-2</v>
      </c>
      <c r="O23" s="7">
        <v>44</v>
      </c>
      <c r="T23" s="76"/>
      <c r="AD23" s="10"/>
      <c r="AE23" s="10"/>
      <c r="AF23"/>
      <c r="AG23"/>
      <c r="AO23" s="10"/>
      <c r="AP23" s="10"/>
    </row>
    <row r="24" spans="1:53" s="3" customFormat="1">
      <c r="A24" s="76" t="s">
        <v>307</v>
      </c>
      <c r="B24" s="76" t="s">
        <v>318</v>
      </c>
      <c r="C24" s="80" t="s">
        <v>342</v>
      </c>
      <c r="D24" s="7">
        <v>14.2</v>
      </c>
      <c r="E24" s="7"/>
      <c r="F24" s="7"/>
      <c r="G24" s="7"/>
      <c r="H24" s="7"/>
      <c r="I24" s="7">
        <v>0.20399999999999999</v>
      </c>
      <c r="J24" s="7">
        <f t="shared" si="1"/>
        <v>10.672737918448879</v>
      </c>
      <c r="K24" s="7">
        <v>248.2</v>
      </c>
      <c r="L24" s="7">
        <f>K24/1000000*100/3.514*100/4.15</f>
        <v>0.17019700886642758</v>
      </c>
      <c r="M24" s="7" t="s">
        <v>11</v>
      </c>
      <c r="N24" s="7">
        <f t="shared" si="2"/>
        <v>0.68754896867842596</v>
      </c>
      <c r="O24" s="7">
        <v>44</v>
      </c>
      <c r="T24" s="76"/>
      <c r="AD24" s="10"/>
      <c r="AE24" s="10"/>
      <c r="AF24"/>
      <c r="AG24"/>
      <c r="AO24" s="10"/>
      <c r="AP24" s="10"/>
    </row>
    <row r="25" spans="1:53" s="3" customFormat="1">
      <c r="A25" s="76" t="s">
        <v>307</v>
      </c>
      <c r="B25" s="76" t="s">
        <v>318</v>
      </c>
      <c r="C25" s="80" t="s">
        <v>304</v>
      </c>
      <c r="D25" s="7">
        <v>15</v>
      </c>
      <c r="E25" s="7">
        <f>(10^(-1.54+2.65*LOG(7.6)))*100/3.9/1000</f>
        <v>0.15962150913735371</v>
      </c>
      <c r="F25" s="3">
        <f>EXP(((I25*H25)+LN(E25)))</f>
        <v>0.20909850254232556</v>
      </c>
      <c r="G25" s="7" t="s">
        <v>5</v>
      </c>
      <c r="H25" s="7">
        <v>3</v>
      </c>
      <c r="I25" s="7">
        <v>0.09</v>
      </c>
      <c r="J25" s="7">
        <f t="shared" si="1"/>
        <v>10.285786072265019</v>
      </c>
      <c r="K25" s="7"/>
      <c r="L25" s="7">
        <f>EXP((LN(E25)+LN(F25))/2)</f>
        <v>0.18269268878137077</v>
      </c>
      <c r="M25" s="7" t="s">
        <v>11</v>
      </c>
      <c r="N25" s="7">
        <f>(((L25/((4/3)*3.142))^0.33333)*2)</f>
        <v>0.70397939393186826</v>
      </c>
      <c r="O25" s="7">
        <v>26</v>
      </c>
      <c r="T25" s="76"/>
      <c r="AD25" s="10"/>
      <c r="AE25" s="10"/>
      <c r="AF25"/>
      <c r="AG25"/>
      <c r="AO25" s="10"/>
      <c r="AP25" s="10"/>
    </row>
    <row r="26" spans="1:53" ht="14.25">
      <c r="A26" s="36" t="s">
        <v>69</v>
      </c>
      <c r="B26" s="36" t="s">
        <v>16</v>
      </c>
      <c r="C26" s="42" t="s">
        <v>283</v>
      </c>
      <c r="D26" s="6">
        <v>8</v>
      </c>
      <c r="I26" s="6">
        <v>0.13</v>
      </c>
      <c r="J26" s="7">
        <f t="shared" si="1"/>
        <v>10.727767359758081</v>
      </c>
      <c r="K26" s="6">
        <v>15</v>
      </c>
      <c r="L26" s="6">
        <v>1.25E-4</v>
      </c>
      <c r="M26" s="6" t="s">
        <v>124</v>
      </c>
      <c r="N26" s="6">
        <v>6.2034522691702718E-2</v>
      </c>
      <c r="O26" s="7">
        <v>44</v>
      </c>
      <c r="Q26" s="3"/>
      <c r="R26" s="3"/>
      <c r="U26" s="76"/>
      <c r="AK26" s="3"/>
      <c r="AU26" s="3"/>
      <c r="AW26" s="3"/>
      <c r="BA26" s="3"/>
    </row>
    <row r="27" spans="1:53" ht="14.25">
      <c r="A27" s="36" t="s">
        <v>69</v>
      </c>
      <c r="B27" s="36" t="s">
        <v>155</v>
      </c>
      <c r="C27" s="42" t="s">
        <v>211</v>
      </c>
      <c r="D27" s="6">
        <v>8</v>
      </c>
      <c r="I27" s="6">
        <v>0.12</v>
      </c>
      <c r="J27" s="7">
        <f t="shared" si="1"/>
        <v>10.693005253498869</v>
      </c>
      <c r="K27" s="6">
        <v>11.1</v>
      </c>
      <c r="L27" s="6">
        <v>9.2500000000000012E-5</v>
      </c>
      <c r="M27" s="6" t="s">
        <v>124</v>
      </c>
      <c r="N27" s="6">
        <v>5.611054075416004E-2</v>
      </c>
      <c r="O27" s="7">
        <v>44</v>
      </c>
      <c r="Q27" s="3"/>
      <c r="R27" s="3"/>
      <c r="U27" s="76"/>
      <c r="AK27" s="3"/>
      <c r="AU27" s="3"/>
      <c r="AW27" s="3"/>
      <c r="BA27" s="3"/>
    </row>
    <row r="28" spans="1:53" ht="14.25">
      <c r="A28" s="36" t="s">
        <v>69</v>
      </c>
      <c r="B28" s="36" t="s">
        <v>155</v>
      </c>
      <c r="C28" s="42" t="s">
        <v>211</v>
      </c>
      <c r="D28" s="6">
        <v>11.5</v>
      </c>
      <c r="I28" s="6">
        <v>0.22800000000000001</v>
      </c>
      <c r="J28" s="7">
        <f t="shared" si="1"/>
        <v>10.828882284939997</v>
      </c>
      <c r="K28" s="6">
        <v>2.54</v>
      </c>
      <c r="L28" s="6">
        <v>9.2500000000000012E-5</v>
      </c>
      <c r="M28" s="6" t="s">
        <v>124</v>
      </c>
      <c r="N28" s="78">
        <v>3.4320228320205599E-2</v>
      </c>
      <c r="O28" s="7">
        <v>44</v>
      </c>
      <c r="Q28" s="3"/>
      <c r="R28" s="3"/>
      <c r="U28" s="76"/>
      <c r="AK28" s="3"/>
      <c r="AU28" s="3"/>
      <c r="AW28" s="3"/>
      <c r="BA28" s="3"/>
    </row>
    <row r="29" spans="1:53" ht="14.25">
      <c r="A29" s="36" t="s">
        <v>69</v>
      </c>
      <c r="B29" s="36" t="s">
        <v>155</v>
      </c>
      <c r="C29" s="79" t="s">
        <v>75</v>
      </c>
      <c r="D29" s="6">
        <v>0.8</v>
      </c>
      <c r="I29" s="6">
        <v>8.6E-3</v>
      </c>
      <c r="J29" s="7">
        <f t="shared" si="1"/>
        <v>9.8537261579411553</v>
      </c>
      <c r="K29" s="6">
        <v>14953</v>
      </c>
      <c r="L29" s="6">
        <v>0.12460833333333333</v>
      </c>
      <c r="M29" s="6" t="s">
        <v>124</v>
      </c>
      <c r="N29" s="6">
        <v>0.61968237050267605</v>
      </c>
      <c r="O29" s="7">
        <v>44</v>
      </c>
      <c r="Q29" s="3"/>
      <c r="R29" s="3"/>
      <c r="U29" s="76"/>
      <c r="AK29" s="3"/>
      <c r="AU29" s="3"/>
      <c r="AW29" s="3"/>
      <c r="BA29" s="3"/>
    </row>
    <row r="30" spans="1:53" ht="14.25">
      <c r="A30" s="36" t="s">
        <v>69</v>
      </c>
      <c r="B30" s="36" t="s">
        <v>155</v>
      </c>
      <c r="C30" s="80" t="s">
        <v>284</v>
      </c>
      <c r="D30" s="6">
        <v>7</v>
      </c>
      <c r="I30" s="6">
        <v>0.1237</v>
      </c>
      <c r="J30" s="7">
        <f t="shared" si="1"/>
        <v>10.74767164996412</v>
      </c>
      <c r="K30" s="6">
        <v>6.04</v>
      </c>
      <c r="L30" s="6">
        <v>5.0333333333333335E-5</v>
      </c>
      <c r="M30" s="6" t="s">
        <v>124</v>
      </c>
      <c r="N30" s="6">
        <v>4.5808913196201589E-2</v>
      </c>
      <c r="O30" s="7">
        <v>44</v>
      </c>
      <c r="Q30" s="3"/>
      <c r="R30" s="3"/>
      <c r="U30" s="76"/>
      <c r="AK30" s="3"/>
      <c r="AU30" s="3"/>
      <c r="AW30" s="3"/>
      <c r="BA30" s="3"/>
    </row>
    <row r="31" spans="1:53" ht="14.25">
      <c r="A31" s="36" t="s">
        <v>36</v>
      </c>
      <c r="B31" s="36" t="s">
        <v>32</v>
      </c>
      <c r="C31" s="42" t="s">
        <v>65</v>
      </c>
      <c r="D31" s="6">
        <v>20.5</v>
      </c>
      <c r="E31" s="6">
        <v>72.2</v>
      </c>
      <c r="F31" s="6">
        <v>130</v>
      </c>
      <c r="G31" s="6" t="s">
        <v>5</v>
      </c>
      <c r="H31" s="6">
        <v>28</v>
      </c>
      <c r="I31" s="6">
        <v>2.1140470745141696E-2</v>
      </c>
      <c r="J31" s="7">
        <f t="shared" si="1"/>
        <v>9.4443124257656894</v>
      </c>
      <c r="L31" s="6">
        <v>53.836063455251015</v>
      </c>
      <c r="M31" s="6" t="s">
        <v>124</v>
      </c>
      <c r="N31" s="6">
        <v>4.6845630900145521</v>
      </c>
      <c r="O31" s="7">
        <v>58</v>
      </c>
      <c r="Q31" s="3"/>
      <c r="R31" s="3"/>
      <c r="V31" s="76"/>
      <c r="AK31" s="3"/>
      <c r="AU31" s="3"/>
      <c r="AW31" s="3"/>
      <c r="BA31" s="3"/>
    </row>
    <row r="32" spans="1:53" ht="14.25">
      <c r="A32" s="36" t="s">
        <v>36</v>
      </c>
      <c r="B32" s="36" t="s">
        <v>32</v>
      </c>
      <c r="C32" s="42" t="s">
        <v>285</v>
      </c>
      <c r="D32" s="6">
        <v>20.5</v>
      </c>
      <c r="E32" s="6">
        <v>13</v>
      </c>
      <c r="F32" s="6">
        <v>39.200000000000003</v>
      </c>
      <c r="G32" s="6" t="s">
        <v>5</v>
      </c>
      <c r="H32" s="6">
        <v>33</v>
      </c>
      <c r="I32" s="6">
        <v>3.3000000000000002E-2</v>
      </c>
      <c r="J32" s="7">
        <f t="shared" si="1"/>
        <v>9.637711711918092</v>
      </c>
      <c r="L32" s="6">
        <v>12.520283170220237</v>
      </c>
      <c r="M32" s="6" t="s">
        <v>124</v>
      </c>
      <c r="N32" s="6">
        <v>2.8808334790269075</v>
      </c>
      <c r="O32" s="7">
        <v>58</v>
      </c>
      <c r="Q32" s="3"/>
      <c r="R32" s="3"/>
      <c r="V32" s="76"/>
      <c r="AK32" s="3"/>
      <c r="AU32" s="3"/>
      <c r="AW32" s="3"/>
      <c r="BA32" s="3"/>
    </row>
    <row r="33" spans="1:53" ht="14.25">
      <c r="A33" s="36" t="s">
        <v>20</v>
      </c>
      <c r="B33" s="36" t="s">
        <v>20</v>
      </c>
      <c r="C33" s="42" t="s">
        <v>286</v>
      </c>
      <c r="D33" s="6">
        <v>18.5</v>
      </c>
      <c r="I33" s="6">
        <v>6.5000000000000002E-2</v>
      </c>
      <c r="J33" s="7">
        <f t="shared" si="1"/>
        <v>10.008400650275103</v>
      </c>
      <c r="K33" s="6">
        <v>13.16</v>
      </c>
      <c r="L33" s="6">
        <v>1.0966666666666667E-4</v>
      </c>
      <c r="M33" s="6" t="s">
        <v>124</v>
      </c>
      <c r="N33" s="6">
        <v>5.9386606759369485E-2</v>
      </c>
      <c r="O33" s="7">
        <v>44</v>
      </c>
      <c r="Q33" s="3"/>
      <c r="R33" s="3"/>
      <c r="W33" s="76"/>
      <c r="AK33" s="3"/>
      <c r="AU33" s="3"/>
      <c r="AW33" s="3"/>
      <c r="BA33" s="3"/>
    </row>
    <row r="34" spans="1:53" ht="14.25">
      <c r="A34" s="36" t="s">
        <v>20</v>
      </c>
      <c r="B34" s="36" t="s">
        <v>20</v>
      </c>
      <c r="C34" s="79" t="s">
        <v>81</v>
      </c>
      <c r="D34" s="6">
        <v>8.3000000000000007</v>
      </c>
      <c r="I34" s="6">
        <v>0.153</v>
      </c>
      <c r="J34" s="7">
        <f t="shared" si="1"/>
        <v>10.786129561261253</v>
      </c>
      <c r="K34" s="6">
        <v>87.6</v>
      </c>
      <c r="L34" s="6">
        <v>7.2999999999999996E-4</v>
      </c>
      <c r="M34" s="6" t="s">
        <v>124</v>
      </c>
      <c r="N34" s="6">
        <v>0.11171251759371581</v>
      </c>
      <c r="O34" s="7">
        <v>44</v>
      </c>
      <c r="Q34" s="3"/>
      <c r="R34" s="3"/>
      <c r="W34" s="76"/>
      <c r="AK34" s="3"/>
      <c r="AU34" s="3"/>
      <c r="AW34" s="3"/>
      <c r="BA34" s="3"/>
    </row>
    <row r="35" spans="1:53" ht="14.25">
      <c r="A35" s="36" t="s">
        <v>20</v>
      </c>
      <c r="B35" s="36" t="s">
        <v>20</v>
      </c>
      <c r="C35" s="42" t="s">
        <v>287</v>
      </c>
      <c r="D35" s="6">
        <v>21</v>
      </c>
      <c r="I35" s="6">
        <v>0.25</v>
      </c>
      <c r="J35" s="7">
        <f t="shared" si="1"/>
        <v>10.498227580419655</v>
      </c>
      <c r="K35" s="6">
        <v>4.53</v>
      </c>
      <c r="L35" s="6">
        <v>3.7750000000000003E-5</v>
      </c>
      <c r="M35" s="6" t="s">
        <v>124</v>
      </c>
      <c r="N35" s="6">
        <v>4.1620199663304096E-2</v>
      </c>
      <c r="O35" s="7">
        <v>44</v>
      </c>
      <c r="Q35" s="3"/>
      <c r="R35" s="3"/>
      <c r="W35" s="76"/>
      <c r="AK35" s="3"/>
      <c r="AU35" s="3"/>
      <c r="AW35" s="3"/>
      <c r="BA35" s="3"/>
    </row>
    <row r="36" spans="1:53" ht="14.25">
      <c r="A36" s="36" t="s">
        <v>20</v>
      </c>
      <c r="B36" s="36" t="s">
        <v>20</v>
      </c>
      <c r="C36" s="42" t="s">
        <v>287</v>
      </c>
      <c r="D36" s="6">
        <v>21</v>
      </c>
      <c r="I36" s="6">
        <v>0.13500000000000001</v>
      </c>
      <c r="J36" s="7">
        <f t="shared" si="1"/>
        <v>10.230621340242624</v>
      </c>
      <c r="K36" s="6">
        <v>36.799999999999997</v>
      </c>
      <c r="L36" s="6">
        <v>3.0666666666666668E-4</v>
      </c>
      <c r="M36" s="6" t="s">
        <v>124</v>
      </c>
      <c r="N36" s="6">
        <v>8.366638390919108E-2</v>
      </c>
      <c r="O36" s="7">
        <v>44</v>
      </c>
      <c r="Q36" s="3"/>
      <c r="R36" s="3"/>
      <c r="W36" s="76"/>
      <c r="AK36" s="3"/>
      <c r="AU36" s="3"/>
      <c r="AW36" s="3"/>
      <c r="BA36" s="3"/>
    </row>
    <row r="37" spans="1:53" ht="14.25">
      <c r="A37" s="36" t="s">
        <v>43</v>
      </c>
      <c r="B37" s="36" t="s">
        <v>44</v>
      </c>
      <c r="C37" s="42" t="s">
        <v>114</v>
      </c>
      <c r="D37" s="6">
        <v>16.2</v>
      </c>
      <c r="E37" s="6">
        <v>0.4</v>
      </c>
      <c r="F37" s="6">
        <v>2</v>
      </c>
      <c r="G37" s="6" t="s">
        <v>218</v>
      </c>
      <c r="H37" s="6">
        <v>30</v>
      </c>
      <c r="I37" s="6">
        <v>0.16094379124341002</v>
      </c>
      <c r="J37" s="7">
        <f t="shared" si="1"/>
        <v>10.49119893735903</v>
      </c>
      <c r="L37" s="6">
        <v>1.4988214581982594E-2</v>
      </c>
      <c r="M37" s="6" t="s">
        <v>124</v>
      </c>
      <c r="N37" s="6">
        <v>0.30590000000000001</v>
      </c>
      <c r="O37" s="7">
        <v>59</v>
      </c>
      <c r="Q37" s="3"/>
      <c r="R37" s="3"/>
      <c r="X37" s="76"/>
      <c r="AK37" s="3"/>
      <c r="AU37" s="3"/>
      <c r="AW37" s="3"/>
      <c r="BA37" s="3"/>
    </row>
    <row r="38" spans="1:53" ht="14.25">
      <c r="A38" s="36" t="s">
        <v>43</v>
      </c>
      <c r="B38" s="36" t="s">
        <v>44</v>
      </c>
      <c r="C38" s="81" t="s">
        <v>288</v>
      </c>
      <c r="D38" s="6">
        <v>16.3</v>
      </c>
      <c r="E38" s="6">
        <v>3.5</v>
      </c>
      <c r="F38" s="6">
        <v>21</v>
      </c>
      <c r="G38" s="6" t="s">
        <v>13</v>
      </c>
      <c r="H38" s="6">
        <v>21</v>
      </c>
      <c r="I38" s="6">
        <v>8.5321879487050237E-2</v>
      </c>
      <c r="J38" s="7">
        <f t="shared" si="1"/>
        <v>10.211684492741711</v>
      </c>
      <c r="L38" s="6">
        <v>3.0618621784789732E-2</v>
      </c>
      <c r="M38" s="6" t="s">
        <v>124</v>
      </c>
      <c r="N38" s="6">
        <v>0.38800000000000001</v>
      </c>
      <c r="O38" s="7">
        <v>60</v>
      </c>
      <c r="Q38" s="3"/>
      <c r="R38" s="3"/>
      <c r="X38" s="76"/>
      <c r="AK38" s="3"/>
      <c r="AU38" s="3"/>
      <c r="AW38" s="3"/>
      <c r="BA38" s="3"/>
    </row>
    <row r="39" spans="1:53" ht="14.25">
      <c r="A39" s="36" t="s">
        <v>43</v>
      </c>
      <c r="B39" s="36" t="s">
        <v>44</v>
      </c>
      <c r="C39" s="81" t="s">
        <v>289</v>
      </c>
      <c r="D39" s="6">
        <v>29</v>
      </c>
      <c r="E39" s="6">
        <v>0.25136833187997665</v>
      </c>
      <c r="F39" s="6">
        <v>1.0998392603530416</v>
      </c>
      <c r="G39" s="6" t="s">
        <v>218</v>
      </c>
      <c r="H39" s="6">
        <v>12</v>
      </c>
      <c r="I39" s="6">
        <v>0.36900000000000005</v>
      </c>
      <c r="J39" s="7">
        <f t="shared" si="1"/>
        <v>10.373266585012702</v>
      </c>
      <c r="L39" s="6">
        <v>3.0449109353032785E-3</v>
      </c>
      <c r="M39" s="6" t="s">
        <v>124</v>
      </c>
      <c r="N39" s="6">
        <v>0.17979999999999999</v>
      </c>
      <c r="O39" s="7">
        <v>61</v>
      </c>
      <c r="Q39" s="3"/>
      <c r="R39" s="3"/>
      <c r="X39" s="76"/>
      <c r="AK39" s="3"/>
      <c r="AU39" s="3"/>
      <c r="AW39" s="3"/>
      <c r="BA39" s="3"/>
    </row>
    <row r="40" spans="1:53" ht="14.25">
      <c r="A40" s="36" t="s">
        <v>43</v>
      </c>
      <c r="B40" s="36" t="s">
        <v>44</v>
      </c>
      <c r="C40" s="42" t="s">
        <v>290</v>
      </c>
      <c r="D40" s="6">
        <v>26.4</v>
      </c>
      <c r="E40" s="6">
        <v>0.61</v>
      </c>
      <c r="F40" s="6">
        <v>1.52</v>
      </c>
      <c r="G40" s="6" t="s">
        <v>218</v>
      </c>
      <c r="H40" s="6">
        <v>9</v>
      </c>
      <c r="I40" s="6">
        <v>0.30433555222432174</v>
      </c>
      <c r="J40" s="7">
        <f t="shared" si="1"/>
        <v>10.383434673520616</v>
      </c>
      <c r="L40" s="6">
        <v>1.8701440337393488E-2</v>
      </c>
      <c r="M40" s="6" t="s">
        <v>124</v>
      </c>
      <c r="N40" s="6">
        <v>0.32929999999999998</v>
      </c>
      <c r="O40" s="7">
        <v>62</v>
      </c>
      <c r="Q40" s="3"/>
      <c r="R40" s="3"/>
      <c r="X40" s="76"/>
      <c r="AK40" s="3"/>
      <c r="AU40" s="3"/>
      <c r="AW40" s="3"/>
      <c r="BA40" s="3"/>
    </row>
    <row r="41" spans="1:53" ht="14.25">
      <c r="A41" s="36" t="s">
        <v>43</v>
      </c>
      <c r="B41" s="36" t="s">
        <v>44</v>
      </c>
      <c r="C41" s="81" t="s">
        <v>190</v>
      </c>
      <c r="D41" s="6">
        <v>22.1</v>
      </c>
      <c r="E41" s="6">
        <v>0.89</v>
      </c>
      <c r="F41" s="6">
        <v>2.41</v>
      </c>
      <c r="G41" s="6" t="s">
        <v>218</v>
      </c>
      <c r="H41" s="6">
        <v>5</v>
      </c>
      <c r="I41" s="6">
        <v>0.59769633825510904</v>
      </c>
      <c r="J41" s="7">
        <f t="shared" si="1"/>
        <v>10.835391290164633</v>
      </c>
      <c r="L41" s="6">
        <v>6.579993967840124E-2</v>
      </c>
      <c r="M41" s="6" t="s">
        <v>124</v>
      </c>
      <c r="N41" s="6">
        <v>0.50090000000000001</v>
      </c>
      <c r="O41" s="7">
        <v>63</v>
      </c>
      <c r="Q41" s="3"/>
      <c r="R41" s="3"/>
      <c r="X41" s="76"/>
      <c r="AK41" s="3"/>
      <c r="AU41" s="3"/>
      <c r="AW41" s="3"/>
      <c r="BA41" s="3"/>
    </row>
    <row r="42" spans="1:53" ht="14.25">
      <c r="A42" s="36" t="s">
        <v>43</v>
      </c>
      <c r="B42" s="36" t="s">
        <v>44</v>
      </c>
      <c r="C42" s="42" t="s">
        <v>291</v>
      </c>
      <c r="D42" s="6">
        <v>12</v>
      </c>
      <c r="E42" s="36">
        <v>400</v>
      </c>
      <c r="F42" s="36">
        <v>585</v>
      </c>
      <c r="G42" s="6" t="s">
        <v>5</v>
      </c>
      <c r="H42" s="6">
        <v>33</v>
      </c>
      <c r="I42" s="6">
        <v>1.144332631318099E-2</v>
      </c>
      <c r="J42" s="7">
        <f t="shared" si="1"/>
        <v>9.5093752510291409</v>
      </c>
      <c r="L42" s="6">
        <v>4333.5</v>
      </c>
      <c r="M42" s="6" t="s">
        <v>124</v>
      </c>
      <c r="N42" s="6">
        <v>20.225999999999999</v>
      </c>
      <c r="O42" s="7">
        <v>64</v>
      </c>
      <c r="Q42" s="3"/>
      <c r="R42" s="3"/>
      <c r="X42" s="76"/>
      <c r="AK42" s="3"/>
      <c r="AU42" s="3"/>
      <c r="AW42" s="3"/>
      <c r="BA42" s="3"/>
    </row>
    <row r="43" spans="1:53">
      <c r="A43" s="76"/>
      <c r="Q43" s="3"/>
      <c r="R43" s="3"/>
      <c r="AL43" s="3"/>
      <c r="AU43" s="3"/>
      <c r="BA43" s="3"/>
    </row>
    <row r="44" spans="1:53">
      <c r="A44" s="76"/>
      <c r="Q44" s="3"/>
      <c r="R44" s="3"/>
      <c r="AL44" s="3"/>
      <c r="AU44" s="3"/>
      <c r="BA44" s="3"/>
    </row>
    <row r="45" spans="1:53">
      <c r="A45" s="76"/>
      <c r="Q45" s="3"/>
      <c r="R45" s="3"/>
      <c r="AL45" s="3"/>
      <c r="AU45" s="3"/>
      <c r="BA45" s="3"/>
    </row>
    <row r="46" spans="1:53">
      <c r="A46" s="76"/>
      <c r="Q46" s="3"/>
      <c r="R46" s="3"/>
      <c r="AL46" s="3"/>
      <c r="AU46" s="3"/>
      <c r="BA46" s="3"/>
    </row>
    <row r="47" spans="1:53">
      <c r="A47" s="76"/>
      <c r="Q47" s="3"/>
      <c r="R47" s="3"/>
      <c r="AL47" s="3"/>
      <c r="AU47" s="3"/>
      <c r="BA47" s="3"/>
    </row>
    <row r="48" spans="1:53">
      <c r="A48" s="76"/>
      <c r="Q48" s="3"/>
      <c r="R48" s="3"/>
      <c r="AL48" s="3"/>
      <c r="AU48" s="3"/>
      <c r="BA48" s="3"/>
    </row>
    <row r="49" spans="1:53">
      <c r="A49" s="76"/>
      <c r="Q49" s="3"/>
      <c r="R49" s="3"/>
      <c r="AL49" s="3"/>
      <c r="AU49" s="3"/>
      <c r="BA49" s="3"/>
    </row>
    <row r="50" spans="1:53">
      <c r="A50" s="76"/>
      <c r="Q50" s="3"/>
      <c r="R50" s="3"/>
      <c r="AL50" s="3"/>
      <c r="AU50" s="3"/>
      <c r="BA50" s="3"/>
    </row>
    <row r="51" spans="1:53">
      <c r="A51" s="76"/>
      <c r="Q51" s="3"/>
      <c r="R51" s="3"/>
      <c r="AL51" s="3"/>
      <c r="AU51" s="3"/>
      <c r="BA51" s="3"/>
    </row>
    <row r="52" spans="1:53">
      <c r="A52" s="76"/>
      <c r="Q52" s="3"/>
      <c r="R52" s="3"/>
      <c r="AL52" s="3"/>
      <c r="AU52" s="3"/>
      <c r="BA52" s="3"/>
    </row>
    <row r="53" spans="1:53">
      <c r="A53" s="76"/>
      <c r="Q53" s="3"/>
      <c r="R53" s="3"/>
      <c r="AL53" s="3"/>
      <c r="AU53" s="3"/>
      <c r="BA53" s="3"/>
    </row>
    <row r="54" spans="1:53">
      <c r="A54" s="76"/>
      <c r="Q54" s="3"/>
      <c r="R54" s="3"/>
      <c r="AL54" s="3"/>
      <c r="AU54" s="3"/>
      <c r="BA54" s="3"/>
    </row>
    <row r="55" spans="1:53">
      <c r="A55" s="76"/>
      <c r="Q55" s="3"/>
      <c r="R55" s="3"/>
      <c r="AL55" s="3"/>
      <c r="AU55" s="3"/>
      <c r="BA55" s="3"/>
    </row>
    <row r="56" spans="1:53">
      <c r="A56" s="76"/>
      <c r="Q56" s="3"/>
      <c r="R56" s="3"/>
      <c r="AL56" s="3"/>
      <c r="AU56" s="3"/>
      <c r="BA56" s="3"/>
    </row>
    <row r="57" spans="1:53">
      <c r="A57" s="76"/>
      <c r="Q57" s="3"/>
      <c r="R57" s="3"/>
      <c r="AL57" s="3"/>
      <c r="AU57" s="3"/>
      <c r="BA57" s="3"/>
    </row>
    <row r="58" spans="1:53">
      <c r="A58" s="76"/>
      <c r="Q58" s="3"/>
      <c r="R58" s="3"/>
      <c r="AL58" s="3"/>
      <c r="AU58" s="3"/>
      <c r="BA58" s="3"/>
    </row>
    <row r="59" spans="1:53">
      <c r="A59" s="76"/>
      <c r="Q59" s="3"/>
      <c r="R59" s="3"/>
      <c r="AU59" s="3"/>
      <c r="BA59" s="3"/>
    </row>
    <row r="60" spans="1:53">
      <c r="A60" s="76"/>
      <c r="Q60" s="3"/>
      <c r="R60" s="3"/>
      <c r="AL60" s="3"/>
      <c r="AU60" s="3"/>
      <c r="BA60" s="3"/>
    </row>
    <row r="61" spans="1:53">
      <c r="A61" s="76"/>
      <c r="Q61" s="3"/>
      <c r="R61" s="3"/>
      <c r="AL61" s="3"/>
      <c r="AU61" s="3"/>
      <c r="BA61" s="3"/>
    </row>
    <row r="62" spans="1:53">
      <c r="A62" s="76"/>
      <c r="Q62" s="3"/>
      <c r="R62" s="3"/>
      <c r="AL62" s="3"/>
      <c r="AU62" s="3"/>
      <c r="BA62" s="3"/>
    </row>
    <row r="63" spans="1:53">
      <c r="A63" s="76"/>
      <c r="Q63" s="3"/>
      <c r="R63" s="3"/>
      <c r="AL63" s="3"/>
      <c r="AU63" s="3"/>
      <c r="BA63" s="3"/>
    </row>
    <row r="64" spans="1:53">
      <c r="A64" s="76"/>
      <c r="Q64" s="3"/>
      <c r="R64" s="3"/>
      <c r="AL64" s="3"/>
      <c r="AU64" s="3"/>
      <c r="BA64" s="3"/>
    </row>
    <row r="65" spans="1:53">
      <c r="A65" s="76"/>
      <c r="Q65" s="3"/>
      <c r="R65" s="3"/>
      <c r="AL65" s="3"/>
      <c r="AU65" s="3"/>
      <c r="BA65" s="3"/>
    </row>
    <row r="66" spans="1:53">
      <c r="A66" s="76"/>
      <c r="Q66" s="3"/>
      <c r="R66" s="3"/>
      <c r="AL66" s="3"/>
      <c r="AU66" s="3"/>
      <c r="BA66" s="3"/>
    </row>
    <row r="67" spans="1:53">
      <c r="Q67" s="3"/>
      <c r="R67" s="3"/>
      <c r="AU67" s="3"/>
    </row>
    <row r="68" spans="1:53">
      <c r="AU68" s="3"/>
    </row>
  </sheetData>
  <pageMargins left="0.7" right="0.7" top="0.75" bottom="0.75" header="0.3" footer="0.3"/>
  <pageSetup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69"/>
  <sheetViews>
    <sheetView zoomScale="115" zoomScaleNormal="115" workbookViewId="0">
      <selection activeCell="C5" sqref="C5"/>
    </sheetView>
  </sheetViews>
  <sheetFormatPr defaultRowHeight="12.75"/>
  <cols>
    <col min="1" max="1" width="12.140625" customWidth="1"/>
    <col min="2" max="2" width="14.85546875" customWidth="1"/>
    <col min="3" max="3" width="26" customWidth="1"/>
    <col min="4" max="4" width="17.85546875" customWidth="1"/>
    <col min="5" max="5" width="15.140625" customWidth="1"/>
    <col min="6" max="6" width="7.42578125" customWidth="1"/>
    <col min="7" max="7" width="9.140625" style="6"/>
    <col min="8" max="8" width="13.5703125" style="6" customWidth="1"/>
    <col min="9" max="9" width="14" style="14" customWidth="1"/>
    <col min="10" max="10" width="8.140625" style="14" customWidth="1"/>
    <col min="11" max="11" width="12.5703125" style="14" customWidth="1"/>
    <col min="12" max="12" width="16.42578125" style="14" customWidth="1"/>
    <col min="13" max="13" width="9.140625" style="6"/>
  </cols>
  <sheetData>
    <row r="1" spans="1:40" s="9" customFormat="1">
      <c r="A1" s="72" t="s">
        <v>82</v>
      </c>
      <c r="B1" s="72" t="s">
        <v>239</v>
      </c>
      <c r="C1" s="72" t="s">
        <v>4</v>
      </c>
      <c r="D1" s="72" t="s">
        <v>428</v>
      </c>
      <c r="E1" s="72" t="s">
        <v>429</v>
      </c>
      <c r="F1" s="72" t="s">
        <v>343</v>
      </c>
      <c r="G1" s="73" t="s">
        <v>142</v>
      </c>
      <c r="H1" s="73" t="s">
        <v>9</v>
      </c>
      <c r="I1" s="74" t="s">
        <v>192</v>
      </c>
      <c r="J1" s="74" t="s">
        <v>9</v>
      </c>
      <c r="K1" s="72" t="s">
        <v>3</v>
      </c>
      <c r="L1" s="74" t="s">
        <v>143</v>
      </c>
      <c r="M1" s="73" t="s">
        <v>7</v>
      </c>
    </row>
    <row r="2" spans="1:40">
      <c r="A2" s="36" t="s">
        <v>35</v>
      </c>
      <c r="B2" s="36" t="s">
        <v>18</v>
      </c>
      <c r="C2" s="42" t="s">
        <v>152</v>
      </c>
      <c r="D2" s="42" t="s">
        <v>345</v>
      </c>
      <c r="E2" s="42" t="s">
        <v>344</v>
      </c>
      <c r="F2" s="42">
        <v>13</v>
      </c>
      <c r="G2" s="38">
        <v>16.399999999999999</v>
      </c>
      <c r="H2" s="38" t="s">
        <v>48</v>
      </c>
      <c r="I2" s="40">
        <v>2.8169077333333328</v>
      </c>
      <c r="J2" s="40" t="s">
        <v>11</v>
      </c>
      <c r="K2" s="40">
        <f>(((I2/((4/3)*3.142))^0.33333)*2)</f>
        <v>1.7521574860113951</v>
      </c>
      <c r="L2" s="40">
        <v>120</v>
      </c>
      <c r="M2" s="6">
        <v>65</v>
      </c>
      <c r="AL2" s="36"/>
      <c r="AN2" s="31"/>
    </row>
    <row r="3" spans="1:40">
      <c r="A3" s="36" t="s">
        <v>35</v>
      </c>
      <c r="B3" s="36" t="s">
        <v>18</v>
      </c>
      <c r="C3" s="42" t="s">
        <v>152</v>
      </c>
      <c r="D3" s="42" t="s">
        <v>346</v>
      </c>
      <c r="E3" s="104">
        <v>33420</v>
      </c>
      <c r="F3" s="42">
        <v>13</v>
      </c>
      <c r="G3" s="38">
        <v>17</v>
      </c>
      <c r="H3" s="38" t="s">
        <v>48</v>
      </c>
      <c r="I3" s="40">
        <v>3.0267933333333326</v>
      </c>
      <c r="J3" s="40" t="s">
        <v>11</v>
      </c>
      <c r="K3" s="40">
        <f t="shared" ref="K3:K57" si="0">(((I3/((4/3)*3.142))^0.33333)*2)</f>
        <v>1.79463617077721</v>
      </c>
      <c r="L3" s="40">
        <v>60</v>
      </c>
      <c r="M3" s="6">
        <v>66</v>
      </c>
      <c r="AL3" s="36"/>
      <c r="AN3" s="31"/>
    </row>
    <row r="4" spans="1:40">
      <c r="A4" s="36" t="s">
        <v>35</v>
      </c>
      <c r="B4" s="36" t="s">
        <v>18</v>
      </c>
      <c r="C4" s="42" t="s">
        <v>28</v>
      </c>
      <c r="D4" s="42" t="s">
        <v>346</v>
      </c>
      <c r="E4" s="104">
        <v>33420</v>
      </c>
      <c r="F4" s="42">
        <v>13</v>
      </c>
      <c r="G4" s="38">
        <v>70</v>
      </c>
      <c r="H4" s="38" t="s">
        <v>48</v>
      </c>
      <c r="I4" s="40">
        <v>102.63866666666665</v>
      </c>
      <c r="J4" s="40" t="s">
        <v>11</v>
      </c>
      <c r="K4" s="40">
        <f t="shared" si="0"/>
        <v>5.808723799204647</v>
      </c>
      <c r="L4" s="40">
        <v>180</v>
      </c>
      <c r="M4" s="6">
        <v>66</v>
      </c>
      <c r="AL4" s="36"/>
      <c r="AN4" s="31"/>
    </row>
    <row r="5" spans="1:40">
      <c r="A5" s="36" t="s">
        <v>35</v>
      </c>
      <c r="B5" s="36" t="s">
        <v>18</v>
      </c>
      <c r="C5" s="42" t="s">
        <v>27</v>
      </c>
      <c r="D5" s="42" t="s">
        <v>346</v>
      </c>
      <c r="E5" s="104">
        <v>33420</v>
      </c>
      <c r="F5" s="42">
        <v>13</v>
      </c>
      <c r="G5" s="38">
        <v>20</v>
      </c>
      <c r="H5" s="38" t="s">
        <v>48</v>
      </c>
      <c r="I5" s="40">
        <v>8.3786666666666658</v>
      </c>
      <c r="J5" s="40" t="s">
        <v>11</v>
      </c>
      <c r="K5" s="40">
        <f t="shared" si="0"/>
        <v>2.5198362777249823</v>
      </c>
      <c r="L5" s="40">
        <v>90</v>
      </c>
      <c r="M5" s="6">
        <v>66</v>
      </c>
      <c r="AL5" s="36"/>
      <c r="AN5" s="31"/>
    </row>
    <row r="6" spans="1:40">
      <c r="A6" s="36" t="s">
        <v>35</v>
      </c>
      <c r="B6" s="36" t="s">
        <v>18</v>
      </c>
      <c r="C6" s="42" t="s">
        <v>153</v>
      </c>
      <c r="D6" s="42" t="s">
        <v>346</v>
      </c>
      <c r="E6" s="104">
        <v>33420</v>
      </c>
      <c r="F6" s="42">
        <v>13</v>
      </c>
      <c r="G6" s="38">
        <v>20</v>
      </c>
      <c r="H6" s="38" t="s">
        <v>48</v>
      </c>
      <c r="I6" s="40">
        <v>8.3786666666666658</v>
      </c>
      <c r="J6" s="40" t="s">
        <v>11</v>
      </c>
      <c r="K6" s="40">
        <f t="shared" si="0"/>
        <v>2.5198362777249823</v>
      </c>
      <c r="L6" s="40">
        <v>75</v>
      </c>
      <c r="M6" s="6">
        <v>66</v>
      </c>
      <c r="AL6" s="36"/>
      <c r="AN6" s="31"/>
    </row>
    <row r="7" spans="1:40">
      <c r="A7" s="36" t="s">
        <v>35</v>
      </c>
      <c r="B7" s="36" t="s">
        <v>18</v>
      </c>
      <c r="C7" s="42" t="s">
        <v>154</v>
      </c>
      <c r="D7" s="42" t="s">
        <v>347</v>
      </c>
      <c r="E7" s="105">
        <v>33055</v>
      </c>
      <c r="F7" s="42">
        <v>16</v>
      </c>
      <c r="G7" s="38">
        <v>16</v>
      </c>
      <c r="H7" s="38" t="s">
        <v>48</v>
      </c>
      <c r="I7" s="40">
        <v>0.153211241452955</v>
      </c>
      <c r="J7" s="40" t="s">
        <v>11</v>
      </c>
      <c r="K7" s="40">
        <f t="shared" si="0"/>
        <v>0.66387047862135973</v>
      </c>
      <c r="L7" s="40">
        <v>180</v>
      </c>
      <c r="M7" s="6">
        <v>67</v>
      </c>
      <c r="AL7" s="36"/>
      <c r="AN7" s="31"/>
    </row>
    <row r="8" spans="1:40">
      <c r="A8" s="36" t="s">
        <v>35</v>
      </c>
      <c r="B8" s="36" t="s">
        <v>18</v>
      </c>
      <c r="C8" s="42" t="s">
        <v>19</v>
      </c>
      <c r="D8" s="42" t="s">
        <v>348</v>
      </c>
      <c r="E8" s="104">
        <v>33055</v>
      </c>
      <c r="F8" s="42">
        <v>7</v>
      </c>
      <c r="G8" s="38">
        <v>3.89</v>
      </c>
      <c r="H8" s="38" t="s">
        <v>13</v>
      </c>
      <c r="I8" s="40">
        <v>7.5533980582524266E-2</v>
      </c>
      <c r="J8" s="40" t="s">
        <v>11</v>
      </c>
      <c r="K8" s="40">
        <f t="shared" si="0"/>
        <v>0.52444702641564933</v>
      </c>
      <c r="L8" s="40">
        <v>365</v>
      </c>
      <c r="M8" s="6">
        <v>68</v>
      </c>
      <c r="AL8" s="36"/>
      <c r="AN8" s="31"/>
    </row>
    <row r="9" spans="1:40">
      <c r="A9" s="36" t="s">
        <v>35</v>
      </c>
      <c r="B9" s="36" t="s">
        <v>18</v>
      </c>
      <c r="C9" s="42" t="s">
        <v>24</v>
      </c>
      <c r="D9" s="42" t="s">
        <v>346</v>
      </c>
      <c r="E9" s="104">
        <v>33420</v>
      </c>
      <c r="F9" s="42">
        <v>13</v>
      </c>
      <c r="G9" s="38">
        <v>65</v>
      </c>
      <c r="H9" s="38" t="s">
        <v>48</v>
      </c>
      <c r="I9" s="40">
        <v>12.317412170969289</v>
      </c>
      <c r="J9" s="40" t="s">
        <v>11</v>
      </c>
      <c r="K9" s="40">
        <f t="shared" si="0"/>
        <v>2.8651890763324515</v>
      </c>
      <c r="L9" s="40">
        <v>180</v>
      </c>
      <c r="M9" s="6">
        <v>66</v>
      </c>
      <c r="AL9" s="36"/>
      <c r="AN9" s="31"/>
    </row>
    <row r="10" spans="1:40">
      <c r="A10" s="36" t="s">
        <v>35</v>
      </c>
      <c r="B10" s="36" t="s">
        <v>0</v>
      </c>
      <c r="C10" s="42" t="s">
        <v>8</v>
      </c>
      <c r="D10" s="42" t="s">
        <v>349</v>
      </c>
      <c r="E10" s="104">
        <v>29768</v>
      </c>
      <c r="F10" s="42">
        <v>24</v>
      </c>
      <c r="G10" s="38">
        <v>310</v>
      </c>
      <c r="H10" s="38" t="s">
        <v>48</v>
      </c>
      <c r="I10" s="40">
        <v>1254.5706651704725</v>
      </c>
      <c r="J10" s="40" t="s">
        <v>11</v>
      </c>
      <c r="K10" s="40">
        <f t="shared" si="0"/>
        <v>13.380483645763608</v>
      </c>
      <c r="L10" s="40">
        <v>547.5</v>
      </c>
      <c r="M10" s="6">
        <v>50</v>
      </c>
      <c r="AL10" s="36"/>
      <c r="AN10" s="31"/>
    </row>
    <row r="11" spans="1:40">
      <c r="A11" s="36" t="s">
        <v>35</v>
      </c>
      <c r="B11" s="36" t="s">
        <v>0</v>
      </c>
      <c r="C11" s="42" t="s">
        <v>8</v>
      </c>
      <c r="D11" s="42" t="s">
        <v>347</v>
      </c>
      <c r="E11" s="105">
        <v>33055</v>
      </c>
      <c r="F11" s="42">
        <v>16</v>
      </c>
      <c r="G11" s="38">
        <v>105</v>
      </c>
      <c r="H11" s="38" t="s">
        <v>148</v>
      </c>
      <c r="I11" s="40">
        <v>52.134910541533038</v>
      </c>
      <c r="J11" s="40" t="s">
        <v>11</v>
      </c>
      <c r="K11" s="40">
        <f t="shared" si="0"/>
        <v>4.6346924188583785</v>
      </c>
      <c r="L11" s="40">
        <v>330</v>
      </c>
      <c r="M11" s="6">
        <v>69</v>
      </c>
      <c r="AL11" s="36"/>
      <c r="AN11" s="31"/>
    </row>
    <row r="12" spans="1:40">
      <c r="A12" s="36" t="s">
        <v>35</v>
      </c>
      <c r="B12" s="36" t="s">
        <v>0</v>
      </c>
      <c r="C12" s="42" t="s">
        <v>8</v>
      </c>
      <c r="D12" s="42" t="s">
        <v>347</v>
      </c>
      <c r="E12" s="105">
        <v>33055</v>
      </c>
      <c r="F12" s="42">
        <v>16</v>
      </c>
      <c r="G12" s="38">
        <v>140</v>
      </c>
      <c r="H12" s="38" t="s">
        <v>148</v>
      </c>
      <c r="I12" s="40">
        <v>121.39439661824358</v>
      </c>
      <c r="J12" s="40" t="s">
        <v>11</v>
      </c>
      <c r="K12" s="40">
        <f t="shared" si="0"/>
        <v>6.1429412711964551</v>
      </c>
      <c r="L12" s="40">
        <v>120</v>
      </c>
      <c r="M12" s="6">
        <v>70</v>
      </c>
      <c r="AL12" s="36"/>
      <c r="AN12" s="31"/>
    </row>
    <row r="13" spans="1:40">
      <c r="A13" s="36" t="s">
        <v>35</v>
      </c>
      <c r="B13" s="36" t="s">
        <v>0</v>
      </c>
      <c r="C13" s="42" t="s">
        <v>8</v>
      </c>
      <c r="D13" s="42" t="s">
        <v>350</v>
      </c>
      <c r="E13" s="104">
        <v>39995</v>
      </c>
      <c r="F13" s="42">
        <v>16</v>
      </c>
      <c r="G13" s="38">
        <v>300</v>
      </c>
      <c r="H13" s="38" t="s">
        <v>48</v>
      </c>
      <c r="I13" s="40">
        <v>1139.3488501442826</v>
      </c>
      <c r="J13" s="40" t="s">
        <v>11</v>
      </c>
      <c r="K13" s="40">
        <f t="shared" si="0"/>
        <v>12.957637149645633</v>
      </c>
      <c r="L13" s="40">
        <v>120</v>
      </c>
      <c r="M13" s="6">
        <v>71</v>
      </c>
      <c r="AL13" s="36"/>
      <c r="AN13" s="31"/>
    </row>
    <row r="14" spans="1:40">
      <c r="A14" s="36" t="s">
        <v>35</v>
      </c>
      <c r="B14" s="36" t="s">
        <v>0</v>
      </c>
      <c r="C14" s="42" t="s">
        <v>8</v>
      </c>
      <c r="D14" s="42" t="s">
        <v>351</v>
      </c>
      <c r="E14" s="104">
        <v>33055</v>
      </c>
      <c r="F14" s="42">
        <v>14</v>
      </c>
      <c r="G14" s="38">
        <v>150</v>
      </c>
      <c r="H14" s="38" t="s">
        <v>48</v>
      </c>
      <c r="I14" s="40">
        <v>148.6724817699797</v>
      </c>
      <c r="J14" s="40" t="s">
        <v>11</v>
      </c>
      <c r="K14" s="40">
        <f t="shared" si="0"/>
        <v>6.5723404700950727</v>
      </c>
      <c r="L14" s="40">
        <v>547.5</v>
      </c>
      <c r="M14" s="6">
        <v>51</v>
      </c>
      <c r="AL14" s="36"/>
      <c r="AN14" s="31"/>
    </row>
    <row r="15" spans="1:40">
      <c r="A15" s="36" t="s">
        <v>35</v>
      </c>
      <c r="B15" s="36" t="s">
        <v>0</v>
      </c>
      <c r="C15" s="42" t="s">
        <v>8</v>
      </c>
      <c r="D15" s="42" t="s">
        <v>350</v>
      </c>
      <c r="E15" s="104">
        <v>39995</v>
      </c>
      <c r="F15" s="42">
        <v>16</v>
      </c>
      <c r="G15" s="38">
        <v>197</v>
      </c>
      <c r="H15" s="38" t="s">
        <v>48</v>
      </c>
      <c r="I15" s="40">
        <v>331.14350743015405</v>
      </c>
      <c r="J15" s="40" t="s">
        <v>11</v>
      </c>
      <c r="K15" s="40">
        <f t="shared" si="0"/>
        <v>8.5831646798620955</v>
      </c>
      <c r="L15" s="40">
        <v>270</v>
      </c>
      <c r="M15" s="6">
        <v>52</v>
      </c>
      <c r="AL15" s="36"/>
      <c r="AN15" s="31"/>
    </row>
    <row r="16" spans="1:40">
      <c r="A16" s="36" t="s">
        <v>35</v>
      </c>
      <c r="B16" s="36" t="s">
        <v>0</v>
      </c>
      <c r="C16" s="42" t="s">
        <v>144</v>
      </c>
      <c r="D16" s="42" t="s">
        <v>352</v>
      </c>
      <c r="E16" s="104">
        <v>35431</v>
      </c>
      <c r="F16" s="42">
        <v>22</v>
      </c>
      <c r="G16" s="38">
        <v>280</v>
      </c>
      <c r="H16" s="38" t="s">
        <v>48</v>
      </c>
      <c r="I16" s="40">
        <v>5053.524401114315</v>
      </c>
      <c r="J16" s="40" t="s">
        <v>11</v>
      </c>
      <c r="K16" s="40">
        <f t="shared" si="0"/>
        <v>21.289699953224854</v>
      </c>
      <c r="L16" s="40">
        <v>390</v>
      </c>
      <c r="M16" s="6">
        <v>53</v>
      </c>
      <c r="AL16" s="36"/>
      <c r="AN16" s="31"/>
    </row>
    <row r="17" spans="1:40">
      <c r="A17" s="36" t="s">
        <v>35</v>
      </c>
      <c r="B17" s="36" t="s">
        <v>0</v>
      </c>
      <c r="C17" s="42" t="s">
        <v>149</v>
      </c>
      <c r="D17" s="42" t="s">
        <v>353</v>
      </c>
      <c r="E17" s="42" t="s">
        <v>354</v>
      </c>
      <c r="F17" s="42">
        <v>28</v>
      </c>
      <c r="G17" s="38">
        <v>200</v>
      </c>
      <c r="H17" s="38" t="s">
        <v>48</v>
      </c>
      <c r="I17" s="40">
        <v>6618.2</v>
      </c>
      <c r="J17" s="40" t="s">
        <v>11</v>
      </c>
      <c r="K17" s="40">
        <f t="shared" si="0"/>
        <v>23.292583283505284</v>
      </c>
      <c r="L17" s="40">
        <v>180</v>
      </c>
      <c r="M17" s="6">
        <v>72</v>
      </c>
      <c r="AL17" s="36"/>
      <c r="AN17" s="31"/>
    </row>
    <row r="18" spans="1:40">
      <c r="A18" s="36" t="s">
        <v>35</v>
      </c>
      <c r="B18" s="36" t="s">
        <v>0</v>
      </c>
      <c r="C18" s="42" t="s">
        <v>147</v>
      </c>
      <c r="D18" s="42" t="s">
        <v>355</v>
      </c>
      <c r="E18" s="104">
        <v>30133</v>
      </c>
      <c r="F18" s="42">
        <v>24</v>
      </c>
      <c r="G18" s="38">
        <v>40</v>
      </c>
      <c r="H18" s="38" t="s">
        <v>146</v>
      </c>
      <c r="I18" s="40">
        <v>7404.1628139106497</v>
      </c>
      <c r="J18" s="40" t="s">
        <v>11</v>
      </c>
      <c r="K18" s="40">
        <f t="shared" si="0"/>
        <v>24.18036499759091</v>
      </c>
      <c r="L18" s="40">
        <v>180</v>
      </c>
      <c r="M18" s="6">
        <v>54</v>
      </c>
      <c r="AL18" s="36"/>
      <c r="AN18" s="31"/>
    </row>
    <row r="19" spans="1:40">
      <c r="A19" s="36" t="s">
        <v>35</v>
      </c>
      <c r="B19" s="36" t="s">
        <v>0</v>
      </c>
      <c r="C19" s="42" t="s">
        <v>194</v>
      </c>
      <c r="D19" s="42" t="s">
        <v>356</v>
      </c>
      <c r="E19" s="104">
        <v>30133</v>
      </c>
      <c r="F19" s="42">
        <v>21</v>
      </c>
      <c r="G19" s="38">
        <v>130</v>
      </c>
      <c r="H19" s="38" t="s">
        <v>48</v>
      </c>
      <c r="I19" s="40">
        <v>227.64105396643583</v>
      </c>
      <c r="J19" s="40" t="s">
        <v>11</v>
      </c>
      <c r="K19" s="40">
        <f t="shared" si="0"/>
        <v>7.5751767182725276</v>
      </c>
      <c r="L19" s="40">
        <v>150</v>
      </c>
      <c r="M19" s="6">
        <v>55</v>
      </c>
      <c r="AL19" s="36"/>
      <c r="AN19" s="31"/>
    </row>
    <row r="20" spans="1:40">
      <c r="A20" s="36" t="s">
        <v>35</v>
      </c>
      <c r="B20" s="36" t="s">
        <v>0</v>
      </c>
      <c r="C20" s="42" t="s">
        <v>150</v>
      </c>
      <c r="D20" s="42" t="s">
        <v>357</v>
      </c>
      <c r="E20" s="104">
        <v>38534</v>
      </c>
      <c r="F20" s="42">
        <v>25</v>
      </c>
      <c r="G20" s="38">
        <v>96</v>
      </c>
      <c r="H20" s="38" t="s">
        <v>193</v>
      </c>
      <c r="I20" s="40">
        <v>96000</v>
      </c>
      <c r="J20" s="40" t="s">
        <v>11</v>
      </c>
      <c r="K20" s="40">
        <f t="shared" si="0"/>
        <v>56.805567184859036</v>
      </c>
      <c r="L20" s="40">
        <v>300</v>
      </c>
      <c r="M20" s="6">
        <v>73</v>
      </c>
      <c r="AL20" s="36"/>
      <c r="AN20" s="31"/>
    </row>
    <row r="21" spans="1:40">
      <c r="A21" s="36" t="s">
        <v>35</v>
      </c>
      <c r="B21" s="36" t="s">
        <v>0</v>
      </c>
      <c r="C21" s="42" t="s">
        <v>151</v>
      </c>
      <c r="D21" s="42" t="s">
        <v>358</v>
      </c>
      <c r="E21" s="104">
        <v>30133</v>
      </c>
      <c r="F21" s="42">
        <v>24</v>
      </c>
      <c r="G21" s="38">
        <v>80</v>
      </c>
      <c r="H21" s="38" t="s">
        <v>48</v>
      </c>
      <c r="I21" s="40">
        <v>46.234230179118846</v>
      </c>
      <c r="J21" s="40" t="s">
        <v>11</v>
      </c>
      <c r="K21" s="40">
        <f t="shared" si="0"/>
        <v>4.4527955753335551</v>
      </c>
      <c r="L21" s="40">
        <v>270</v>
      </c>
      <c r="M21" s="6">
        <v>74</v>
      </c>
      <c r="AL21" s="36"/>
      <c r="AN21" s="31"/>
    </row>
    <row r="22" spans="1:40">
      <c r="A22" s="36" t="s">
        <v>35</v>
      </c>
      <c r="B22" s="36" t="s">
        <v>0</v>
      </c>
      <c r="C22" s="42" t="s">
        <v>145</v>
      </c>
      <c r="D22" s="42" t="s">
        <v>359</v>
      </c>
      <c r="E22" s="104">
        <v>37622</v>
      </c>
      <c r="F22" s="42">
        <v>25</v>
      </c>
      <c r="G22" s="38">
        <v>35</v>
      </c>
      <c r="H22" s="38" t="s">
        <v>146</v>
      </c>
      <c r="I22" s="40">
        <v>2095.5320821504038</v>
      </c>
      <c r="J22" s="40" t="s">
        <v>11</v>
      </c>
      <c r="K22" s="40">
        <f t="shared" si="0"/>
        <v>15.875867444897471</v>
      </c>
      <c r="L22" s="40">
        <v>120</v>
      </c>
      <c r="M22" s="6">
        <v>75</v>
      </c>
      <c r="AL22" s="36"/>
      <c r="AN22" s="31"/>
    </row>
    <row r="23" spans="1:40">
      <c r="A23" s="36" t="s">
        <v>35</v>
      </c>
      <c r="B23" s="36" t="s">
        <v>0</v>
      </c>
      <c r="C23" s="42" t="s">
        <v>145</v>
      </c>
      <c r="D23" s="42" t="s">
        <v>360</v>
      </c>
      <c r="E23" s="104">
        <v>34335</v>
      </c>
      <c r="F23" s="42">
        <v>22</v>
      </c>
      <c r="G23" s="38">
        <v>35</v>
      </c>
      <c r="H23" s="38" t="s">
        <v>146</v>
      </c>
      <c r="I23" s="40">
        <v>2095.5320821504038</v>
      </c>
      <c r="J23" s="40" t="s">
        <v>11</v>
      </c>
      <c r="K23" s="40">
        <f t="shared" si="0"/>
        <v>15.875867444897471</v>
      </c>
      <c r="L23" s="40">
        <v>180</v>
      </c>
      <c r="M23" s="6">
        <v>76</v>
      </c>
      <c r="AL23" s="36"/>
      <c r="AN23" s="31"/>
    </row>
    <row r="24" spans="1:40">
      <c r="A24" s="36" t="s">
        <v>35</v>
      </c>
      <c r="B24" s="36" t="s">
        <v>0</v>
      </c>
      <c r="C24" s="42" t="s">
        <v>145</v>
      </c>
      <c r="D24" s="42" t="s">
        <v>361</v>
      </c>
      <c r="E24" s="104">
        <v>36708</v>
      </c>
      <c r="F24" s="42">
        <v>30</v>
      </c>
      <c r="G24" s="38">
        <v>62</v>
      </c>
      <c r="H24" s="38" t="s">
        <v>146</v>
      </c>
      <c r="I24" s="40">
        <v>12526.40087677319</v>
      </c>
      <c r="J24" s="40" t="s">
        <v>11</v>
      </c>
      <c r="K24" s="40">
        <f t="shared" si="0"/>
        <v>28.812362687156863</v>
      </c>
      <c r="L24" s="40">
        <v>150</v>
      </c>
      <c r="M24" s="6">
        <v>77</v>
      </c>
      <c r="AL24" s="36"/>
      <c r="AN24" s="31"/>
    </row>
    <row r="25" spans="1:40" ht="14.25">
      <c r="A25" s="36" t="s">
        <v>69</v>
      </c>
      <c r="B25" s="36" t="s">
        <v>155</v>
      </c>
      <c r="C25" s="42" t="s">
        <v>156</v>
      </c>
      <c r="D25" s="42" t="s">
        <v>362</v>
      </c>
      <c r="E25" s="104">
        <v>38353</v>
      </c>
      <c r="F25" s="42">
        <v>1</v>
      </c>
      <c r="G25" s="38">
        <v>40</v>
      </c>
      <c r="H25" s="38" t="s">
        <v>148</v>
      </c>
      <c r="I25" s="40">
        <v>0.75276036000000002</v>
      </c>
      <c r="J25" s="40" t="s">
        <v>124</v>
      </c>
      <c r="K25" s="40">
        <f t="shared" si="0"/>
        <v>1.1285905823952131</v>
      </c>
      <c r="L25" s="40">
        <v>1095</v>
      </c>
      <c r="M25" s="6">
        <v>78</v>
      </c>
      <c r="AL25" s="36"/>
      <c r="AN25" s="31"/>
    </row>
    <row r="26" spans="1:40" ht="14.25">
      <c r="A26" s="36" t="s">
        <v>69</v>
      </c>
      <c r="B26" s="36" t="s">
        <v>155</v>
      </c>
      <c r="C26" s="42" t="s">
        <v>77</v>
      </c>
      <c r="D26" s="42" t="s">
        <v>362</v>
      </c>
      <c r="E26" s="104">
        <v>38353</v>
      </c>
      <c r="F26" s="42">
        <v>1</v>
      </c>
      <c r="G26" s="38">
        <v>36</v>
      </c>
      <c r="H26" s="38" t="s">
        <v>148</v>
      </c>
      <c r="I26" s="40">
        <v>1.55189664</v>
      </c>
      <c r="J26" s="40" t="s">
        <v>124</v>
      </c>
      <c r="K26" s="40">
        <f t="shared" si="0"/>
        <v>1.4363845499388428</v>
      </c>
      <c r="L26" s="40">
        <v>1825</v>
      </c>
      <c r="M26" s="6">
        <v>78</v>
      </c>
      <c r="AL26" s="36"/>
      <c r="AN26" s="31"/>
    </row>
    <row r="27" spans="1:40" ht="14.25">
      <c r="A27" s="36" t="s">
        <v>69</v>
      </c>
      <c r="B27" s="36" t="s">
        <v>155</v>
      </c>
      <c r="C27" s="42" t="s">
        <v>75</v>
      </c>
      <c r="D27" s="42" t="s">
        <v>362</v>
      </c>
      <c r="E27" s="104">
        <v>38353</v>
      </c>
      <c r="F27" s="42">
        <v>1</v>
      </c>
      <c r="G27" s="38">
        <v>55</v>
      </c>
      <c r="H27" s="38" t="s">
        <v>148</v>
      </c>
      <c r="I27" s="40">
        <v>4.7544953466666673</v>
      </c>
      <c r="J27" s="40" t="s">
        <v>124</v>
      </c>
      <c r="K27" s="40">
        <f t="shared" si="0"/>
        <v>2.0861697749367574</v>
      </c>
      <c r="L27" s="40">
        <v>2190</v>
      </c>
      <c r="M27" s="6">
        <v>78</v>
      </c>
      <c r="AL27" s="36"/>
      <c r="AN27" s="31"/>
    </row>
    <row r="28" spans="1:40" ht="14.25">
      <c r="A28" s="36" t="s">
        <v>69</v>
      </c>
      <c r="B28" s="36" t="s">
        <v>155</v>
      </c>
      <c r="C28" s="42" t="s">
        <v>80</v>
      </c>
      <c r="D28" s="42" t="s">
        <v>363</v>
      </c>
      <c r="E28" s="104">
        <v>34151</v>
      </c>
      <c r="F28" s="42">
        <v>3</v>
      </c>
      <c r="G28" s="39">
        <v>29</v>
      </c>
      <c r="H28" s="38" t="s">
        <v>191</v>
      </c>
      <c r="I28" s="41">
        <v>0.51086825333333341</v>
      </c>
      <c r="J28" s="40" t="s">
        <v>124</v>
      </c>
      <c r="K28" s="40">
        <f t="shared" si="0"/>
        <v>0.99179300543515314</v>
      </c>
      <c r="L28" s="40">
        <v>730</v>
      </c>
      <c r="M28" s="6">
        <v>79</v>
      </c>
      <c r="AL28" s="36"/>
      <c r="AN28" s="31"/>
    </row>
    <row r="29" spans="1:40" ht="14.25">
      <c r="A29" s="36" t="s">
        <v>69</v>
      </c>
      <c r="B29" s="36" t="s">
        <v>155</v>
      </c>
      <c r="C29" s="42" t="s">
        <v>80</v>
      </c>
      <c r="D29" s="42" t="s">
        <v>364</v>
      </c>
      <c r="E29" s="104">
        <v>34151</v>
      </c>
      <c r="F29" s="42">
        <v>7</v>
      </c>
      <c r="G29" s="39">
        <v>25.6</v>
      </c>
      <c r="H29" s="38" t="s">
        <v>191</v>
      </c>
      <c r="I29" s="41">
        <v>0.35142675114666677</v>
      </c>
      <c r="J29" s="40" t="s">
        <v>124</v>
      </c>
      <c r="K29" s="40">
        <f t="shared" si="0"/>
        <v>0.87551491728445952</v>
      </c>
      <c r="L29" s="40">
        <v>1460</v>
      </c>
      <c r="M29" s="6">
        <v>80</v>
      </c>
      <c r="AL29" s="36"/>
      <c r="AN29" s="31"/>
    </row>
    <row r="30" spans="1:40" ht="14.25">
      <c r="A30" s="36" t="s">
        <v>69</v>
      </c>
      <c r="B30" s="36" t="s">
        <v>155</v>
      </c>
      <c r="C30" s="42" t="s">
        <v>158</v>
      </c>
      <c r="D30" s="42" t="s">
        <v>364</v>
      </c>
      <c r="E30" s="104">
        <v>34151</v>
      </c>
      <c r="F30" s="42">
        <v>7</v>
      </c>
      <c r="G30" s="39">
        <v>18.5</v>
      </c>
      <c r="H30" s="38" t="s">
        <v>191</v>
      </c>
      <c r="I30" s="41">
        <v>0.13262643833333332</v>
      </c>
      <c r="J30" s="40" t="s">
        <v>124</v>
      </c>
      <c r="K30" s="40">
        <f t="shared" si="0"/>
        <v>0.63269838208164042</v>
      </c>
      <c r="L30" s="40">
        <v>730</v>
      </c>
      <c r="M30" s="6">
        <v>80</v>
      </c>
      <c r="AL30" s="36"/>
      <c r="AN30" s="31"/>
    </row>
    <row r="31" spans="1:40" ht="14.25">
      <c r="A31" s="36" t="s">
        <v>69</v>
      </c>
      <c r="B31" s="36" t="s">
        <v>155</v>
      </c>
      <c r="C31" s="42" t="s">
        <v>157</v>
      </c>
      <c r="D31" s="42" t="s">
        <v>362</v>
      </c>
      <c r="E31" s="104">
        <v>38353</v>
      </c>
      <c r="F31" s="42">
        <v>1</v>
      </c>
      <c r="G31" s="38">
        <v>32</v>
      </c>
      <c r="H31" s="38" t="s">
        <v>148</v>
      </c>
      <c r="I31" s="40">
        <v>0.56555999999999984</v>
      </c>
      <c r="J31" s="40" t="s">
        <v>124</v>
      </c>
      <c r="K31" s="40">
        <f t="shared" si="0"/>
        <v>1.0259924164158536</v>
      </c>
      <c r="L31" s="40">
        <v>1460</v>
      </c>
      <c r="M31" s="6">
        <v>78</v>
      </c>
      <c r="AL31" s="36"/>
      <c r="AN31" s="31"/>
    </row>
    <row r="32" spans="1:40" ht="14.25">
      <c r="A32" s="36" t="s">
        <v>36</v>
      </c>
      <c r="B32" s="36" t="s">
        <v>32</v>
      </c>
      <c r="C32" s="42" t="s">
        <v>167</v>
      </c>
      <c r="D32" s="42" t="s">
        <v>365</v>
      </c>
      <c r="E32" s="104">
        <v>31959</v>
      </c>
      <c r="F32" s="42">
        <v>25</v>
      </c>
      <c r="G32" s="38">
        <v>36</v>
      </c>
      <c r="H32" s="39" t="s">
        <v>168</v>
      </c>
      <c r="I32" s="41">
        <v>4.5244800000000005</v>
      </c>
      <c r="J32" s="40" t="s">
        <v>124</v>
      </c>
      <c r="K32" s="40">
        <f t="shared" si="0"/>
        <v>2.0519706096059873</v>
      </c>
      <c r="L32" s="40">
        <v>188</v>
      </c>
      <c r="M32" s="6">
        <v>81</v>
      </c>
      <c r="AL32" s="36"/>
      <c r="AN32" s="31"/>
    </row>
    <row r="33" spans="1:40" ht="14.25">
      <c r="A33" s="36" t="s">
        <v>36</v>
      </c>
      <c r="B33" s="36" t="s">
        <v>32</v>
      </c>
      <c r="C33" s="42" t="s">
        <v>175</v>
      </c>
      <c r="D33" s="42" t="s">
        <v>366</v>
      </c>
      <c r="E33" s="104">
        <v>34881</v>
      </c>
      <c r="F33" s="42">
        <v>29</v>
      </c>
      <c r="G33" s="38">
        <v>875</v>
      </c>
      <c r="H33" s="39" t="s">
        <v>164</v>
      </c>
      <c r="I33" s="41">
        <v>64965.880594135786</v>
      </c>
      <c r="J33" s="40" t="s">
        <v>124</v>
      </c>
      <c r="K33" s="40">
        <f t="shared" si="0"/>
        <v>49.872694334232797</v>
      </c>
      <c r="L33" s="40">
        <v>386</v>
      </c>
      <c r="M33" s="6">
        <v>82</v>
      </c>
      <c r="AL33" s="36"/>
      <c r="AN33" s="31"/>
    </row>
    <row r="34" spans="1:40" ht="14.25">
      <c r="A34" s="36" t="s">
        <v>36</v>
      </c>
      <c r="B34" s="36" t="s">
        <v>32</v>
      </c>
      <c r="C34" s="42" t="s">
        <v>178</v>
      </c>
      <c r="D34" s="42" t="s">
        <v>367</v>
      </c>
      <c r="E34" s="104">
        <v>36526</v>
      </c>
      <c r="F34" s="42">
        <v>16</v>
      </c>
      <c r="G34" s="38">
        <v>20</v>
      </c>
      <c r="H34" s="39" t="s">
        <v>164</v>
      </c>
      <c r="I34" s="41">
        <v>0.77580246913580264</v>
      </c>
      <c r="J34" s="40" t="s">
        <v>124</v>
      </c>
      <c r="K34" s="40">
        <f t="shared" si="0"/>
        <v>1.1399903726950253</v>
      </c>
      <c r="L34" s="40">
        <v>115</v>
      </c>
      <c r="M34" s="6">
        <v>83</v>
      </c>
      <c r="AL34" s="36"/>
      <c r="AN34" s="31"/>
    </row>
    <row r="35" spans="1:40" ht="14.25">
      <c r="A35" s="36" t="s">
        <v>36</v>
      </c>
      <c r="B35" s="36" t="s">
        <v>32</v>
      </c>
      <c r="C35" s="42" t="s">
        <v>177</v>
      </c>
      <c r="D35" s="42" t="s">
        <v>368</v>
      </c>
      <c r="E35" s="104">
        <v>38534</v>
      </c>
      <c r="F35" s="42">
        <v>17</v>
      </c>
      <c r="G35" s="38">
        <v>11</v>
      </c>
      <c r="H35" s="39" t="s">
        <v>164</v>
      </c>
      <c r="I35" s="41">
        <v>0.12907413580246915</v>
      </c>
      <c r="J35" s="40" t="s">
        <v>124</v>
      </c>
      <c r="K35" s="40">
        <f t="shared" si="0"/>
        <v>0.62699845339980786</v>
      </c>
      <c r="L35" s="40">
        <v>150</v>
      </c>
      <c r="M35" s="6">
        <v>84</v>
      </c>
      <c r="AL35" s="36"/>
      <c r="AN35" s="31"/>
    </row>
    <row r="36" spans="1:40" ht="14.25">
      <c r="A36" s="36" t="s">
        <v>36</v>
      </c>
      <c r="B36" s="36" t="s">
        <v>32</v>
      </c>
      <c r="C36" s="42" t="s">
        <v>179</v>
      </c>
      <c r="D36" s="42" t="s">
        <v>369</v>
      </c>
      <c r="E36" s="104">
        <v>31413</v>
      </c>
      <c r="F36" s="42">
        <v>29</v>
      </c>
      <c r="G36" s="38">
        <v>18</v>
      </c>
      <c r="H36" s="39" t="s">
        <v>164</v>
      </c>
      <c r="I36" s="41">
        <v>0.56556000000000006</v>
      </c>
      <c r="J36" s="40" t="s">
        <v>124</v>
      </c>
      <c r="K36" s="40">
        <f t="shared" si="0"/>
        <v>1.0259924164158538</v>
      </c>
      <c r="L36" s="40">
        <v>79</v>
      </c>
      <c r="M36" s="6">
        <v>85</v>
      </c>
      <c r="AL36" s="36"/>
      <c r="AN36" s="31"/>
    </row>
    <row r="37" spans="1:40" ht="14.25">
      <c r="A37" s="36" t="s">
        <v>36</v>
      </c>
      <c r="B37" s="36" t="s">
        <v>32</v>
      </c>
      <c r="C37" s="42" t="s">
        <v>172</v>
      </c>
      <c r="D37" s="42" t="s">
        <v>370</v>
      </c>
      <c r="E37" s="104">
        <v>33239</v>
      </c>
      <c r="F37" s="42">
        <v>12</v>
      </c>
      <c r="G37" s="38">
        <v>350</v>
      </c>
      <c r="H37" s="39" t="s">
        <v>164</v>
      </c>
      <c r="I37" s="41">
        <v>4157.8163580246919</v>
      </c>
      <c r="J37" s="40" t="s">
        <v>124</v>
      </c>
      <c r="K37" s="40">
        <f t="shared" si="0"/>
        <v>19.949260526080941</v>
      </c>
      <c r="L37" s="40">
        <v>320</v>
      </c>
      <c r="M37" s="6">
        <v>86</v>
      </c>
      <c r="AL37" s="36"/>
      <c r="AN37" s="31"/>
    </row>
    <row r="38" spans="1:40" ht="14.25">
      <c r="A38" s="36" t="s">
        <v>36</v>
      </c>
      <c r="B38" s="36" t="s">
        <v>32</v>
      </c>
      <c r="C38" s="42" t="s">
        <v>171</v>
      </c>
      <c r="D38" s="42" t="s">
        <v>371</v>
      </c>
      <c r="E38" s="104">
        <v>34881</v>
      </c>
      <c r="F38" s="42">
        <v>26</v>
      </c>
      <c r="G38" s="38">
        <v>240</v>
      </c>
      <c r="H38" s="39" t="s">
        <v>164</v>
      </c>
      <c r="I38" s="41">
        <v>1340.5866666666666</v>
      </c>
      <c r="J38" s="40" t="s">
        <v>124</v>
      </c>
      <c r="K38" s="40">
        <f t="shared" si="0"/>
        <v>13.679544544204832</v>
      </c>
      <c r="L38" s="40">
        <v>240</v>
      </c>
      <c r="M38" s="6">
        <v>87</v>
      </c>
      <c r="AL38" s="36"/>
      <c r="AN38" s="31"/>
    </row>
    <row r="39" spans="1:40" ht="14.25">
      <c r="A39" s="36" t="s">
        <v>36</v>
      </c>
      <c r="B39" s="36" t="s">
        <v>32</v>
      </c>
      <c r="C39" s="42" t="s">
        <v>174</v>
      </c>
      <c r="D39" s="42" t="s">
        <v>372</v>
      </c>
      <c r="E39" s="104">
        <v>34700</v>
      </c>
      <c r="F39" s="42">
        <v>9</v>
      </c>
      <c r="G39" s="38">
        <v>300</v>
      </c>
      <c r="H39" s="39" t="s">
        <v>164</v>
      </c>
      <c r="I39" s="41">
        <v>2618.333333333333</v>
      </c>
      <c r="J39" s="40" t="s">
        <v>124</v>
      </c>
      <c r="K39" s="40">
        <f t="shared" si="0"/>
        <v>17.099392524021734</v>
      </c>
      <c r="L39" s="40">
        <v>366</v>
      </c>
      <c r="M39" s="6">
        <v>88</v>
      </c>
      <c r="AL39" s="36"/>
      <c r="AN39" s="31"/>
    </row>
    <row r="40" spans="1:40" ht="14.25">
      <c r="A40" s="36" t="s">
        <v>36</v>
      </c>
      <c r="B40" s="36" t="s">
        <v>32</v>
      </c>
      <c r="C40" s="42" t="s">
        <v>66</v>
      </c>
      <c r="D40" s="42" t="s">
        <v>373</v>
      </c>
      <c r="E40" s="104">
        <v>35612</v>
      </c>
      <c r="F40" s="42">
        <v>14</v>
      </c>
      <c r="G40" s="38">
        <v>140</v>
      </c>
      <c r="H40" s="39" t="s">
        <v>164</v>
      </c>
      <c r="I40" s="41">
        <v>266.10024691358029</v>
      </c>
      <c r="J40" s="40" t="s">
        <v>124</v>
      </c>
      <c r="K40" s="40">
        <f t="shared" si="0"/>
        <v>7.9797773280574722</v>
      </c>
      <c r="L40" s="40">
        <v>243</v>
      </c>
      <c r="M40" s="6">
        <v>89</v>
      </c>
      <c r="AL40" s="36"/>
      <c r="AN40" s="31"/>
    </row>
    <row r="41" spans="1:40" ht="14.25">
      <c r="A41" s="36" t="s">
        <v>36</v>
      </c>
      <c r="B41" s="36" t="s">
        <v>32</v>
      </c>
      <c r="C41" s="42" t="s">
        <v>65</v>
      </c>
      <c r="D41" s="42" t="s">
        <v>374</v>
      </c>
      <c r="E41" s="104">
        <v>33786</v>
      </c>
      <c r="F41" s="42">
        <v>18</v>
      </c>
      <c r="G41" s="38">
        <v>300</v>
      </c>
      <c r="H41" s="39" t="s">
        <v>164</v>
      </c>
      <c r="I41" s="41">
        <v>2618.333333333333</v>
      </c>
      <c r="J41" s="40" t="s">
        <v>124</v>
      </c>
      <c r="K41" s="40">
        <f t="shared" si="0"/>
        <v>17.099392524021734</v>
      </c>
      <c r="L41" s="40">
        <v>295</v>
      </c>
      <c r="M41" s="6">
        <v>90</v>
      </c>
      <c r="AL41" s="36"/>
      <c r="AN41" s="31"/>
    </row>
    <row r="42" spans="1:40" ht="14.25">
      <c r="A42" s="36" t="s">
        <v>36</v>
      </c>
      <c r="B42" s="36" t="s">
        <v>32</v>
      </c>
      <c r="C42" s="42" t="s">
        <v>170</v>
      </c>
      <c r="D42" s="42" t="s">
        <v>375</v>
      </c>
      <c r="E42" s="104">
        <v>31959</v>
      </c>
      <c r="F42" s="42">
        <v>23</v>
      </c>
      <c r="G42" s="38">
        <v>498</v>
      </c>
      <c r="H42" s="39" t="s">
        <v>164</v>
      </c>
      <c r="I42" s="41">
        <v>11977.031693333334</v>
      </c>
      <c r="J42" s="40" t="s">
        <v>124</v>
      </c>
      <c r="K42" s="40">
        <f t="shared" si="0"/>
        <v>28.384847730106838</v>
      </c>
      <c r="L42" s="40">
        <v>396</v>
      </c>
      <c r="M42" s="6">
        <v>91</v>
      </c>
      <c r="AL42" s="36"/>
      <c r="AN42" s="31"/>
    </row>
    <row r="43" spans="1:40" ht="14.25">
      <c r="A43" s="36" t="s">
        <v>36</v>
      </c>
      <c r="B43" s="36" t="s">
        <v>32</v>
      </c>
      <c r="C43" s="42" t="s">
        <v>173</v>
      </c>
      <c r="D43" s="42" t="s">
        <v>376</v>
      </c>
      <c r="E43" s="104">
        <v>33970</v>
      </c>
      <c r="F43" s="42">
        <v>18</v>
      </c>
      <c r="G43" s="38">
        <v>59</v>
      </c>
      <c r="H43" s="39" t="s">
        <v>164</v>
      </c>
      <c r="I43" s="41">
        <v>19.916691913580241</v>
      </c>
      <c r="J43" s="40" t="s">
        <v>124</v>
      </c>
      <c r="K43" s="40">
        <f t="shared" si="0"/>
        <v>3.3629352188464678</v>
      </c>
      <c r="L43" s="40">
        <v>255</v>
      </c>
      <c r="M43" s="6">
        <v>92</v>
      </c>
      <c r="AL43" s="36"/>
      <c r="AN43" s="31"/>
    </row>
    <row r="44" spans="1:40" ht="14.25">
      <c r="A44" s="36" t="s">
        <v>36</v>
      </c>
      <c r="B44" s="36" t="s">
        <v>32</v>
      </c>
      <c r="C44" s="42" t="s">
        <v>176</v>
      </c>
      <c r="D44" s="42" t="s">
        <v>377</v>
      </c>
      <c r="E44" s="104">
        <v>37803</v>
      </c>
      <c r="F44" s="42">
        <v>28</v>
      </c>
      <c r="G44" s="38">
        <v>247</v>
      </c>
      <c r="H44" s="39" t="s">
        <v>164</v>
      </c>
      <c r="I44" s="41">
        <v>1461.3425514197534</v>
      </c>
      <c r="J44" s="40" t="s">
        <v>124</v>
      </c>
      <c r="K44" s="40">
        <f t="shared" si="0"/>
        <v>14.07852721258292</v>
      </c>
      <c r="L44" s="40">
        <v>261</v>
      </c>
      <c r="M44" s="6">
        <v>93</v>
      </c>
      <c r="AL44" s="36"/>
      <c r="AN44" s="31"/>
    </row>
    <row r="45" spans="1:40" ht="14.25">
      <c r="A45" s="36" t="s">
        <v>36</v>
      </c>
      <c r="B45" s="36" t="s">
        <v>32</v>
      </c>
      <c r="C45" s="42" t="s">
        <v>163</v>
      </c>
      <c r="D45" s="42" t="s">
        <v>378</v>
      </c>
      <c r="E45" s="104">
        <v>31229</v>
      </c>
      <c r="F45" s="42">
        <v>25</v>
      </c>
      <c r="G45" s="38">
        <v>30</v>
      </c>
      <c r="H45" s="39" t="s">
        <v>164</v>
      </c>
      <c r="I45" s="41">
        <v>2.6183333333333332</v>
      </c>
      <c r="J45" s="40" t="s">
        <v>124</v>
      </c>
      <c r="K45" s="40">
        <f t="shared" si="0"/>
        <v>1.7099786256617984</v>
      </c>
      <c r="L45" s="40">
        <v>77</v>
      </c>
      <c r="M45" s="6">
        <v>94</v>
      </c>
      <c r="AL45" s="36"/>
      <c r="AN45" s="31"/>
    </row>
    <row r="46" spans="1:40" ht="14.25">
      <c r="A46" s="36" t="s">
        <v>36</v>
      </c>
      <c r="B46" s="36" t="s">
        <v>32</v>
      </c>
      <c r="C46" s="42" t="s">
        <v>169</v>
      </c>
      <c r="D46" s="42" t="s">
        <v>379</v>
      </c>
      <c r="E46" s="104">
        <v>34881</v>
      </c>
      <c r="F46" s="42">
        <v>24</v>
      </c>
      <c r="G46" s="38">
        <v>770</v>
      </c>
      <c r="H46" s="39" t="s">
        <v>164</v>
      </c>
      <c r="I46" s="41">
        <v>44272.428580246888</v>
      </c>
      <c r="J46" s="40" t="s">
        <v>124</v>
      </c>
      <c r="K46" s="40">
        <f t="shared" si="0"/>
        <v>43.888027117633747</v>
      </c>
      <c r="L46" s="40">
        <v>309</v>
      </c>
      <c r="M46" s="6">
        <v>95</v>
      </c>
      <c r="AL46" s="36"/>
      <c r="AN46" s="31"/>
    </row>
    <row r="47" spans="1:40" ht="14.25">
      <c r="A47" s="36" t="s">
        <v>43</v>
      </c>
      <c r="B47" s="36" t="s">
        <v>44</v>
      </c>
      <c r="C47" s="42" t="s">
        <v>180</v>
      </c>
      <c r="D47" s="42" t="s">
        <v>396</v>
      </c>
      <c r="E47" s="104">
        <v>31229</v>
      </c>
      <c r="F47" s="42">
        <v>21</v>
      </c>
      <c r="G47" s="39">
        <v>13.3</v>
      </c>
      <c r="H47" s="38" t="s">
        <v>218</v>
      </c>
      <c r="I47" s="41">
        <v>197.11961210666669</v>
      </c>
      <c r="J47" s="40" t="s">
        <v>124</v>
      </c>
      <c r="K47" s="40">
        <f t="shared" si="0"/>
        <v>7.2202581690235483</v>
      </c>
      <c r="L47" s="40">
        <v>2190</v>
      </c>
      <c r="M47" s="6">
        <v>96</v>
      </c>
    </row>
    <row r="48" spans="1:40" ht="14.25">
      <c r="A48" s="36" t="s">
        <v>43</v>
      </c>
      <c r="B48" s="36" t="s">
        <v>44</v>
      </c>
      <c r="C48" s="42" t="s">
        <v>181</v>
      </c>
      <c r="D48" s="42" t="s">
        <v>396</v>
      </c>
      <c r="E48" s="104">
        <v>31229</v>
      </c>
      <c r="F48" s="42">
        <v>21</v>
      </c>
      <c r="G48" s="39">
        <v>8</v>
      </c>
      <c r="H48" s="38" t="s">
        <v>218</v>
      </c>
      <c r="I48" s="41">
        <v>42.898773333333338</v>
      </c>
      <c r="J48" s="40" t="s">
        <v>124</v>
      </c>
      <c r="K48" s="40">
        <f t="shared" si="0"/>
        <v>4.3430345090605691</v>
      </c>
      <c r="L48" s="40">
        <v>1095</v>
      </c>
      <c r="M48" s="6">
        <v>96</v>
      </c>
    </row>
    <row r="49" spans="1:23" ht="14.25">
      <c r="A49" s="36" t="s">
        <v>43</v>
      </c>
      <c r="B49" s="36" t="s">
        <v>44</v>
      </c>
      <c r="C49" s="42" t="s">
        <v>188</v>
      </c>
      <c r="D49" s="42" t="s">
        <v>397</v>
      </c>
      <c r="E49" s="104">
        <v>31229</v>
      </c>
      <c r="F49" s="42">
        <v>28</v>
      </c>
      <c r="G49" s="39">
        <v>70</v>
      </c>
      <c r="H49" s="39" t="s">
        <v>165</v>
      </c>
      <c r="I49" s="40">
        <v>28738.826666666668</v>
      </c>
      <c r="J49" s="40" t="s">
        <v>124</v>
      </c>
      <c r="K49" s="40">
        <f t="shared" si="0"/>
        <v>38.000727689150537</v>
      </c>
      <c r="L49" s="40">
        <v>4015</v>
      </c>
      <c r="M49" s="6">
        <v>96</v>
      </c>
    </row>
    <row r="50" spans="1:23" ht="14.25">
      <c r="A50" s="36" t="s">
        <v>43</v>
      </c>
      <c r="B50" s="36" t="s">
        <v>44</v>
      </c>
      <c r="C50" s="42" t="s">
        <v>182</v>
      </c>
      <c r="D50" s="42" t="s">
        <v>398</v>
      </c>
      <c r="E50" s="42"/>
      <c r="F50" s="42"/>
      <c r="G50" s="39">
        <v>20</v>
      </c>
      <c r="H50" s="38" t="s">
        <v>218</v>
      </c>
      <c r="I50" s="41">
        <v>670.29333333333329</v>
      </c>
      <c r="J50" s="40" t="s">
        <v>124</v>
      </c>
      <c r="K50" s="40">
        <f t="shared" si="0"/>
        <v>10.857486786050496</v>
      </c>
      <c r="L50" s="40">
        <v>1095</v>
      </c>
      <c r="M50" s="6">
        <v>96</v>
      </c>
    </row>
    <row r="51" spans="1:23" ht="14.25">
      <c r="A51" s="36" t="s">
        <v>43</v>
      </c>
      <c r="B51" s="36" t="s">
        <v>44</v>
      </c>
      <c r="C51" s="42" t="s">
        <v>113</v>
      </c>
      <c r="D51" s="42" t="s">
        <v>399</v>
      </c>
      <c r="E51" s="104">
        <v>31048</v>
      </c>
      <c r="F51" s="42">
        <v>22</v>
      </c>
      <c r="G51" s="39">
        <v>20</v>
      </c>
      <c r="H51" s="38" t="s">
        <v>218</v>
      </c>
      <c r="I51" s="41">
        <v>670.29333333333329</v>
      </c>
      <c r="J51" s="40" t="s">
        <v>124</v>
      </c>
      <c r="K51" s="40">
        <f t="shared" si="0"/>
        <v>10.857486786050496</v>
      </c>
      <c r="L51" s="40">
        <v>1095</v>
      </c>
      <c r="M51" s="6">
        <v>96</v>
      </c>
    </row>
    <row r="52" spans="1:23" ht="14.25">
      <c r="A52" s="36" t="s">
        <v>43</v>
      </c>
      <c r="B52" s="36" t="s">
        <v>44</v>
      </c>
      <c r="C52" s="42" t="s">
        <v>183</v>
      </c>
      <c r="D52" s="42" t="s">
        <v>400</v>
      </c>
      <c r="E52" s="104">
        <v>34881</v>
      </c>
      <c r="F52" s="42">
        <v>29</v>
      </c>
      <c r="G52" s="39">
        <v>21.2</v>
      </c>
      <c r="H52" s="38" t="s">
        <v>218</v>
      </c>
      <c r="I52" s="41">
        <v>798.33008469333333</v>
      </c>
      <c r="J52" s="40" t="s">
        <v>124</v>
      </c>
      <c r="K52" s="40">
        <f t="shared" si="0"/>
        <v>11.508929287084142</v>
      </c>
      <c r="L52" s="40">
        <v>1095</v>
      </c>
      <c r="M52" s="6">
        <v>96</v>
      </c>
    </row>
    <row r="53" spans="1:23" s="4" customFormat="1" ht="14.25">
      <c r="A53" s="110" t="s">
        <v>43</v>
      </c>
      <c r="B53" s="110" t="s">
        <v>44</v>
      </c>
      <c r="C53" s="42" t="s">
        <v>189</v>
      </c>
      <c r="D53" s="42" t="s">
        <v>401</v>
      </c>
      <c r="E53" s="104">
        <v>34881</v>
      </c>
      <c r="F53" s="42">
        <v>10</v>
      </c>
      <c r="G53" s="111">
        <v>84</v>
      </c>
      <c r="H53" s="111" t="s">
        <v>165</v>
      </c>
      <c r="I53" s="32">
        <f>4/3*3.142*(0.5*G53)*(0.2*G53)^2</f>
        <v>49660.692479999991</v>
      </c>
      <c r="J53" s="112" t="s">
        <v>124</v>
      </c>
      <c r="K53" s="40">
        <f t="shared" si="0"/>
        <v>45.600790086834451</v>
      </c>
      <c r="L53" s="112">
        <f>365*8</f>
        <v>2920</v>
      </c>
      <c r="M53" s="35">
        <v>96</v>
      </c>
      <c r="N53"/>
      <c r="O53"/>
      <c r="P53"/>
      <c r="Q53"/>
      <c r="S53"/>
      <c r="T53"/>
      <c r="U53"/>
      <c r="V53"/>
      <c r="W53"/>
    </row>
    <row r="54" spans="1:23" ht="14.25">
      <c r="A54" s="36" t="s">
        <v>43</v>
      </c>
      <c r="B54" s="36" t="s">
        <v>44</v>
      </c>
      <c r="C54" s="42" t="s">
        <v>186</v>
      </c>
      <c r="D54" s="42" t="s">
        <v>402</v>
      </c>
      <c r="E54" s="104">
        <v>34700</v>
      </c>
      <c r="F54" s="42">
        <v>28</v>
      </c>
      <c r="G54" s="39">
        <v>35</v>
      </c>
      <c r="H54" s="39" t="s">
        <v>185</v>
      </c>
      <c r="I54" s="40">
        <v>3592.3533333333335</v>
      </c>
      <c r="J54" s="40" t="s">
        <v>124</v>
      </c>
      <c r="K54" s="40">
        <f t="shared" si="0"/>
        <v>19.000495545517996</v>
      </c>
      <c r="L54" s="40">
        <v>1460</v>
      </c>
      <c r="M54" s="35">
        <v>96</v>
      </c>
    </row>
    <row r="55" spans="1:23" ht="14.25">
      <c r="A55" s="36" t="s">
        <v>43</v>
      </c>
      <c r="B55" s="36" t="s">
        <v>44</v>
      </c>
      <c r="C55" s="42" t="s">
        <v>190</v>
      </c>
      <c r="D55" s="42" t="s">
        <v>402</v>
      </c>
      <c r="E55" s="104">
        <v>34700</v>
      </c>
      <c r="F55" s="42">
        <v>28</v>
      </c>
      <c r="G55" s="39">
        <v>64</v>
      </c>
      <c r="H55" s="39" t="s">
        <v>165</v>
      </c>
      <c r="I55" s="40">
        <v>21964.171946666669</v>
      </c>
      <c r="J55" s="40" t="s">
        <v>124</v>
      </c>
      <c r="K55" s="40">
        <f t="shared" si="0"/>
        <v>34.743553593086332</v>
      </c>
      <c r="L55" s="40">
        <v>6570</v>
      </c>
      <c r="M55" s="35">
        <v>96</v>
      </c>
    </row>
    <row r="56" spans="1:23" ht="14.25">
      <c r="A56" s="36" t="s">
        <v>43</v>
      </c>
      <c r="B56" s="36" t="s">
        <v>44</v>
      </c>
      <c r="C56" s="42" t="s">
        <v>187</v>
      </c>
      <c r="D56" s="42" t="s">
        <v>403</v>
      </c>
      <c r="E56" s="42"/>
      <c r="F56" s="42">
        <v>12</v>
      </c>
      <c r="G56" s="39">
        <v>60</v>
      </c>
      <c r="H56" s="39" t="s">
        <v>185</v>
      </c>
      <c r="I56" s="40">
        <v>18097.919999999998</v>
      </c>
      <c r="J56" s="40" t="s">
        <v>124</v>
      </c>
      <c r="K56" s="40">
        <f t="shared" si="0"/>
        <v>32.572102515064927</v>
      </c>
      <c r="L56" s="40">
        <v>21900</v>
      </c>
      <c r="M56" s="35">
        <v>96</v>
      </c>
    </row>
    <row r="57" spans="1:23" ht="14.25">
      <c r="A57" s="36" t="s">
        <v>43</v>
      </c>
      <c r="B57" s="36" t="s">
        <v>44</v>
      </c>
      <c r="C57" s="42" t="s">
        <v>184</v>
      </c>
      <c r="D57" s="42" t="s">
        <v>404</v>
      </c>
      <c r="E57" s="42"/>
      <c r="F57" s="42">
        <v>29</v>
      </c>
      <c r="G57" s="39">
        <v>140</v>
      </c>
      <c r="H57" s="39" t="s">
        <v>185</v>
      </c>
      <c r="I57" s="40">
        <v>229910.61333333334</v>
      </c>
      <c r="J57" s="40" t="s">
        <v>124</v>
      </c>
      <c r="K57" s="40">
        <f t="shared" si="0"/>
        <v>76.000928578181671</v>
      </c>
      <c r="L57" s="40">
        <v>3285</v>
      </c>
      <c r="M57" s="35">
        <v>96</v>
      </c>
    </row>
    <row r="58" spans="1:23">
      <c r="A58" s="36"/>
      <c r="B58" s="36"/>
      <c r="C58" s="36"/>
      <c r="D58" s="36"/>
      <c r="E58" s="36"/>
      <c r="F58" s="36"/>
      <c r="G58" s="38"/>
      <c r="H58" s="38"/>
      <c r="I58" s="40"/>
      <c r="J58" s="40"/>
      <c r="K58" s="40"/>
      <c r="L58" s="40"/>
    </row>
    <row r="59" spans="1:23">
      <c r="G59" s="39"/>
      <c r="H59" s="38"/>
      <c r="I59" s="41"/>
      <c r="J59" s="40"/>
      <c r="K59" s="40"/>
    </row>
    <row r="60" spans="1:23">
      <c r="G60" s="39"/>
      <c r="H60" s="38"/>
      <c r="I60" s="41"/>
      <c r="J60" s="40"/>
      <c r="K60" s="40"/>
    </row>
    <row r="61" spans="1:23">
      <c r="G61" s="39"/>
      <c r="H61" s="39"/>
      <c r="I61" s="40"/>
      <c r="J61" s="40"/>
      <c r="K61" s="40"/>
    </row>
    <row r="62" spans="1:23">
      <c r="G62" s="39"/>
      <c r="H62" s="39"/>
      <c r="I62" s="41"/>
      <c r="J62" s="40"/>
      <c r="K62" s="40"/>
    </row>
    <row r="63" spans="1:23">
      <c r="G63" s="39"/>
      <c r="H63" s="38"/>
      <c r="I63" s="41"/>
      <c r="J63" s="40"/>
      <c r="K63" s="40"/>
    </row>
    <row r="64" spans="1:23">
      <c r="G64" s="39"/>
      <c r="H64" s="39"/>
      <c r="I64" s="41"/>
      <c r="J64" s="40"/>
      <c r="K64" s="40"/>
    </row>
    <row r="65" spans="7:11">
      <c r="G65" s="111"/>
      <c r="H65" s="111"/>
      <c r="I65" s="32"/>
      <c r="J65" s="112"/>
      <c r="K65" s="112"/>
    </row>
    <row r="66" spans="7:11">
      <c r="G66" s="39"/>
      <c r="H66" s="39"/>
      <c r="I66" s="40"/>
      <c r="J66" s="40"/>
      <c r="K66" s="40"/>
    </row>
    <row r="67" spans="7:11">
      <c r="G67" s="39"/>
      <c r="H67" s="39"/>
      <c r="I67" s="40"/>
      <c r="J67" s="40"/>
      <c r="K67" s="40"/>
    </row>
    <row r="68" spans="7:11">
      <c r="G68" s="39"/>
      <c r="H68" s="39"/>
      <c r="I68" s="40"/>
      <c r="J68" s="40"/>
      <c r="K68" s="40"/>
    </row>
    <row r="69" spans="7:11">
      <c r="G69" s="39"/>
      <c r="H69" s="39"/>
      <c r="I69" s="40"/>
      <c r="J69" s="40"/>
      <c r="K69" s="40"/>
    </row>
  </sheetData>
  <sortState ref="A57:K69">
    <sortCondition ref="C57:C69"/>
  </sortState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86"/>
  <sheetViews>
    <sheetView tabSelected="1" zoomScaleNormal="100" workbookViewId="0">
      <selection activeCell="C10" sqref="C10"/>
    </sheetView>
  </sheetViews>
  <sheetFormatPr defaultRowHeight="12.75"/>
  <cols>
    <col min="1" max="1" width="14.85546875" customWidth="1"/>
    <col min="2" max="2" width="15.7109375" customWidth="1"/>
    <col min="3" max="3" width="29.42578125" bestFit="1" customWidth="1"/>
    <col min="4" max="4" width="9.140625" style="6"/>
    <col min="5" max="5" width="20.7109375" customWidth="1"/>
    <col min="6" max="6" width="24.85546875" bestFit="1" customWidth="1"/>
    <col min="7" max="7" width="16.28515625" style="6" customWidth="1"/>
    <col min="8" max="8" width="6.42578125" customWidth="1"/>
    <col min="9" max="9" width="11.5703125" style="31" customWidth="1"/>
    <col min="10" max="10" width="25.42578125" customWidth="1"/>
    <col min="11" max="11" width="17.140625" customWidth="1"/>
    <col min="12" max="12" width="9.140625" style="6"/>
    <col min="27" max="27" width="16.28515625" style="6" customWidth="1"/>
  </cols>
  <sheetData>
    <row r="1" spans="1:40" s="9" customFormat="1" ht="14.25">
      <c r="A1" s="9" t="s">
        <v>82</v>
      </c>
      <c r="B1" s="2" t="s">
        <v>83</v>
      </c>
      <c r="C1" s="2" t="s">
        <v>4</v>
      </c>
      <c r="D1" s="5" t="s">
        <v>195</v>
      </c>
      <c r="E1" s="5" t="s">
        <v>125</v>
      </c>
      <c r="F1" s="5" t="s">
        <v>126</v>
      </c>
      <c r="G1" s="5" t="s">
        <v>231</v>
      </c>
      <c r="H1" s="5" t="s">
        <v>9</v>
      </c>
      <c r="I1" s="19" t="s">
        <v>3</v>
      </c>
      <c r="J1" s="5" t="s">
        <v>278</v>
      </c>
      <c r="K1" s="5" t="s">
        <v>233</v>
      </c>
      <c r="L1" s="21" t="s">
        <v>7</v>
      </c>
      <c r="AA1" s="45"/>
      <c r="AB1" s="45"/>
      <c r="AC1" s="85"/>
      <c r="AD1" s="85"/>
      <c r="AE1" s="86"/>
      <c r="AF1" s="87"/>
      <c r="AG1" s="86"/>
      <c r="AH1" s="86"/>
      <c r="AI1" s="86"/>
      <c r="AJ1" s="88"/>
      <c r="AK1" s="87"/>
      <c r="AL1" s="77"/>
      <c r="AM1" s="77"/>
      <c r="AN1" s="77"/>
    </row>
    <row r="2" spans="1:40" s="10" customFormat="1">
      <c r="A2" s="10" t="s">
        <v>35</v>
      </c>
      <c r="B2" s="43" t="s">
        <v>226</v>
      </c>
      <c r="C2" s="50" t="s">
        <v>230</v>
      </c>
      <c r="D2" s="44">
        <v>28</v>
      </c>
      <c r="E2" s="53">
        <v>10</v>
      </c>
      <c r="F2" s="44" t="s">
        <v>45</v>
      </c>
      <c r="G2" s="53">
        <v>73.190123349320885</v>
      </c>
      <c r="H2" s="44" t="s">
        <v>11</v>
      </c>
      <c r="I2" s="53">
        <f t="shared" ref="I2:I37" si="0">((G2/((4/3)*3.142))^0.33333)*2</f>
        <v>5.1895341623803262</v>
      </c>
      <c r="J2" s="53">
        <v>11.5</v>
      </c>
      <c r="K2" s="53">
        <f t="shared" ref="K2:K38" si="1">I2*J2/(1.05*10^(-2))</f>
        <v>5683.7755111784518</v>
      </c>
      <c r="L2" s="6">
        <v>97</v>
      </c>
      <c r="AA2" s="45"/>
      <c r="AB2" s="45"/>
      <c r="AC2" s="45"/>
      <c r="AD2" s="45"/>
      <c r="AE2" s="89"/>
      <c r="AF2" s="90"/>
      <c r="AG2" s="44"/>
      <c r="AH2" s="89"/>
      <c r="AI2" s="89"/>
      <c r="AJ2" s="91"/>
      <c r="AK2" s="85"/>
      <c r="AL2" s="44"/>
      <c r="AM2" s="44"/>
      <c r="AN2" s="44"/>
    </row>
    <row r="3" spans="1:40" s="10" customFormat="1">
      <c r="A3" s="10" t="s">
        <v>35</v>
      </c>
      <c r="B3" s="48" t="s">
        <v>18</v>
      </c>
      <c r="C3" s="51" t="s">
        <v>39</v>
      </c>
      <c r="D3" s="6" t="s">
        <v>166</v>
      </c>
      <c r="E3" s="54">
        <v>3</v>
      </c>
      <c r="F3" s="44" t="s">
        <v>45</v>
      </c>
      <c r="G3" s="14">
        <v>0.56730000000000003</v>
      </c>
      <c r="H3" s="6" t="s">
        <v>11</v>
      </c>
      <c r="I3" s="53">
        <f t="shared" si="0"/>
        <v>1.0270435169632106</v>
      </c>
      <c r="J3" s="54">
        <v>2.15</v>
      </c>
      <c r="K3" s="53">
        <f t="shared" si="1"/>
        <v>210.29938680675264</v>
      </c>
      <c r="L3" s="6">
        <v>98</v>
      </c>
      <c r="AA3" s="45"/>
      <c r="AB3" s="45"/>
      <c r="AC3" s="45"/>
      <c r="AD3" s="56"/>
      <c r="AE3" s="89"/>
      <c r="AF3" s="90"/>
      <c r="AG3" s="47"/>
      <c r="AH3" s="89"/>
      <c r="AI3" s="89"/>
      <c r="AJ3" s="91"/>
      <c r="AK3" s="85"/>
      <c r="AL3" s="47"/>
      <c r="AM3" s="47"/>
      <c r="AN3" s="47"/>
    </row>
    <row r="4" spans="1:40" s="10" customFormat="1">
      <c r="A4" s="10" t="s">
        <v>35</v>
      </c>
      <c r="B4" s="48" t="s">
        <v>18</v>
      </c>
      <c r="C4" s="51" t="s">
        <v>24</v>
      </c>
      <c r="D4" s="6" t="s">
        <v>166</v>
      </c>
      <c r="E4" s="14" t="s">
        <v>234</v>
      </c>
      <c r="F4" s="6" t="s">
        <v>235</v>
      </c>
      <c r="G4" s="54">
        <v>41.2</v>
      </c>
      <c r="H4" s="56" t="s">
        <v>11</v>
      </c>
      <c r="I4" s="53">
        <f t="shared" si="0"/>
        <v>4.2849338267338153</v>
      </c>
      <c r="J4" s="54">
        <v>0.9</v>
      </c>
      <c r="K4" s="53">
        <f t="shared" si="1"/>
        <v>367.28004229146984</v>
      </c>
      <c r="L4" s="6">
        <v>99</v>
      </c>
      <c r="AA4" s="45"/>
      <c r="AB4" s="45"/>
      <c r="AC4" s="45"/>
      <c r="AD4" s="56"/>
      <c r="AE4" s="89"/>
      <c r="AF4" s="90"/>
      <c r="AG4" s="47"/>
      <c r="AH4" s="89"/>
      <c r="AI4" s="89"/>
      <c r="AJ4" s="91"/>
      <c r="AK4" s="85"/>
      <c r="AL4" s="47"/>
      <c r="AM4" s="47"/>
      <c r="AN4" s="47"/>
    </row>
    <row r="5" spans="1:40" s="10" customFormat="1">
      <c r="A5" s="10" t="s">
        <v>35</v>
      </c>
      <c r="B5" s="48" t="s">
        <v>18</v>
      </c>
      <c r="C5" s="51" t="s">
        <v>19</v>
      </c>
      <c r="D5" s="6" t="s">
        <v>166</v>
      </c>
      <c r="E5" s="55">
        <v>1.9</v>
      </c>
      <c r="F5" s="49" t="s">
        <v>198</v>
      </c>
      <c r="G5" s="54">
        <v>2.521E-4</v>
      </c>
      <c r="H5" s="47" t="s">
        <v>11</v>
      </c>
      <c r="I5" s="53">
        <f t="shared" si="0"/>
        <v>7.837665184824727E-2</v>
      </c>
      <c r="J5" s="54">
        <v>2.2000000000000002</v>
      </c>
      <c r="K5" s="53">
        <f t="shared" si="1"/>
        <v>16.421774672966094</v>
      </c>
      <c r="L5" s="6">
        <v>99</v>
      </c>
      <c r="AA5" s="45"/>
      <c r="AB5" s="45"/>
      <c r="AC5" s="45"/>
      <c r="AD5" s="56"/>
      <c r="AE5" s="89"/>
      <c r="AF5" s="90"/>
      <c r="AG5" s="47"/>
      <c r="AH5" s="89"/>
      <c r="AI5" s="89"/>
      <c r="AJ5" s="91"/>
      <c r="AK5" s="85"/>
      <c r="AL5" s="47"/>
      <c r="AM5" s="47"/>
      <c r="AN5" s="47"/>
    </row>
    <row r="6" spans="1:40" s="10" customFormat="1">
      <c r="A6" s="10" t="s">
        <v>35</v>
      </c>
      <c r="B6" s="48" t="s">
        <v>18</v>
      </c>
      <c r="C6" s="51" t="s">
        <v>19</v>
      </c>
      <c r="D6" s="49" t="s">
        <v>166</v>
      </c>
      <c r="E6" s="55">
        <v>2</v>
      </c>
      <c r="F6" s="49" t="s">
        <v>198</v>
      </c>
      <c r="G6" s="54">
        <v>2.6049999999999999E-4</v>
      </c>
      <c r="H6" s="47" t="s">
        <v>11</v>
      </c>
      <c r="I6" s="53">
        <f t="shared" si="0"/>
        <v>7.9237656077755E-2</v>
      </c>
      <c r="J6" s="54">
        <v>0.49</v>
      </c>
      <c r="K6" s="53">
        <f t="shared" si="1"/>
        <v>3.6977572836285661</v>
      </c>
      <c r="L6" s="6" t="s">
        <v>427</v>
      </c>
      <c r="AA6" s="45"/>
      <c r="AB6" s="45"/>
      <c r="AC6" s="45"/>
      <c r="AD6" s="56"/>
      <c r="AE6" s="89"/>
      <c r="AF6" s="90"/>
      <c r="AG6" s="47"/>
      <c r="AH6" s="89"/>
      <c r="AI6" s="89"/>
      <c r="AJ6" s="91"/>
      <c r="AK6" s="85"/>
      <c r="AL6" s="47"/>
      <c r="AM6" s="47"/>
      <c r="AN6" s="47"/>
    </row>
    <row r="7" spans="1:40" s="10" customFormat="1">
      <c r="A7" s="10" t="s">
        <v>35</v>
      </c>
      <c r="B7" s="46" t="s">
        <v>18</v>
      </c>
      <c r="C7" s="51" t="s">
        <v>197</v>
      </c>
      <c r="D7" s="6" t="s">
        <v>166</v>
      </c>
      <c r="E7" s="54">
        <v>2</v>
      </c>
      <c r="F7" s="44" t="s">
        <v>45</v>
      </c>
      <c r="G7" s="53">
        <v>0.436</v>
      </c>
      <c r="H7" s="44" t="s">
        <v>11</v>
      </c>
      <c r="I7" s="53">
        <f t="shared" si="0"/>
        <v>0.94076350576540335</v>
      </c>
      <c r="J7" s="54">
        <v>2.9</v>
      </c>
      <c r="K7" s="53">
        <f t="shared" si="1"/>
        <v>259.82992063996852</v>
      </c>
      <c r="L7" s="6">
        <v>100</v>
      </c>
      <c r="AA7" s="45"/>
      <c r="AB7" s="45"/>
      <c r="AC7" s="45"/>
      <c r="AD7" s="56"/>
      <c r="AE7" s="89"/>
      <c r="AF7" s="90"/>
      <c r="AG7" s="47"/>
      <c r="AH7" s="89"/>
      <c r="AI7" s="89"/>
      <c r="AJ7" s="91"/>
      <c r="AK7" s="85"/>
      <c r="AL7" s="47"/>
      <c r="AM7" s="47"/>
      <c r="AN7" s="47"/>
    </row>
    <row r="8" spans="1:40" s="10" customFormat="1">
      <c r="A8" s="10" t="s">
        <v>35</v>
      </c>
      <c r="B8" s="46" t="s">
        <v>18</v>
      </c>
      <c r="C8" s="51" t="s">
        <v>29</v>
      </c>
      <c r="D8" s="44">
        <v>12</v>
      </c>
      <c r="E8" s="54">
        <v>2</v>
      </c>
      <c r="F8" s="44" t="s">
        <v>45</v>
      </c>
      <c r="G8" s="14">
        <v>0.12673913043478263</v>
      </c>
      <c r="H8" s="6" t="s">
        <v>11</v>
      </c>
      <c r="I8" s="53">
        <f t="shared" si="0"/>
        <v>0.62319457157872193</v>
      </c>
      <c r="J8" s="54">
        <v>3</v>
      </c>
      <c r="K8" s="53">
        <f t="shared" si="1"/>
        <v>178.05559187963482</v>
      </c>
      <c r="L8" s="6">
        <v>10</v>
      </c>
      <c r="AA8" s="45"/>
      <c r="AB8" s="45"/>
      <c r="AC8" s="45"/>
      <c r="AD8" s="56"/>
      <c r="AE8" s="89"/>
      <c r="AF8" s="90"/>
      <c r="AG8" s="47"/>
      <c r="AH8" s="89"/>
      <c r="AI8" s="89"/>
      <c r="AJ8" s="91"/>
      <c r="AK8" s="85"/>
      <c r="AL8" s="47"/>
      <c r="AM8" s="47"/>
      <c r="AN8" s="47"/>
    </row>
    <row r="9" spans="1:40" s="10" customFormat="1">
      <c r="A9" s="10" t="s">
        <v>35</v>
      </c>
      <c r="B9" s="46" t="s">
        <v>18</v>
      </c>
      <c r="C9" s="51" t="s">
        <v>229</v>
      </c>
      <c r="D9" s="6" t="s">
        <v>166</v>
      </c>
      <c r="E9" s="54">
        <v>1</v>
      </c>
      <c r="F9" s="44" t="s">
        <v>45</v>
      </c>
      <c r="G9" s="53">
        <v>0.245</v>
      </c>
      <c r="H9" s="44" t="s">
        <v>11</v>
      </c>
      <c r="I9" s="53">
        <f t="shared" si="0"/>
        <v>0.77632069075523347</v>
      </c>
      <c r="J9" s="54">
        <v>1.85</v>
      </c>
      <c r="K9" s="53">
        <f t="shared" si="1"/>
        <v>136.78031218068398</v>
      </c>
      <c r="L9" s="6" t="s">
        <v>427</v>
      </c>
      <c r="AA9" s="45"/>
      <c r="AB9" s="45"/>
      <c r="AC9" s="45"/>
      <c r="AD9" s="56"/>
      <c r="AE9" s="89"/>
      <c r="AF9" s="90"/>
      <c r="AG9" s="47"/>
      <c r="AH9" s="89"/>
      <c r="AI9" s="89"/>
      <c r="AJ9" s="91"/>
      <c r="AK9" s="85"/>
      <c r="AL9" s="47"/>
      <c r="AM9" s="47"/>
      <c r="AN9" s="47"/>
    </row>
    <row r="10" spans="1:40" s="10" customFormat="1">
      <c r="A10" s="10" t="s">
        <v>35</v>
      </c>
      <c r="B10" s="46" t="s">
        <v>18</v>
      </c>
      <c r="C10" s="51" t="s">
        <v>228</v>
      </c>
      <c r="D10" s="6" t="s">
        <v>166</v>
      </c>
      <c r="E10" s="54">
        <v>7</v>
      </c>
      <c r="F10" s="44" t="s">
        <v>45</v>
      </c>
      <c r="G10" s="53">
        <v>47.06</v>
      </c>
      <c r="H10" s="44" t="s">
        <v>11</v>
      </c>
      <c r="I10" s="53">
        <f t="shared" si="0"/>
        <v>4.4791488578591228</v>
      </c>
      <c r="J10" s="54">
        <v>1.85</v>
      </c>
      <c r="K10" s="53">
        <f t="shared" si="1"/>
        <v>789.18337019422643</v>
      </c>
      <c r="L10" s="6">
        <v>98</v>
      </c>
      <c r="AA10" s="45"/>
      <c r="AB10" s="45"/>
      <c r="AC10" s="45"/>
      <c r="AD10" s="56"/>
      <c r="AE10" s="89"/>
      <c r="AF10" s="90"/>
      <c r="AG10" s="47"/>
      <c r="AH10" s="89"/>
      <c r="AI10" s="89"/>
      <c r="AJ10" s="91"/>
      <c r="AK10" s="85"/>
      <c r="AL10" s="47"/>
      <c r="AM10" s="47"/>
      <c r="AN10" s="47"/>
    </row>
    <row r="11" spans="1:40" s="10" customFormat="1">
      <c r="A11" s="10" t="s">
        <v>35</v>
      </c>
      <c r="B11" s="43" t="s">
        <v>0</v>
      </c>
      <c r="C11" s="50" t="s">
        <v>8</v>
      </c>
      <c r="D11" s="44">
        <v>16</v>
      </c>
      <c r="E11" s="53">
        <v>5.54</v>
      </c>
      <c r="F11" s="44" t="s">
        <v>45</v>
      </c>
      <c r="G11" s="53">
        <v>10.007820908492207</v>
      </c>
      <c r="H11" s="44" t="s">
        <v>11</v>
      </c>
      <c r="I11" s="53">
        <f t="shared" si="0"/>
        <v>2.6735825884457483</v>
      </c>
      <c r="J11" s="53">
        <v>1.25</v>
      </c>
      <c r="K11" s="53">
        <f t="shared" si="1"/>
        <v>318.28364148163666</v>
      </c>
      <c r="L11" s="6">
        <v>102</v>
      </c>
      <c r="AA11" s="45"/>
      <c r="AB11" s="45"/>
      <c r="AC11" s="45"/>
      <c r="AD11" s="45"/>
      <c r="AE11" s="89"/>
      <c r="AF11" s="90"/>
      <c r="AG11" s="89"/>
      <c r="AH11" s="89"/>
      <c r="AI11" s="89"/>
      <c r="AJ11" s="91"/>
      <c r="AK11" s="85"/>
    </row>
    <row r="12" spans="1:40" s="10" customFormat="1">
      <c r="A12" s="10" t="s">
        <v>35</v>
      </c>
      <c r="B12" s="43" t="s">
        <v>0</v>
      </c>
      <c r="C12" s="50" t="s">
        <v>8</v>
      </c>
      <c r="D12" s="57" t="s">
        <v>232</v>
      </c>
      <c r="E12" s="53">
        <v>1.6</v>
      </c>
      <c r="F12" s="44" t="s">
        <v>146</v>
      </c>
      <c r="G12" s="53">
        <v>0.28686974559066269</v>
      </c>
      <c r="H12" s="44" t="s">
        <v>11</v>
      </c>
      <c r="I12" s="53">
        <f t="shared" si="0"/>
        <v>0.81823958770531524</v>
      </c>
      <c r="J12" s="53">
        <v>1.29</v>
      </c>
      <c r="K12" s="53">
        <f t="shared" si="1"/>
        <v>100.52657791808157</v>
      </c>
      <c r="L12" s="6">
        <v>103</v>
      </c>
      <c r="AA12" s="45"/>
      <c r="AB12" s="45"/>
      <c r="AC12" s="45"/>
      <c r="AD12" s="45"/>
      <c r="AE12" s="89"/>
      <c r="AF12" s="90"/>
      <c r="AG12" s="36"/>
      <c r="AH12" s="89"/>
      <c r="AI12" s="89"/>
      <c r="AJ12" s="91"/>
      <c r="AK12" s="85"/>
    </row>
    <row r="13" spans="1:40" s="10" customFormat="1">
      <c r="A13" s="10" t="s">
        <v>35</v>
      </c>
      <c r="B13" s="43" t="s">
        <v>0</v>
      </c>
      <c r="C13" s="50" t="s">
        <v>144</v>
      </c>
      <c r="D13" s="6" t="s">
        <v>166</v>
      </c>
      <c r="E13" s="53">
        <v>20</v>
      </c>
      <c r="F13" s="44" t="s">
        <v>45</v>
      </c>
      <c r="G13" s="53">
        <v>2244</v>
      </c>
      <c r="H13" s="44" t="s">
        <v>11</v>
      </c>
      <c r="I13" s="53">
        <f t="shared" si="0"/>
        <v>16.242275692531926</v>
      </c>
      <c r="J13" s="53">
        <v>8.3000000000000007</v>
      </c>
      <c r="K13" s="53">
        <f t="shared" si="1"/>
        <v>12839.132214096666</v>
      </c>
      <c r="L13" s="6">
        <v>104</v>
      </c>
      <c r="AA13" s="45"/>
      <c r="AB13" s="45"/>
      <c r="AC13" s="45"/>
      <c r="AD13" s="45"/>
      <c r="AE13" s="89"/>
      <c r="AF13" s="90"/>
      <c r="AG13" s="44"/>
      <c r="AH13" s="89"/>
      <c r="AI13" s="89"/>
      <c r="AJ13" s="91"/>
      <c r="AK13" s="85"/>
      <c r="AL13" s="44"/>
      <c r="AM13" s="44"/>
      <c r="AN13" s="44"/>
    </row>
    <row r="14" spans="1:40" s="10" customFormat="1">
      <c r="A14" s="10" t="s">
        <v>35</v>
      </c>
      <c r="B14" s="43" t="s">
        <v>0</v>
      </c>
      <c r="C14" s="50" t="s">
        <v>149</v>
      </c>
      <c r="D14" s="44" t="s">
        <v>166</v>
      </c>
      <c r="E14" s="53">
        <v>10</v>
      </c>
      <c r="F14" s="44" t="s">
        <v>146</v>
      </c>
      <c r="G14" s="53">
        <v>82.915604105551992</v>
      </c>
      <c r="H14" s="45" t="s">
        <v>11</v>
      </c>
      <c r="I14" s="53">
        <f t="shared" si="0"/>
        <v>5.4099027479801354</v>
      </c>
      <c r="J14" s="53">
        <v>1.8</v>
      </c>
      <c r="K14" s="53">
        <f t="shared" si="1"/>
        <v>927.41189965373746</v>
      </c>
      <c r="L14" s="6">
        <v>105</v>
      </c>
      <c r="AA14" s="45"/>
      <c r="AB14" s="45"/>
      <c r="AC14" s="45"/>
      <c r="AD14" s="45"/>
      <c r="AE14" s="89"/>
      <c r="AF14" s="90"/>
      <c r="AG14" s="44"/>
      <c r="AH14" s="89"/>
      <c r="AI14" s="89"/>
      <c r="AJ14" s="91"/>
      <c r="AK14" s="85"/>
      <c r="AL14" s="44"/>
      <c r="AM14" s="44"/>
      <c r="AN14" s="44"/>
    </row>
    <row r="15" spans="1:40" s="10" customFormat="1">
      <c r="A15" s="10" t="s">
        <v>35</v>
      </c>
      <c r="B15" s="43" t="s">
        <v>0</v>
      </c>
      <c r="C15" s="50" t="s">
        <v>149</v>
      </c>
      <c r="D15" s="44">
        <v>21</v>
      </c>
      <c r="E15" s="53">
        <v>5.45</v>
      </c>
      <c r="F15" s="44" t="s">
        <v>146</v>
      </c>
      <c r="G15" s="53">
        <v>12.509725219173671</v>
      </c>
      <c r="H15" s="45" t="s">
        <v>11</v>
      </c>
      <c r="I15" s="53">
        <f t="shared" si="0"/>
        <v>2.8800234880768878</v>
      </c>
      <c r="J15" s="53">
        <v>0.27</v>
      </c>
      <c r="K15" s="53">
        <f t="shared" si="1"/>
        <v>74.057746836262822</v>
      </c>
      <c r="L15" s="6">
        <v>106</v>
      </c>
      <c r="AA15" s="45"/>
      <c r="AB15" s="45"/>
      <c r="AC15" s="45"/>
      <c r="AD15" s="45"/>
      <c r="AE15" s="89"/>
      <c r="AF15" s="90"/>
      <c r="AG15" s="44"/>
      <c r="AH15" s="89"/>
      <c r="AI15" s="89"/>
      <c r="AJ15" s="91"/>
      <c r="AK15" s="85"/>
      <c r="AL15" s="44"/>
      <c r="AM15" s="44"/>
      <c r="AN15" s="44"/>
    </row>
    <row r="16" spans="1:40" s="10" customFormat="1">
      <c r="A16" s="10" t="s">
        <v>35</v>
      </c>
      <c r="B16" s="43" t="s">
        <v>0</v>
      </c>
      <c r="C16" s="50" t="s">
        <v>2</v>
      </c>
      <c r="D16" s="44">
        <v>22.5</v>
      </c>
      <c r="E16" s="53">
        <v>3.9</v>
      </c>
      <c r="F16" s="44" t="s">
        <v>146</v>
      </c>
      <c r="G16" s="53">
        <v>8.0683540671273448</v>
      </c>
      <c r="H16" s="44" t="s">
        <v>11</v>
      </c>
      <c r="I16" s="53">
        <f t="shared" si="0"/>
        <v>2.4883361972746965</v>
      </c>
      <c r="J16" s="53">
        <v>1.29</v>
      </c>
      <c r="K16" s="53">
        <f t="shared" si="1"/>
        <v>305.70987566517698</v>
      </c>
      <c r="L16" s="6">
        <v>107</v>
      </c>
      <c r="AA16" s="45"/>
      <c r="AB16" s="45"/>
      <c r="AC16" s="45"/>
      <c r="AD16" s="45"/>
      <c r="AE16" s="89"/>
      <c r="AF16" s="90"/>
      <c r="AG16" s="44"/>
      <c r="AH16" s="89"/>
      <c r="AI16" s="89"/>
      <c r="AJ16" s="91"/>
      <c r="AK16" s="85"/>
      <c r="AL16" s="44"/>
      <c r="AM16" s="44"/>
      <c r="AN16" s="44"/>
    </row>
    <row r="17" spans="1:40" s="10" customFormat="1">
      <c r="A17" s="10" t="s">
        <v>35</v>
      </c>
      <c r="B17" s="43" t="s">
        <v>0</v>
      </c>
      <c r="C17" s="50" t="s">
        <v>2</v>
      </c>
      <c r="D17" s="44">
        <v>19</v>
      </c>
      <c r="E17" s="53">
        <v>2.6</v>
      </c>
      <c r="F17" s="44" t="s">
        <v>146</v>
      </c>
      <c r="G17" s="53">
        <v>2.6200392395865837</v>
      </c>
      <c r="H17" s="44" t="s">
        <v>11</v>
      </c>
      <c r="I17" s="53">
        <f t="shared" si="0"/>
        <v>1.7103499052009743</v>
      </c>
      <c r="J17" s="53">
        <v>0.71</v>
      </c>
      <c r="K17" s="53">
        <f t="shared" si="1"/>
        <v>115.65223168501825</v>
      </c>
      <c r="L17" s="6">
        <v>108</v>
      </c>
      <c r="AA17" s="45"/>
      <c r="AB17" s="45"/>
      <c r="AC17" s="45"/>
      <c r="AD17" s="45"/>
      <c r="AE17" s="89"/>
      <c r="AF17" s="90"/>
      <c r="AG17" s="44"/>
      <c r="AH17" s="89"/>
      <c r="AI17" s="89"/>
      <c r="AJ17" s="91"/>
      <c r="AK17" s="85"/>
      <c r="AL17" s="44"/>
      <c r="AM17" s="44"/>
      <c r="AN17" s="44"/>
    </row>
    <row r="18" spans="1:40" s="10" customFormat="1">
      <c r="A18" s="10" t="s">
        <v>35</v>
      </c>
      <c r="B18" s="43" t="s">
        <v>0</v>
      </c>
      <c r="C18" s="50" t="s">
        <v>196</v>
      </c>
      <c r="D18" s="44">
        <v>22.5</v>
      </c>
      <c r="E18" s="53">
        <v>1.5</v>
      </c>
      <c r="F18" s="44" t="s">
        <v>45</v>
      </c>
      <c r="G18" s="53">
        <v>6.9486977007066431</v>
      </c>
      <c r="H18" s="44" t="s">
        <v>11</v>
      </c>
      <c r="I18" s="53">
        <f t="shared" si="0"/>
        <v>2.3674569843830149</v>
      </c>
      <c r="J18" s="53">
        <v>1.325</v>
      </c>
      <c r="K18" s="53">
        <f t="shared" si="1"/>
        <v>298.75052421976136</v>
      </c>
      <c r="L18" s="6">
        <v>107</v>
      </c>
      <c r="AA18" s="45"/>
      <c r="AB18" s="45"/>
      <c r="AC18" s="45"/>
      <c r="AD18" s="45"/>
      <c r="AE18" s="89"/>
      <c r="AF18" s="90"/>
      <c r="AG18" s="44"/>
      <c r="AH18" s="89"/>
      <c r="AI18" s="89"/>
      <c r="AJ18" s="91"/>
      <c r="AK18" s="85"/>
      <c r="AL18" s="44"/>
      <c r="AM18" s="44"/>
      <c r="AN18" s="44"/>
    </row>
    <row r="19" spans="1:40" s="10" customFormat="1">
      <c r="A19" s="10" t="s">
        <v>35</v>
      </c>
      <c r="B19" s="43" t="s">
        <v>0</v>
      </c>
      <c r="C19" s="50" t="s">
        <v>150</v>
      </c>
      <c r="D19" s="44">
        <v>16.2</v>
      </c>
      <c r="E19" s="53">
        <v>160</v>
      </c>
      <c r="F19" s="44" t="s">
        <v>45</v>
      </c>
      <c r="G19" s="53">
        <v>68000</v>
      </c>
      <c r="H19" s="44" t="s">
        <v>11</v>
      </c>
      <c r="I19" s="53">
        <f t="shared" si="0"/>
        <v>50.637309953645314</v>
      </c>
      <c r="J19" s="53">
        <v>12</v>
      </c>
      <c r="K19" s="53">
        <f t="shared" si="1"/>
        <v>57871.211375594641</v>
      </c>
      <c r="L19" s="6">
        <v>109</v>
      </c>
      <c r="AA19" s="45"/>
      <c r="AB19" s="45"/>
      <c r="AC19" s="45"/>
      <c r="AD19" s="45"/>
      <c r="AE19" s="89"/>
      <c r="AF19" s="90"/>
      <c r="AG19" s="44"/>
      <c r="AH19" s="89"/>
      <c r="AI19" s="89"/>
      <c r="AJ19" s="91"/>
      <c r="AK19" s="85"/>
      <c r="AL19" s="44"/>
      <c r="AM19" s="44"/>
      <c r="AN19" s="44"/>
    </row>
    <row r="20" spans="1:40" s="10" customFormat="1">
      <c r="A20" s="10" t="s">
        <v>35</v>
      </c>
      <c r="B20" s="43" t="s">
        <v>0</v>
      </c>
      <c r="C20" s="50" t="s">
        <v>145</v>
      </c>
      <c r="D20" s="44" t="s">
        <v>166</v>
      </c>
      <c r="E20" s="53">
        <v>2.8</v>
      </c>
      <c r="F20" s="44" t="s">
        <v>146</v>
      </c>
      <c r="G20" s="53">
        <v>2.42</v>
      </c>
      <c r="H20" s="44" t="s">
        <v>11</v>
      </c>
      <c r="I20" s="53">
        <f t="shared" si="0"/>
        <v>1.6656647934712387</v>
      </c>
      <c r="J20" s="53">
        <v>1.73</v>
      </c>
      <c r="K20" s="53">
        <f t="shared" si="1"/>
        <v>274.43810406716602</v>
      </c>
      <c r="L20" s="6">
        <v>110</v>
      </c>
      <c r="AA20" s="45"/>
      <c r="AB20" s="45"/>
      <c r="AC20" s="45"/>
      <c r="AD20" s="56"/>
      <c r="AE20" s="89"/>
      <c r="AF20" s="90"/>
      <c r="AG20" s="47"/>
      <c r="AH20" s="89"/>
      <c r="AI20" s="89"/>
      <c r="AJ20" s="91"/>
      <c r="AK20" s="85"/>
      <c r="AL20" s="47"/>
      <c r="AM20" s="47"/>
      <c r="AN20" s="47"/>
    </row>
    <row r="21" spans="1:40" s="10" customFormat="1">
      <c r="A21" s="10" t="s">
        <v>35</v>
      </c>
      <c r="B21" s="43" t="s">
        <v>0</v>
      </c>
      <c r="C21" s="50" t="s">
        <v>38</v>
      </c>
      <c r="D21" s="44">
        <v>22.5</v>
      </c>
      <c r="E21" s="53">
        <v>3.3</v>
      </c>
      <c r="F21" s="44" t="s">
        <v>198</v>
      </c>
      <c r="G21" s="53">
        <v>14.3381676824915</v>
      </c>
      <c r="H21" s="44" t="s">
        <v>11</v>
      </c>
      <c r="I21" s="53">
        <f t="shared" si="0"/>
        <v>3.0140084143768284</v>
      </c>
      <c r="J21" s="53">
        <v>2.2999999999999998</v>
      </c>
      <c r="K21" s="53">
        <f t="shared" si="1"/>
        <v>660.21136695873372</v>
      </c>
      <c r="L21" s="6">
        <v>107</v>
      </c>
      <c r="AA21" s="45"/>
      <c r="AB21" s="45"/>
      <c r="AC21" s="45"/>
      <c r="AD21" s="45"/>
      <c r="AE21" s="89"/>
      <c r="AF21" s="90"/>
      <c r="AG21" s="44"/>
      <c r="AH21" s="89"/>
      <c r="AI21" s="89"/>
      <c r="AJ21" s="91"/>
      <c r="AK21" s="85"/>
      <c r="AL21" s="44"/>
      <c r="AM21" s="44"/>
      <c r="AN21" s="44"/>
    </row>
    <row r="22" spans="1:40" s="10" customFormat="1">
      <c r="A22" s="10" t="s">
        <v>35</v>
      </c>
      <c r="B22" s="43" t="s">
        <v>0</v>
      </c>
      <c r="C22" s="50" t="s">
        <v>38</v>
      </c>
      <c r="D22" s="44">
        <v>29.5</v>
      </c>
      <c r="E22" s="53">
        <v>1000</v>
      </c>
      <c r="F22" s="44" t="s">
        <v>5</v>
      </c>
      <c r="G22" s="53">
        <v>1000</v>
      </c>
      <c r="H22" s="44" t="s">
        <v>11</v>
      </c>
      <c r="I22" s="53">
        <f t="shared" si="0"/>
        <v>12.406247198576866</v>
      </c>
      <c r="J22" s="53">
        <v>20.57</v>
      </c>
      <c r="K22" s="53">
        <f t="shared" si="1"/>
        <v>24304.429035688201</v>
      </c>
      <c r="L22" s="6">
        <v>15</v>
      </c>
      <c r="AA22" s="45"/>
      <c r="AB22" s="45"/>
      <c r="AC22" s="45"/>
      <c r="AD22" s="45"/>
      <c r="AE22" s="89"/>
      <c r="AF22" s="90"/>
      <c r="AG22" s="44"/>
      <c r="AH22" s="89"/>
      <c r="AI22" s="89"/>
      <c r="AJ22" s="91"/>
      <c r="AK22" s="85"/>
      <c r="AL22" s="44"/>
      <c r="AM22" s="44"/>
      <c r="AN22" s="44"/>
    </row>
    <row r="23" spans="1:40" s="10" customFormat="1">
      <c r="A23" s="10" t="s">
        <v>307</v>
      </c>
      <c r="B23" s="43" t="s">
        <v>317</v>
      </c>
      <c r="C23" s="50" t="s">
        <v>384</v>
      </c>
      <c r="D23" s="44" t="s">
        <v>166</v>
      </c>
      <c r="E23" s="53">
        <v>3.5000000000000003E-2</v>
      </c>
      <c r="F23" s="44" t="s">
        <v>383</v>
      </c>
      <c r="G23" s="53">
        <f>(1.77*(E23*1000)^2.23)/1000</f>
        <v>4.9118489773809957</v>
      </c>
      <c r="H23" s="44" t="s">
        <v>11</v>
      </c>
      <c r="I23" s="53">
        <f t="shared" si="0"/>
        <v>2.1089346772262445</v>
      </c>
      <c r="J23" s="53">
        <f>139*100/60/60</f>
        <v>3.8611111111111112</v>
      </c>
      <c r="K23" s="53">
        <f t="shared" si="1"/>
        <v>775.50772522340742</v>
      </c>
      <c r="L23" s="6">
        <v>111</v>
      </c>
      <c r="AA23" s="45"/>
      <c r="AB23" s="45"/>
      <c r="AC23" s="45"/>
      <c r="AD23" s="45"/>
      <c r="AE23" s="89"/>
      <c r="AF23" s="90"/>
      <c r="AG23" s="44"/>
      <c r="AH23" s="89"/>
      <c r="AI23" s="89"/>
      <c r="AJ23" s="91"/>
      <c r="AK23" s="85"/>
      <c r="AL23" s="44"/>
      <c r="AM23" s="44"/>
      <c r="AN23" s="44"/>
    </row>
    <row r="24" spans="1:40" s="10" customFormat="1">
      <c r="A24" s="10" t="s">
        <v>307</v>
      </c>
      <c r="B24" s="43" t="s">
        <v>317</v>
      </c>
      <c r="C24" s="50" t="s">
        <v>381</v>
      </c>
      <c r="D24" s="44" t="s">
        <v>166</v>
      </c>
      <c r="E24" s="53">
        <f>97/17.5*2</f>
        <v>11.085714285714285</v>
      </c>
      <c r="F24" s="44" t="s">
        <v>385</v>
      </c>
      <c r="G24" s="53">
        <f>(1.77*(E24*10)^2.23)/1000</f>
        <v>64.238630776272117</v>
      </c>
      <c r="H24" s="44" t="s">
        <v>11</v>
      </c>
      <c r="I24" s="53">
        <f t="shared" si="0"/>
        <v>4.9687044296835694</v>
      </c>
      <c r="J24" s="53">
        <v>3.58</v>
      </c>
      <c r="K24" s="53">
        <f t="shared" si="1"/>
        <v>1694.0916055492548</v>
      </c>
      <c r="L24" s="6">
        <v>112</v>
      </c>
      <c r="AA24" s="45"/>
      <c r="AB24" s="45"/>
      <c r="AC24" s="45"/>
      <c r="AD24" s="45"/>
      <c r="AE24" s="89"/>
      <c r="AF24" s="90"/>
      <c r="AG24" s="44"/>
      <c r="AH24" s="89"/>
      <c r="AI24" s="89"/>
      <c r="AJ24" s="91"/>
      <c r="AK24" s="85"/>
      <c r="AL24" s="44"/>
      <c r="AM24" s="44"/>
      <c r="AN24" s="44"/>
    </row>
    <row r="25" spans="1:40" s="10" customFormat="1">
      <c r="A25" s="10" t="s">
        <v>307</v>
      </c>
      <c r="B25" s="43" t="s">
        <v>317</v>
      </c>
      <c r="C25" s="50" t="s">
        <v>382</v>
      </c>
      <c r="D25" s="44" t="s">
        <v>166</v>
      </c>
      <c r="E25" s="53">
        <f>91/15*2</f>
        <v>12.133333333333333</v>
      </c>
      <c r="F25" s="44" t="s">
        <v>385</v>
      </c>
      <c r="G25" s="53">
        <f>(1.77*(E25*10)^2.23)</f>
        <v>78568.589014575118</v>
      </c>
      <c r="H25" s="44" t="s">
        <v>11</v>
      </c>
      <c r="I25" s="53">
        <f t="shared" si="0"/>
        <v>53.135376741767224</v>
      </c>
      <c r="J25" s="53">
        <v>3.58</v>
      </c>
      <c r="K25" s="53">
        <f t="shared" si="1"/>
        <v>18116.633212907302</v>
      </c>
      <c r="L25" s="6">
        <v>112</v>
      </c>
      <c r="AA25" s="45"/>
      <c r="AB25" s="45"/>
      <c r="AC25" s="45"/>
      <c r="AD25" s="45"/>
      <c r="AE25" s="89"/>
      <c r="AF25" s="90"/>
      <c r="AG25" s="44"/>
      <c r="AH25" s="89"/>
      <c r="AI25" s="89"/>
      <c r="AJ25" s="91"/>
      <c r="AK25" s="85"/>
      <c r="AL25" s="44"/>
      <c r="AM25" s="44"/>
      <c r="AN25" s="44"/>
    </row>
    <row r="26" spans="1:40" s="10" customFormat="1">
      <c r="A26" s="10" t="s">
        <v>307</v>
      </c>
      <c r="B26" s="43" t="s">
        <v>318</v>
      </c>
      <c r="C26" s="50" t="s">
        <v>341</v>
      </c>
      <c r="D26" s="44" t="s">
        <v>166</v>
      </c>
      <c r="E26" s="53">
        <f>4.2/0.5</f>
        <v>8.4</v>
      </c>
      <c r="F26" s="44" t="s">
        <v>385</v>
      </c>
      <c r="G26" s="53">
        <f>(((0.161*(E26*10)^2.096))+61.151)/0.039/1000</f>
        <v>46.138797275397586</v>
      </c>
      <c r="H26" s="44" t="s">
        <v>11</v>
      </c>
      <c r="I26" s="53">
        <f t="shared" si="0"/>
        <v>4.4497297972129983</v>
      </c>
      <c r="J26" s="53">
        <v>0.85</v>
      </c>
      <c r="K26" s="53">
        <f t="shared" si="1"/>
        <v>360.21622167914745</v>
      </c>
      <c r="L26" s="6">
        <v>112</v>
      </c>
      <c r="AA26" s="45"/>
      <c r="AB26" s="45"/>
      <c r="AC26" s="45"/>
      <c r="AD26" s="45"/>
      <c r="AE26" s="89"/>
      <c r="AF26" s="90"/>
      <c r="AG26" s="44"/>
      <c r="AH26" s="89"/>
      <c r="AI26" s="89"/>
      <c r="AJ26" s="91"/>
      <c r="AK26" s="85"/>
      <c r="AL26" s="44"/>
      <c r="AM26" s="44"/>
      <c r="AN26" s="44"/>
    </row>
    <row r="27" spans="1:40" s="10" customFormat="1">
      <c r="A27" s="10" t="s">
        <v>307</v>
      </c>
      <c r="B27" s="43" t="s">
        <v>318</v>
      </c>
      <c r="C27" s="50" t="s">
        <v>320</v>
      </c>
      <c r="D27" s="44">
        <v>24</v>
      </c>
      <c r="E27" s="53">
        <v>4.2</v>
      </c>
      <c r="F27" s="44" t="s">
        <v>45</v>
      </c>
      <c r="G27" s="53">
        <f>(1.074*(E27*10)^2.76)/1000</f>
        <v>32.446833697002255</v>
      </c>
      <c r="H27" s="44" t="s">
        <v>11</v>
      </c>
      <c r="I27" s="53">
        <f t="shared" si="0"/>
        <v>3.9570314386730772</v>
      </c>
      <c r="J27" s="53">
        <v>0.3</v>
      </c>
      <c r="K27" s="53">
        <f t="shared" si="1"/>
        <v>113.05804110494505</v>
      </c>
      <c r="L27" s="6">
        <v>113</v>
      </c>
      <c r="AA27" s="45"/>
      <c r="AB27" s="45"/>
      <c r="AC27" s="45"/>
      <c r="AD27" s="45"/>
      <c r="AE27" s="89"/>
      <c r="AF27" s="90"/>
      <c r="AG27" s="44"/>
      <c r="AH27" s="89"/>
      <c r="AI27" s="89"/>
      <c r="AJ27" s="91"/>
      <c r="AK27" s="85"/>
      <c r="AL27" s="44"/>
      <c r="AM27" s="44"/>
      <c r="AN27" s="44"/>
    </row>
    <row r="28" spans="1:40" s="10" customFormat="1" ht="14.25">
      <c r="A28" s="10" t="s">
        <v>69</v>
      </c>
      <c r="B28" s="10" t="s">
        <v>159</v>
      </c>
      <c r="C28" s="52" t="s">
        <v>160</v>
      </c>
      <c r="D28" s="49" t="s">
        <v>166</v>
      </c>
      <c r="E28" s="14">
        <v>1</v>
      </c>
      <c r="F28" s="49" t="s">
        <v>148</v>
      </c>
      <c r="G28" s="14">
        <v>8.3786666666666669E-5</v>
      </c>
      <c r="H28" s="40" t="s">
        <v>124</v>
      </c>
      <c r="I28" s="53">
        <f t="shared" si="0"/>
        <v>5.4290310326991886E-2</v>
      </c>
      <c r="J28" s="15">
        <v>0.6</v>
      </c>
      <c r="K28" s="53">
        <f t="shared" si="1"/>
        <v>3.1023034472566788</v>
      </c>
      <c r="L28" s="6">
        <v>114</v>
      </c>
      <c r="AA28" s="94"/>
      <c r="AB28" s="45"/>
      <c r="AC28" s="92"/>
      <c r="AD28" s="92"/>
      <c r="AE28" s="6"/>
      <c r="AF28" s="7"/>
      <c r="AG28" s="6"/>
      <c r="AH28" s="6"/>
      <c r="AI28" s="6"/>
      <c r="AJ28" s="7"/>
      <c r="AK28" s="93"/>
      <c r="AL28" s="6"/>
      <c r="AM28" s="6"/>
      <c r="AN28" s="6"/>
    </row>
    <row r="29" spans="1:40" s="10" customFormat="1" ht="14.25">
      <c r="A29" s="10" t="s">
        <v>69</v>
      </c>
      <c r="B29" s="10" t="s">
        <v>159</v>
      </c>
      <c r="C29" s="52" t="s">
        <v>199</v>
      </c>
      <c r="D29" s="47">
        <v>22</v>
      </c>
      <c r="E29" s="54">
        <v>1.3466663300000001</v>
      </c>
      <c r="F29" s="49" t="s">
        <v>200</v>
      </c>
      <c r="G29" s="14">
        <v>2.0462322182929703E-4</v>
      </c>
      <c r="H29" s="40" t="s">
        <v>124</v>
      </c>
      <c r="I29" s="53">
        <f t="shared" si="0"/>
        <v>7.3110715361291032E-2</v>
      </c>
      <c r="J29" s="15">
        <v>0.33</v>
      </c>
      <c r="K29" s="53">
        <f t="shared" si="1"/>
        <v>2.2977653399262894</v>
      </c>
      <c r="L29" s="6">
        <v>115</v>
      </c>
      <c r="AA29" s="94"/>
      <c r="AB29" s="45"/>
      <c r="AC29" s="92"/>
      <c r="AD29" s="92"/>
      <c r="AE29" s="6"/>
      <c r="AF29" s="7"/>
      <c r="AG29" s="6"/>
      <c r="AH29" s="6"/>
      <c r="AI29" s="6"/>
      <c r="AJ29" s="7"/>
      <c r="AK29" s="93"/>
      <c r="AL29" s="6"/>
      <c r="AM29" s="6"/>
      <c r="AN29" s="6"/>
    </row>
    <row r="30" spans="1:40" s="10" customFormat="1" ht="14.25">
      <c r="A30" s="10" t="s">
        <v>69</v>
      </c>
      <c r="B30" s="10" t="s">
        <v>159</v>
      </c>
      <c r="C30" s="52" t="s">
        <v>300</v>
      </c>
      <c r="D30" s="47">
        <v>12</v>
      </c>
      <c r="E30" s="14">
        <v>1</v>
      </c>
      <c r="F30" s="49" t="s">
        <v>148</v>
      </c>
      <c r="G30" s="14">
        <v>8.3786666666666669E-5</v>
      </c>
      <c r="H30" s="40" t="s">
        <v>124</v>
      </c>
      <c r="I30" s="53">
        <f t="shared" si="0"/>
        <v>5.4290310326991886E-2</v>
      </c>
      <c r="J30" s="15">
        <v>0.6</v>
      </c>
      <c r="K30" s="53">
        <f t="shared" si="1"/>
        <v>3.1023034472566788</v>
      </c>
      <c r="L30" s="6">
        <v>116</v>
      </c>
      <c r="AA30" s="94"/>
      <c r="AB30" s="45"/>
      <c r="AC30" s="92"/>
      <c r="AD30" s="92"/>
      <c r="AE30" s="6"/>
      <c r="AF30" s="7"/>
      <c r="AG30" s="6"/>
      <c r="AH30" s="6"/>
      <c r="AI30" s="6"/>
      <c r="AJ30" s="7"/>
      <c r="AK30" s="93"/>
      <c r="AL30" s="6"/>
      <c r="AM30" s="6"/>
      <c r="AN30" s="6"/>
    </row>
    <row r="31" spans="1:40" s="10" customFormat="1" ht="14.25">
      <c r="A31" s="10" t="s">
        <v>69</v>
      </c>
      <c r="B31" s="10" t="s">
        <v>159</v>
      </c>
      <c r="C31" s="52" t="s">
        <v>300</v>
      </c>
      <c r="D31" s="49" t="s">
        <v>166</v>
      </c>
      <c r="E31" s="14">
        <v>1</v>
      </c>
      <c r="F31" s="49" t="s">
        <v>148</v>
      </c>
      <c r="G31" s="14">
        <v>8.3786666666666669E-5</v>
      </c>
      <c r="H31" s="40" t="s">
        <v>124</v>
      </c>
      <c r="I31" s="53">
        <f t="shared" si="0"/>
        <v>5.4290310326991886E-2</v>
      </c>
      <c r="J31" s="15">
        <v>0.18</v>
      </c>
      <c r="K31" s="53">
        <f t="shared" si="1"/>
        <v>0.93069103417700361</v>
      </c>
      <c r="L31" s="6">
        <v>114</v>
      </c>
      <c r="AA31" s="94"/>
      <c r="AB31" s="45"/>
      <c r="AC31" s="92"/>
      <c r="AD31" s="92"/>
      <c r="AE31" s="6"/>
      <c r="AF31" s="7"/>
      <c r="AG31" s="6"/>
      <c r="AH31" s="6"/>
      <c r="AI31" s="6"/>
      <c r="AJ31" s="7"/>
      <c r="AK31" s="93"/>
      <c r="AL31" s="6"/>
      <c r="AM31" s="6"/>
      <c r="AN31" s="6"/>
    </row>
    <row r="32" spans="1:40" s="10" customFormat="1" ht="14.25">
      <c r="A32" s="10" t="s">
        <v>69</v>
      </c>
      <c r="B32" s="10" t="s">
        <v>159</v>
      </c>
      <c r="C32" s="52" t="s">
        <v>203</v>
      </c>
      <c r="D32" s="49" t="s">
        <v>166</v>
      </c>
      <c r="E32" s="14">
        <v>1</v>
      </c>
      <c r="F32" s="49" t="s">
        <v>148</v>
      </c>
      <c r="G32" s="14">
        <v>8.3786666666666669E-5</v>
      </c>
      <c r="H32" s="40" t="s">
        <v>124</v>
      </c>
      <c r="I32" s="53">
        <f t="shared" si="0"/>
        <v>5.4290310326991886E-2</v>
      </c>
      <c r="J32" s="15">
        <v>0.25</v>
      </c>
      <c r="K32" s="53">
        <f t="shared" si="1"/>
        <v>1.2926264363569495</v>
      </c>
      <c r="L32" s="6">
        <v>114</v>
      </c>
      <c r="AA32" s="94"/>
      <c r="AB32" s="45"/>
      <c r="AC32" s="92"/>
      <c r="AD32" s="92"/>
      <c r="AE32" s="6"/>
      <c r="AF32" s="7"/>
      <c r="AG32" s="6"/>
      <c r="AH32" s="6"/>
      <c r="AI32" s="6"/>
      <c r="AJ32" s="7"/>
      <c r="AK32" s="93"/>
      <c r="AL32" s="6"/>
      <c r="AM32" s="6"/>
      <c r="AN32" s="6"/>
    </row>
    <row r="33" spans="1:40" s="10" customFormat="1" ht="14.25">
      <c r="A33" s="10" t="s">
        <v>69</v>
      </c>
      <c r="B33" s="10" t="s">
        <v>159</v>
      </c>
      <c r="C33" s="52" t="s">
        <v>161</v>
      </c>
      <c r="D33" s="47">
        <v>12</v>
      </c>
      <c r="E33" s="14">
        <v>5</v>
      </c>
      <c r="F33" s="49" t="s">
        <v>148</v>
      </c>
      <c r="G33" s="14">
        <v>1.0473333333333334E-2</v>
      </c>
      <c r="H33" s="40" t="s">
        <v>124</v>
      </c>
      <c r="I33" s="53">
        <f t="shared" si="0"/>
        <v>0.27144718282593028</v>
      </c>
      <c r="J33" s="15">
        <v>0.5</v>
      </c>
      <c r="K33" s="53">
        <f t="shared" si="1"/>
        <v>12.926056325044298</v>
      </c>
      <c r="L33" s="6">
        <v>116</v>
      </c>
      <c r="AA33" s="94"/>
      <c r="AB33" s="45"/>
      <c r="AC33" s="92"/>
      <c r="AD33" s="92"/>
      <c r="AE33" s="6"/>
      <c r="AF33" s="7"/>
      <c r="AG33" s="6"/>
      <c r="AH33" s="6"/>
      <c r="AI33" s="6"/>
      <c r="AJ33" s="7"/>
      <c r="AK33" s="93"/>
      <c r="AL33" s="6"/>
      <c r="AM33" s="6"/>
      <c r="AN33" s="6"/>
    </row>
    <row r="34" spans="1:40" s="10" customFormat="1" ht="14.25">
      <c r="A34" s="10" t="s">
        <v>69</v>
      </c>
      <c r="B34" s="10" t="s">
        <v>159</v>
      </c>
      <c r="C34" s="52" t="s">
        <v>206</v>
      </c>
      <c r="D34" s="47" t="s">
        <v>166</v>
      </c>
      <c r="E34" s="14">
        <v>1</v>
      </c>
      <c r="F34" s="49" t="s">
        <v>148</v>
      </c>
      <c r="G34" s="14">
        <v>8.3786666666666669E-5</v>
      </c>
      <c r="H34" s="40" t="s">
        <v>124</v>
      </c>
      <c r="I34" s="53">
        <f t="shared" si="0"/>
        <v>5.4290310326991886E-2</v>
      </c>
      <c r="J34" s="15">
        <v>0.53</v>
      </c>
      <c r="K34" s="53">
        <f t="shared" si="1"/>
        <v>2.7403680450767332</v>
      </c>
      <c r="L34" s="6">
        <v>114</v>
      </c>
      <c r="AA34" s="94"/>
      <c r="AB34" s="45"/>
      <c r="AC34" s="92"/>
      <c r="AD34" s="92"/>
      <c r="AE34" s="6"/>
      <c r="AF34" s="7"/>
      <c r="AG34" s="6"/>
      <c r="AH34" s="6"/>
      <c r="AI34" s="6"/>
      <c r="AJ34" s="7"/>
      <c r="AK34" s="93"/>
      <c r="AL34" s="6"/>
      <c r="AM34" s="6"/>
      <c r="AN34" s="6"/>
    </row>
    <row r="35" spans="1:40" s="10" customFormat="1" ht="14.25">
      <c r="A35" s="10" t="s">
        <v>69</v>
      </c>
      <c r="B35" s="10" t="s">
        <v>159</v>
      </c>
      <c r="C35" s="52" t="s">
        <v>207</v>
      </c>
      <c r="D35" s="47" t="s">
        <v>166</v>
      </c>
      <c r="E35" s="14">
        <v>1</v>
      </c>
      <c r="F35" s="49" t="s">
        <v>148</v>
      </c>
      <c r="G35" s="14">
        <v>8.3786666666666669E-5</v>
      </c>
      <c r="H35" s="40" t="s">
        <v>124</v>
      </c>
      <c r="I35" s="53">
        <f t="shared" si="0"/>
        <v>5.4290310326991886E-2</v>
      </c>
      <c r="J35" s="15">
        <v>0.2</v>
      </c>
      <c r="K35" s="53">
        <f t="shared" si="1"/>
        <v>1.0341011490855596</v>
      </c>
      <c r="L35" s="6">
        <v>114</v>
      </c>
      <c r="AA35" s="94"/>
      <c r="AB35" s="45"/>
      <c r="AC35" s="92"/>
      <c r="AD35" s="92"/>
      <c r="AE35" s="6"/>
      <c r="AF35" s="7"/>
      <c r="AG35" s="6"/>
      <c r="AH35" s="6"/>
      <c r="AI35" s="6"/>
      <c r="AJ35" s="7"/>
      <c r="AK35" s="93"/>
      <c r="AL35" s="6"/>
      <c r="AM35" s="6"/>
      <c r="AN35" s="6"/>
    </row>
    <row r="36" spans="1:40" s="10" customFormat="1" ht="14.25">
      <c r="A36" s="10" t="s">
        <v>69</v>
      </c>
      <c r="B36" s="10" t="s">
        <v>159</v>
      </c>
      <c r="C36" s="52" t="s">
        <v>205</v>
      </c>
      <c r="D36" s="47" t="s">
        <v>166</v>
      </c>
      <c r="E36" s="14">
        <v>1.1000000000000001</v>
      </c>
      <c r="F36" s="49" t="s">
        <v>148</v>
      </c>
      <c r="G36" s="14">
        <v>1.1152005333333336E-4</v>
      </c>
      <c r="H36" s="40" t="s">
        <v>124</v>
      </c>
      <c r="I36" s="53">
        <f t="shared" si="0"/>
        <v>5.9719284441106593E-2</v>
      </c>
      <c r="J36" s="15">
        <v>0.55000000000000004</v>
      </c>
      <c r="K36" s="53">
        <f t="shared" si="1"/>
        <v>3.1281529945341551</v>
      </c>
      <c r="L36" s="6">
        <v>114</v>
      </c>
      <c r="AA36" s="94"/>
      <c r="AB36" s="45"/>
      <c r="AC36" s="92"/>
      <c r="AD36" s="92"/>
      <c r="AE36" s="6"/>
      <c r="AF36" s="7"/>
      <c r="AG36" s="6"/>
      <c r="AH36" s="6"/>
      <c r="AI36" s="6"/>
      <c r="AJ36" s="7"/>
      <c r="AK36" s="93"/>
      <c r="AL36" s="6"/>
      <c r="AM36" s="6"/>
      <c r="AN36" s="6"/>
    </row>
    <row r="37" spans="1:40" s="10" customFormat="1" ht="14.25">
      <c r="A37" s="10" t="s">
        <v>69</v>
      </c>
      <c r="B37" s="10" t="s">
        <v>159</v>
      </c>
      <c r="C37" s="52" t="s">
        <v>208</v>
      </c>
      <c r="D37" s="47" t="s">
        <v>166</v>
      </c>
      <c r="E37" s="14">
        <v>1.5</v>
      </c>
      <c r="F37" s="49" t="s">
        <v>148</v>
      </c>
      <c r="G37" s="14">
        <v>2.8278000000000005E-4</v>
      </c>
      <c r="H37" s="40" t="s">
        <v>124</v>
      </c>
      <c r="I37" s="53">
        <f t="shared" si="0"/>
        <v>8.1435135298759065E-2</v>
      </c>
      <c r="J37" s="15">
        <v>0.57999999999999996</v>
      </c>
      <c r="K37" s="53">
        <f t="shared" si="1"/>
        <v>4.4983217593600235</v>
      </c>
      <c r="L37" s="6">
        <v>114</v>
      </c>
      <c r="AA37" s="94"/>
      <c r="AB37" s="45"/>
      <c r="AC37" s="92"/>
      <c r="AD37" s="92"/>
      <c r="AE37" s="6"/>
      <c r="AF37" s="7"/>
      <c r="AG37" s="6"/>
      <c r="AH37" s="6"/>
      <c r="AI37" s="6"/>
      <c r="AJ37" s="7"/>
      <c r="AK37" s="93"/>
      <c r="AL37" s="6"/>
      <c r="AM37" s="6"/>
      <c r="AN37" s="6"/>
    </row>
    <row r="38" spans="1:40" s="10" customFormat="1" ht="14.25">
      <c r="A38" s="10" t="s">
        <v>69</v>
      </c>
      <c r="B38" s="10" t="s">
        <v>159</v>
      </c>
      <c r="C38" s="52" t="s">
        <v>209</v>
      </c>
      <c r="D38" s="47" t="s">
        <v>166</v>
      </c>
      <c r="E38" s="14">
        <v>0.8</v>
      </c>
      <c r="F38" s="49" t="s">
        <v>148</v>
      </c>
      <c r="G38" s="14">
        <v>4.2898773333333346E-5</v>
      </c>
      <c r="H38" s="40" t="s">
        <v>124</v>
      </c>
      <c r="I38" s="53">
        <f t="shared" ref="I38:I60" si="2">((G38/((4/3)*3.142))^0.33333)*2</f>
        <v>4.343234517796285E-2</v>
      </c>
      <c r="J38" s="15">
        <v>0.35</v>
      </c>
      <c r="K38" s="53">
        <f t="shared" si="1"/>
        <v>1.4477448392654282</v>
      </c>
      <c r="L38" s="6">
        <v>114</v>
      </c>
      <c r="AA38" s="94"/>
      <c r="AB38" s="45"/>
      <c r="AC38" s="92"/>
      <c r="AD38" s="92"/>
      <c r="AE38" s="6"/>
      <c r="AF38" s="7"/>
      <c r="AG38" s="6"/>
      <c r="AH38" s="6"/>
      <c r="AI38" s="6"/>
      <c r="AJ38" s="7"/>
      <c r="AK38" s="93"/>
      <c r="AL38" s="6"/>
      <c r="AM38" s="6"/>
      <c r="AN38" s="6"/>
    </row>
    <row r="39" spans="1:40" s="10" customFormat="1" ht="14.25">
      <c r="A39" s="10" t="s">
        <v>69</v>
      </c>
      <c r="B39" s="10" t="s">
        <v>159</v>
      </c>
      <c r="C39" s="52" t="s">
        <v>227</v>
      </c>
      <c r="D39" s="47">
        <v>16</v>
      </c>
      <c r="E39" s="54">
        <v>1.0533330700000001</v>
      </c>
      <c r="F39" s="49" t="s">
        <v>200</v>
      </c>
      <c r="G39" s="14">
        <v>9.7920150196393867E-5</v>
      </c>
      <c r="H39" s="40" t="s">
        <v>124</v>
      </c>
      <c r="I39" s="53">
        <f t="shared" si="2"/>
        <v>5.7185749534552154E-2</v>
      </c>
      <c r="J39" s="15">
        <v>0.2</v>
      </c>
      <c r="K39" s="53">
        <f t="shared" ref="K39:K60" si="3">I39*J39/(1.05*10^(-2))</f>
        <v>1.0892523720867076</v>
      </c>
      <c r="L39" s="6">
        <v>115</v>
      </c>
      <c r="AA39" s="94"/>
      <c r="AB39" s="45"/>
      <c r="AC39" s="92"/>
      <c r="AD39" s="92"/>
      <c r="AE39" s="6"/>
      <c r="AF39" s="7"/>
      <c r="AG39" s="6"/>
      <c r="AH39" s="6"/>
      <c r="AI39" s="6"/>
      <c r="AJ39" s="7"/>
      <c r="AK39" s="93"/>
      <c r="AL39" s="6"/>
      <c r="AM39" s="6"/>
      <c r="AN39" s="6"/>
    </row>
    <row r="40" spans="1:40" s="10" customFormat="1" ht="14.25">
      <c r="A40" s="10" t="s">
        <v>69</v>
      </c>
      <c r="B40" s="10" t="s">
        <v>159</v>
      </c>
      <c r="C40" s="52" t="s">
        <v>204</v>
      </c>
      <c r="D40" s="47" t="s">
        <v>166</v>
      </c>
      <c r="E40" s="14">
        <v>1.5</v>
      </c>
      <c r="F40" s="49" t="s">
        <v>148</v>
      </c>
      <c r="G40" s="14">
        <v>2.8278000000000005E-4</v>
      </c>
      <c r="H40" s="40" t="s">
        <v>124</v>
      </c>
      <c r="I40" s="53">
        <f t="shared" si="2"/>
        <v>8.1435135298759065E-2</v>
      </c>
      <c r="J40" s="15">
        <v>0.24</v>
      </c>
      <c r="K40" s="53">
        <f t="shared" si="3"/>
        <v>1.8613745211144928</v>
      </c>
      <c r="L40" s="6">
        <v>114</v>
      </c>
      <c r="AA40" s="94"/>
      <c r="AB40" s="45"/>
      <c r="AC40" s="92"/>
      <c r="AD40" s="92"/>
      <c r="AE40" s="6"/>
      <c r="AF40" s="7"/>
      <c r="AG40" s="6"/>
      <c r="AH40" s="6"/>
      <c r="AI40" s="6"/>
      <c r="AJ40" s="7"/>
      <c r="AK40" s="93"/>
      <c r="AL40" s="6"/>
      <c r="AM40" s="6"/>
      <c r="AN40" s="6"/>
    </row>
    <row r="41" spans="1:40" s="10" customFormat="1" ht="14.25">
      <c r="A41" s="10" t="s">
        <v>69</v>
      </c>
      <c r="B41" s="10" t="s">
        <v>159</v>
      </c>
      <c r="C41" s="52" t="s">
        <v>162</v>
      </c>
      <c r="D41" s="47">
        <v>12</v>
      </c>
      <c r="E41" s="14">
        <v>3</v>
      </c>
      <c r="F41" s="49" t="s">
        <v>148</v>
      </c>
      <c r="G41" s="14">
        <v>2.2622400000000004E-3</v>
      </c>
      <c r="H41" s="40" t="s">
        <v>124</v>
      </c>
      <c r="I41" s="53">
        <f t="shared" si="2"/>
        <v>0.16286914167074204</v>
      </c>
      <c r="J41" s="15">
        <v>0.61</v>
      </c>
      <c r="K41" s="53">
        <f t="shared" si="3"/>
        <v>9.4619215637288221</v>
      </c>
      <c r="L41" s="6">
        <v>116</v>
      </c>
      <c r="AA41" s="94"/>
      <c r="AB41" s="45"/>
      <c r="AC41" s="92"/>
      <c r="AD41" s="92"/>
      <c r="AE41" s="6"/>
      <c r="AF41" s="7"/>
      <c r="AG41" s="6"/>
      <c r="AH41" s="6"/>
      <c r="AI41" s="6"/>
      <c r="AJ41" s="7"/>
      <c r="AK41" s="93"/>
      <c r="AL41" s="6"/>
      <c r="AM41" s="6"/>
      <c r="AN41" s="6"/>
    </row>
    <row r="42" spans="1:40" s="10" customFormat="1" ht="14.25">
      <c r="A42" s="10" t="s">
        <v>69</v>
      </c>
      <c r="B42" s="10" t="s">
        <v>159</v>
      </c>
      <c r="C42" s="52" t="s">
        <v>162</v>
      </c>
      <c r="D42" s="47" t="s">
        <v>166</v>
      </c>
      <c r="E42" s="14">
        <v>2</v>
      </c>
      <c r="F42" s="49" t="s">
        <v>148</v>
      </c>
      <c r="G42" s="14">
        <v>6.7029333333333335E-4</v>
      </c>
      <c r="H42" s="40" t="s">
        <v>124</v>
      </c>
      <c r="I42" s="53">
        <f t="shared" si="2"/>
        <v>0.10857986803308149</v>
      </c>
      <c r="J42" s="15">
        <v>0.7</v>
      </c>
      <c r="K42" s="53">
        <f t="shared" si="3"/>
        <v>7.2386578688720986</v>
      </c>
      <c r="L42" s="6">
        <v>114</v>
      </c>
      <c r="AA42" s="94"/>
      <c r="AB42" s="45"/>
      <c r="AC42" s="92"/>
      <c r="AD42" s="92"/>
      <c r="AE42" s="6"/>
      <c r="AF42" s="7"/>
      <c r="AG42" s="6"/>
      <c r="AH42" s="6"/>
      <c r="AI42" s="6"/>
      <c r="AJ42" s="7"/>
      <c r="AK42" s="93"/>
      <c r="AL42" s="6"/>
      <c r="AM42" s="6"/>
      <c r="AN42" s="6"/>
    </row>
    <row r="43" spans="1:40" s="10" customFormat="1" ht="14.25">
      <c r="A43" s="10" t="s">
        <v>69</v>
      </c>
      <c r="B43" s="10" t="s">
        <v>159</v>
      </c>
      <c r="C43" s="52" t="s">
        <v>201</v>
      </c>
      <c r="D43" s="47">
        <v>16</v>
      </c>
      <c r="E43" s="54">
        <v>0.98666641999999993</v>
      </c>
      <c r="F43" s="49" t="s">
        <v>200</v>
      </c>
      <c r="G43" s="14">
        <v>8.0479627257039495E-5</v>
      </c>
      <c r="H43" s="40" t="s">
        <v>124</v>
      </c>
      <c r="I43" s="53">
        <f t="shared" si="2"/>
        <v>5.3566433321388759E-2</v>
      </c>
      <c r="J43" s="15">
        <v>0.14000000000000001</v>
      </c>
      <c r="K43" s="53">
        <f t="shared" si="3"/>
        <v>0.7142191109518502</v>
      </c>
      <c r="L43" s="6">
        <v>115</v>
      </c>
      <c r="AA43" s="94"/>
      <c r="AB43" s="45"/>
      <c r="AC43" s="92"/>
      <c r="AD43" s="92"/>
      <c r="AE43" s="6"/>
      <c r="AF43" s="7"/>
      <c r="AG43" s="6"/>
      <c r="AH43" s="6"/>
      <c r="AI43" s="6"/>
      <c r="AJ43" s="7"/>
      <c r="AK43" s="93"/>
      <c r="AL43" s="6"/>
      <c r="AM43" s="6"/>
      <c r="AN43" s="6"/>
    </row>
    <row r="44" spans="1:40" s="10" customFormat="1" ht="14.25">
      <c r="A44" s="10" t="s">
        <v>69</v>
      </c>
      <c r="B44" s="10" t="s">
        <v>159</v>
      </c>
      <c r="C44" s="52" t="s">
        <v>202</v>
      </c>
      <c r="D44" s="47">
        <v>22</v>
      </c>
      <c r="E44" s="54">
        <v>1.4266663100000001</v>
      </c>
      <c r="F44" s="49" t="s">
        <v>200</v>
      </c>
      <c r="G44" s="14">
        <v>2.4330001187946785E-4</v>
      </c>
      <c r="H44" s="40" t="s">
        <v>124</v>
      </c>
      <c r="I44" s="53">
        <f t="shared" si="2"/>
        <v>7.7453881477488246E-2</v>
      </c>
      <c r="J44" s="15">
        <v>0.33</v>
      </c>
      <c r="K44" s="53">
        <f t="shared" si="3"/>
        <v>2.4342648464353447</v>
      </c>
      <c r="L44" s="6">
        <v>115</v>
      </c>
      <c r="AA44" s="94"/>
      <c r="AB44" s="45"/>
      <c r="AC44" s="92"/>
      <c r="AD44" s="92"/>
      <c r="AE44" s="6"/>
      <c r="AF44" s="7"/>
      <c r="AG44" s="6"/>
      <c r="AH44" s="6"/>
      <c r="AI44" s="6"/>
      <c r="AJ44" s="7"/>
      <c r="AK44" s="93"/>
      <c r="AL44" s="6"/>
      <c r="AM44" s="6"/>
      <c r="AN44" s="6"/>
    </row>
    <row r="45" spans="1:40" s="10" customFormat="1" ht="14.25">
      <c r="A45" s="10" t="s">
        <v>69</v>
      </c>
      <c r="B45" s="13" t="s">
        <v>155</v>
      </c>
      <c r="C45" s="29" t="s">
        <v>216</v>
      </c>
      <c r="D45" s="7" t="s">
        <v>166</v>
      </c>
      <c r="E45" s="54">
        <v>8</v>
      </c>
      <c r="F45" s="49" t="s">
        <v>45</v>
      </c>
      <c r="G45" s="10">
        <v>10.724693333333335</v>
      </c>
      <c r="H45" s="40" t="s">
        <v>124</v>
      </c>
      <c r="I45" s="53">
        <f t="shared" si="2"/>
        <v>2.7359529419505368</v>
      </c>
      <c r="J45" s="15">
        <v>16</v>
      </c>
      <c r="K45" s="53">
        <f t="shared" si="3"/>
        <v>4169.0711496389131</v>
      </c>
      <c r="L45" s="6">
        <v>114</v>
      </c>
      <c r="AA45" s="94"/>
      <c r="AB45" s="45"/>
      <c r="AC45" s="92"/>
      <c r="AD45" s="92"/>
      <c r="AE45" s="6"/>
      <c r="AF45" s="7"/>
      <c r="AG45" s="6"/>
      <c r="AH45" s="6"/>
      <c r="AI45" s="6"/>
      <c r="AJ45" s="7"/>
      <c r="AK45" s="93"/>
      <c r="AL45" s="6"/>
      <c r="AM45" s="6"/>
      <c r="AN45" s="6"/>
    </row>
    <row r="46" spans="1:40" s="10" customFormat="1" ht="14.25">
      <c r="A46" s="10" t="s">
        <v>69</v>
      </c>
      <c r="B46" s="13" t="s">
        <v>155</v>
      </c>
      <c r="C46" s="29" t="s">
        <v>211</v>
      </c>
      <c r="D46" s="7" t="s">
        <v>166</v>
      </c>
      <c r="E46" s="54">
        <v>1.5</v>
      </c>
      <c r="F46" s="49" t="s">
        <v>45</v>
      </c>
      <c r="G46" s="14">
        <v>7.0695000000000008E-2</v>
      </c>
      <c r="H46" s="40" t="s">
        <v>124</v>
      </c>
      <c r="I46" s="53">
        <f t="shared" si="2"/>
        <v>0.51299976403900394</v>
      </c>
      <c r="J46" s="15">
        <v>2.5</v>
      </c>
      <c r="K46" s="53">
        <f t="shared" si="3"/>
        <v>122.14280096166759</v>
      </c>
      <c r="L46" s="6">
        <v>114</v>
      </c>
      <c r="AA46" s="94"/>
      <c r="AB46" s="45"/>
      <c r="AC46" s="92"/>
      <c r="AD46" s="92"/>
      <c r="AE46" s="6"/>
      <c r="AF46" s="7"/>
      <c r="AG46" s="6"/>
      <c r="AH46" s="6"/>
      <c r="AI46" s="6"/>
      <c r="AJ46" s="7"/>
      <c r="AK46" s="93"/>
      <c r="AL46" s="6"/>
      <c r="AM46" s="6"/>
      <c r="AN46" s="6"/>
    </row>
    <row r="47" spans="1:40" s="10" customFormat="1" ht="14.25">
      <c r="A47" s="10" t="s">
        <v>69</v>
      </c>
      <c r="B47" s="13" t="s">
        <v>155</v>
      </c>
      <c r="C47" s="29" t="s">
        <v>75</v>
      </c>
      <c r="D47" s="7" t="s">
        <v>166</v>
      </c>
      <c r="E47" s="54">
        <v>5</v>
      </c>
      <c r="F47" s="49" t="s">
        <v>45</v>
      </c>
      <c r="G47" s="14">
        <v>2.6183333333333332</v>
      </c>
      <c r="H47" s="40" t="s">
        <v>124</v>
      </c>
      <c r="I47" s="53">
        <f t="shared" si="2"/>
        <v>1.7099786256617984</v>
      </c>
      <c r="J47" s="15">
        <v>6</v>
      </c>
      <c r="K47" s="53">
        <f t="shared" si="3"/>
        <v>977.1306432353133</v>
      </c>
      <c r="L47" s="6">
        <v>114</v>
      </c>
      <c r="AA47" s="94"/>
      <c r="AB47" s="45"/>
      <c r="AC47" s="92"/>
      <c r="AD47" s="92"/>
      <c r="AE47" s="6"/>
      <c r="AF47" s="7"/>
      <c r="AG47" s="6"/>
      <c r="AH47" s="6"/>
      <c r="AI47" s="6"/>
      <c r="AJ47" s="7"/>
      <c r="AK47" s="93"/>
      <c r="AL47" s="6"/>
      <c r="AM47" s="6"/>
      <c r="AN47" s="6"/>
    </row>
    <row r="48" spans="1:40" s="10" customFormat="1" ht="14.25">
      <c r="A48" s="10" t="s">
        <v>69</v>
      </c>
      <c r="B48" s="13" t="s">
        <v>155</v>
      </c>
      <c r="C48" s="29" t="s">
        <v>214</v>
      </c>
      <c r="D48" s="7" t="s">
        <v>166</v>
      </c>
      <c r="E48" s="54">
        <v>5.2</v>
      </c>
      <c r="F48" s="49" t="s">
        <v>45</v>
      </c>
      <c r="G48" s="14">
        <v>2.9452689066666666</v>
      </c>
      <c r="H48" s="40" t="s">
        <v>124</v>
      </c>
      <c r="I48" s="53">
        <f t="shared" si="2"/>
        <v>1.7783770731959629</v>
      </c>
      <c r="J48" s="15">
        <v>7.5</v>
      </c>
      <c r="K48" s="53">
        <f t="shared" si="3"/>
        <v>1270.2693379971163</v>
      </c>
      <c r="L48" s="6">
        <v>114</v>
      </c>
      <c r="AA48" s="94"/>
      <c r="AB48" s="45"/>
      <c r="AC48" s="92"/>
      <c r="AD48" s="92"/>
      <c r="AE48" s="6"/>
      <c r="AF48" s="7"/>
      <c r="AG48" s="6"/>
      <c r="AH48" s="6"/>
      <c r="AI48" s="6"/>
      <c r="AJ48" s="7"/>
      <c r="AK48" s="93"/>
      <c r="AL48" s="6"/>
      <c r="AM48" s="6"/>
      <c r="AN48" s="6"/>
    </row>
    <row r="49" spans="1:40" s="10" customFormat="1" ht="14.25">
      <c r="A49" s="10" t="s">
        <v>69</v>
      </c>
      <c r="B49" s="13" t="s">
        <v>155</v>
      </c>
      <c r="C49" s="29" t="s">
        <v>212</v>
      </c>
      <c r="D49" s="7" t="s">
        <v>166</v>
      </c>
      <c r="E49" s="54">
        <v>2.8</v>
      </c>
      <c r="F49" s="49" t="s">
        <v>45</v>
      </c>
      <c r="G49" s="14">
        <v>0.45982122666666647</v>
      </c>
      <c r="H49" s="40" t="s">
        <v>124</v>
      </c>
      <c r="I49" s="53">
        <f t="shared" si="2"/>
        <v>0.95759358265921202</v>
      </c>
      <c r="J49" s="15">
        <v>10</v>
      </c>
      <c r="K49" s="53">
        <f t="shared" si="3"/>
        <v>911.99388824686855</v>
      </c>
      <c r="L49" s="6">
        <v>114</v>
      </c>
      <c r="AA49" s="94"/>
      <c r="AB49" s="45"/>
      <c r="AC49" s="92"/>
      <c r="AD49" s="92"/>
      <c r="AE49" s="6"/>
      <c r="AF49" s="7"/>
      <c r="AG49" s="6"/>
      <c r="AH49" s="6"/>
      <c r="AI49" s="6"/>
      <c r="AJ49" s="7"/>
      <c r="AK49" s="93"/>
      <c r="AL49" s="6"/>
      <c r="AM49" s="6"/>
      <c r="AN49" s="6"/>
    </row>
    <row r="50" spans="1:40" s="10" customFormat="1" ht="14.25">
      <c r="A50" s="10" t="s">
        <v>69</v>
      </c>
      <c r="B50" s="13" t="s">
        <v>155</v>
      </c>
      <c r="C50" s="29" t="s">
        <v>213</v>
      </c>
      <c r="D50" s="7" t="s">
        <v>166</v>
      </c>
      <c r="E50" s="54">
        <v>2.7</v>
      </c>
      <c r="F50" s="49" t="s">
        <v>45</v>
      </c>
      <c r="G50" s="14">
        <v>0.41229324000000001</v>
      </c>
      <c r="H50" s="40" t="s">
        <v>124</v>
      </c>
      <c r="I50" s="53">
        <f t="shared" si="2"/>
        <v>0.92339414766659145</v>
      </c>
      <c r="J50" s="15">
        <v>4.5</v>
      </c>
      <c r="K50" s="53">
        <f t="shared" si="3"/>
        <v>395.74034899996775</v>
      </c>
      <c r="L50" s="6">
        <v>114</v>
      </c>
      <c r="AA50" s="94"/>
      <c r="AB50" s="45"/>
      <c r="AC50" s="92"/>
      <c r="AD50" s="92"/>
      <c r="AE50" s="6"/>
      <c r="AF50" s="7"/>
      <c r="AG50" s="6"/>
      <c r="AH50" s="6"/>
      <c r="AI50" s="6"/>
      <c r="AJ50" s="7"/>
      <c r="AK50" s="93"/>
      <c r="AL50" s="6"/>
      <c r="AM50" s="6"/>
      <c r="AN50" s="6"/>
    </row>
    <row r="51" spans="1:40" s="10" customFormat="1" ht="14.25">
      <c r="A51" s="10" t="s">
        <v>69</v>
      </c>
      <c r="B51" s="13" t="s">
        <v>155</v>
      </c>
      <c r="C51" s="29" t="s">
        <v>215</v>
      </c>
      <c r="D51" s="7" t="s">
        <v>166</v>
      </c>
      <c r="E51" s="54">
        <v>10</v>
      </c>
      <c r="F51" s="49" t="s">
        <v>45</v>
      </c>
      <c r="G51" s="14">
        <v>20.946666666666665</v>
      </c>
      <c r="H51" s="40" t="s">
        <v>124</v>
      </c>
      <c r="I51" s="53">
        <f t="shared" si="2"/>
        <v>3.419933546068489</v>
      </c>
      <c r="J51" s="15">
        <v>20</v>
      </c>
      <c r="K51" s="53">
        <f t="shared" si="3"/>
        <v>6514.1591353685508</v>
      </c>
      <c r="L51" s="6">
        <v>114</v>
      </c>
      <c r="AA51" s="6"/>
    </row>
    <row r="52" spans="1:40" s="10" customFormat="1" ht="14.25">
      <c r="A52" s="10" t="s">
        <v>69</v>
      </c>
      <c r="B52" s="13" t="s">
        <v>155</v>
      </c>
      <c r="C52" s="29" t="s">
        <v>210</v>
      </c>
      <c r="D52" s="7">
        <v>7.1</v>
      </c>
      <c r="E52" s="54">
        <v>2</v>
      </c>
      <c r="F52" s="49" t="s">
        <v>45</v>
      </c>
      <c r="G52" s="14">
        <v>0.16757333333333335</v>
      </c>
      <c r="H52" s="40" t="s">
        <v>124</v>
      </c>
      <c r="I52" s="53">
        <f t="shared" si="2"/>
        <v>0.68399771764369866</v>
      </c>
      <c r="J52" s="15">
        <v>2</v>
      </c>
      <c r="K52" s="53">
        <f t="shared" si="3"/>
        <v>130.28527955118068</v>
      </c>
      <c r="L52" s="6">
        <v>117</v>
      </c>
      <c r="AA52" s="6"/>
    </row>
    <row r="53" spans="1:40" s="10" customFormat="1" ht="14.25">
      <c r="A53" s="10" t="s">
        <v>43</v>
      </c>
      <c r="B53" s="10" t="s">
        <v>44</v>
      </c>
      <c r="C53" s="52" t="s">
        <v>219</v>
      </c>
      <c r="D53" s="6" t="s">
        <v>166</v>
      </c>
      <c r="E53" s="14">
        <v>125</v>
      </c>
      <c r="F53" s="6" t="s">
        <v>218</v>
      </c>
      <c r="G53" s="14">
        <v>163645.83333333331</v>
      </c>
      <c r="H53" s="40" t="s">
        <v>124</v>
      </c>
      <c r="I53" s="14">
        <f t="shared" si="2"/>
        <v>67.858048847396134</v>
      </c>
      <c r="J53" s="15">
        <v>40</v>
      </c>
      <c r="K53" s="53">
        <f t="shared" si="3"/>
        <v>258506.85275198528</v>
      </c>
      <c r="L53" s="6">
        <v>96</v>
      </c>
      <c r="AA53" s="6"/>
    </row>
    <row r="54" spans="1:40" s="10" customFormat="1" ht="14.25">
      <c r="A54" s="10" t="s">
        <v>43</v>
      </c>
      <c r="B54" s="10" t="s">
        <v>44</v>
      </c>
      <c r="C54" s="52" t="s">
        <v>222</v>
      </c>
      <c r="D54" s="6">
        <v>13.5</v>
      </c>
      <c r="E54" s="14">
        <v>25.3</v>
      </c>
      <c r="F54" s="6" t="s">
        <v>45</v>
      </c>
      <c r="G54" s="14">
        <v>1356.8644889066668</v>
      </c>
      <c r="H54" s="40" t="s">
        <v>124</v>
      </c>
      <c r="I54" s="14">
        <f t="shared" si="2"/>
        <v>13.734688497892204</v>
      </c>
      <c r="J54" s="15">
        <f>4.06*E54</f>
        <v>102.71799999999999</v>
      </c>
      <c r="K54" s="53">
        <f t="shared" si="3"/>
        <v>134361.87934538012</v>
      </c>
      <c r="L54" s="6">
        <v>118</v>
      </c>
      <c r="AA54" s="6"/>
    </row>
    <row r="55" spans="1:40" s="10" customFormat="1" ht="14.25">
      <c r="A55" s="10" t="s">
        <v>43</v>
      </c>
      <c r="B55" s="10" t="s">
        <v>44</v>
      </c>
      <c r="C55" s="52" t="s">
        <v>221</v>
      </c>
      <c r="D55" s="6" t="s">
        <v>166</v>
      </c>
      <c r="E55" s="14">
        <v>42</v>
      </c>
      <c r="F55" s="6" t="s">
        <v>218</v>
      </c>
      <c r="G55" s="14">
        <v>6207.5865599999988</v>
      </c>
      <c r="H55" s="40" t="s">
        <v>124</v>
      </c>
      <c r="I55" s="14">
        <f t="shared" si="2"/>
        <v>22.800553084260347</v>
      </c>
      <c r="J55" s="15">
        <v>70.900000000000006</v>
      </c>
      <c r="K55" s="53">
        <f t="shared" si="3"/>
        <v>153958.02034991037</v>
      </c>
      <c r="L55" s="6">
        <v>119</v>
      </c>
      <c r="AA55" s="6"/>
    </row>
    <row r="56" spans="1:40" s="10" customFormat="1" ht="14.25">
      <c r="A56" s="10" t="s">
        <v>43</v>
      </c>
      <c r="B56" s="10" t="s">
        <v>44</v>
      </c>
      <c r="C56" s="52" t="s">
        <v>224</v>
      </c>
      <c r="D56" s="6">
        <v>14.4</v>
      </c>
      <c r="E56" s="14">
        <v>50</v>
      </c>
      <c r="F56" s="6" t="s">
        <v>45</v>
      </c>
      <c r="G56" s="14">
        <v>10473.333333333332</v>
      </c>
      <c r="H56" s="40" t="s">
        <v>124</v>
      </c>
      <c r="I56" s="14">
        <f t="shared" si="2"/>
        <v>27.143468250902878</v>
      </c>
      <c r="J56" s="15">
        <f>2.2*E56</f>
        <v>110.00000000000001</v>
      </c>
      <c r="K56" s="53">
        <f t="shared" si="3"/>
        <v>284360.14358088735</v>
      </c>
      <c r="L56" s="6">
        <v>118</v>
      </c>
      <c r="AA56" s="6"/>
    </row>
    <row r="57" spans="1:40" s="10" customFormat="1" ht="14.25">
      <c r="A57" s="10" t="s">
        <v>43</v>
      </c>
      <c r="B57" s="10" t="s">
        <v>44</v>
      </c>
      <c r="C57" s="52" t="s">
        <v>225</v>
      </c>
      <c r="D57" s="6">
        <v>19</v>
      </c>
      <c r="E57" s="14">
        <v>6</v>
      </c>
      <c r="F57" s="6" t="s">
        <v>45</v>
      </c>
      <c r="G57" s="14">
        <v>18.097920000000002</v>
      </c>
      <c r="H57" s="40" t="s">
        <v>124</v>
      </c>
      <c r="I57" s="14">
        <f t="shared" si="2"/>
        <v>3.2572852524076681</v>
      </c>
      <c r="J57" s="15">
        <f>3.3*E57</f>
        <v>19.799999999999997</v>
      </c>
      <c r="K57" s="53">
        <f t="shared" si="3"/>
        <v>6142.3093331116015</v>
      </c>
      <c r="L57" s="6">
        <v>120</v>
      </c>
      <c r="AA57" s="6"/>
    </row>
    <row r="58" spans="1:40" s="10" customFormat="1" ht="14.25">
      <c r="A58" s="10" t="s">
        <v>43</v>
      </c>
      <c r="B58" s="10" t="s">
        <v>44</v>
      </c>
      <c r="C58" s="52" t="s">
        <v>223</v>
      </c>
      <c r="D58" s="6">
        <v>11.7</v>
      </c>
      <c r="E58" s="14">
        <v>33</v>
      </c>
      <c r="F58" s="6" t="s">
        <v>45</v>
      </c>
      <c r="G58" s="14">
        <v>3011.0414400000004</v>
      </c>
      <c r="H58" s="40" t="s">
        <v>124</v>
      </c>
      <c r="I58" s="14">
        <f t="shared" si="2"/>
        <v>17.914763484050276</v>
      </c>
      <c r="J58" s="15">
        <f>3.5*E58</f>
        <v>115.5</v>
      </c>
      <c r="K58" s="53">
        <f t="shared" si="3"/>
        <v>197062.39832455304</v>
      </c>
      <c r="L58" s="6">
        <v>118</v>
      </c>
      <c r="AA58" s="6"/>
    </row>
    <row r="59" spans="1:40" s="10" customFormat="1" ht="14.25">
      <c r="A59" s="10" t="s">
        <v>43</v>
      </c>
      <c r="B59" s="10" t="s">
        <v>44</v>
      </c>
      <c r="C59" s="52" t="s">
        <v>220</v>
      </c>
      <c r="D59" s="6" t="s">
        <v>166</v>
      </c>
      <c r="E59" s="14">
        <v>84</v>
      </c>
      <c r="F59" s="6" t="s">
        <v>218</v>
      </c>
      <c r="G59" s="14">
        <v>49660.692479999991</v>
      </c>
      <c r="H59" s="40" t="s">
        <v>124</v>
      </c>
      <c r="I59" s="14">
        <f t="shared" si="2"/>
        <v>45.600790086834451</v>
      </c>
      <c r="J59" s="15">
        <v>65</v>
      </c>
      <c r="K59" s="53">
        <f t="shared" si="3"/>
        <v>282290.60529945133</v>
      </c>
      <c r="L59" s="6">
        <v>96</v>
      </c>
      <c r="AA59" s="6"/>
    </row>
    <row r="60" spans="1:40" s="10" customFormat="1" ht="14.25">
      <c r="A60" s="10" t="s">
        <v>43</v>
      </c>
      <c r="B60" s="10" t="s">
        <v>44</v>
      </c>
      <c r="C60" s="52" t="s">
        <v>217</v>
      </c>
      <c r="D60" s="6" t="s">
        <v>166</v>
      </c>
      <c r="E60" s="14">
        <v>213</v>
      </c>
      <c r="F60" s="6" t="s">
        <v>218</v>
      </c>
      <c r="G60" s="14">
        <v>809680.58063999994</v>
      </c>
      <c r="H60" s="40" t="s">
        <v>124</v>
      </c>
      <c r="I60" s="14">
        <f t="shared" si="2"/>
        <v>115.62949895403442</v>
      </c>
      <c r="J60" s="15">
        <v>349</v>
      </c>
      <c r="K60" s="53">
        <f t="shared" si="3"/>
        <v>3843304.2985674297</v>
      </c>
      <c r="L60" s="6">
        <v>96</v>
      </c>
      <c r="W60"/>
      <c r="X60"/>
      <c r="Y60"/>
      <c r="Z60"/>
      <c r="AA60" s="6"/>
    </row>
    <row r="61" spans="1:40">
      <c r="A61" s="10"/>
    </row>
    <row r="62" spans="1:40">
      <c r="A62" s="10"/>
    </row>
    <row r="63" spans="1:40">
      <c r="A63" s="10"/>
    </row>
    <row r="64" spans="1:40">
      <c r="A64" s="10"/>
    </row>
    <row r="65" spans="1:1">
      <c r="A65" s="10"/>
    </row>
    <row r="66" spans="1:1">
      <c r="A66" s="10"/>
    </row>
    <row r="67" spans="1:1">
      <c r="A67" s="10"/>
    </row>
    <row r="68" spans="1:1">
      <c r="A68" s="10"/>
    </row>
    <row r="69" spans="1:1">
      <c r="A69" s="10"/>
    </row>
    <row r="70" spans="1:1">
      <c r="A70" s="10"/>
    </row>
    <row r="71" spans="1:1">
      <c r="A71" s="10"/>
    </row>
    <row r="72" spans="1:1">
      <c r="A72" s="10"/>
    </row>
    <row r="73" spans="1:1">
      <c r="A73" s="10"/>
    </row>
    <row r="74" spans="1:1">
      <c r="A74" s="10"/>
    </row>
    <row r="75" spans="1:1">
      <c r="A75" s="10"/>
    </row>
    <row r="76" spans="1:1">
      <c r="A76" s="10"/>
    </row>
    <row r="77" spans="1:1">
      <c r="A77" s="10"/>
    </row>
    <row r="78" spans="1:1">
      <c r="A78" s="10"/>
    </row>
    <row r="79" spans="1:1">
      <c r="A79" s="10"/>
    </row>
    <row r="80" spans="1:1">
      <c r="A80" s="10"/>
    </row>
    <row r="81" spans="1:1">
      <c r="A81" s="10"/>
    </row>
    <row r="82" spans="1:1">
      <c r="A82" s="10"/>
    </row>
    <row r="83" spans="1:1">
      <c r="A83" s="10"/>
    </row>
    <row r="84" spans="1:1">
      <c r="A84" s="10"/>
    </row>
    <row r="85" spans="1:1">
      <c r="A85" s="10"/>
    </row>
    <row r="86" spans="1:1">
      <c r="A86" s="10"/>
    </row>
  </sheetData>
  <sortState ref="A23:AP30">
    <sortCondition ref="C23:C30"/>
  </sortState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Carbon &amp; Nitrogen</vt:lpstr>
      <vt:lpstr>Respiration</vt:lpstr>
      <vt:lpstr>Excretion</vt:lpstr>
      <vt:lpstr>Growth</vt:lpstr>
      <vt:lpstr>Longevity</vt:lpstr>
      <vt:lpstr>Swimming velocity &amp; 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Kylie Ann Pitt</cp:lastModifiedBy>
  <cp:lastPrinted>2013-02-13T00:12:11Z</cp:lastPrinted>
  <dcterms:created xsi:type="dcterms:W3CDTF">2010-08-14T19:54:10Z</dcterms:created>
  <dcterms:modified xsi:type="dcterms:W3CDTF">2013-06-16T06:18:01Z</dcterms:modified>
</cp:coreProperties>
</file>